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2017 COS\Models\Interrogatories-TC\TC Models\"/>
    </mc:Choice>
  </mc:AlternateContent>
  <bookViews>
    <workbookView xWindow="0" yWindow="0" windowWidth="21156" windowHeight="6408" tabRatio="790" activeTab="6"/>
  </bookViews>
  <sheets>
    <sheet name="1. Information Sheet" sheetId="15" r:id="rId1"/>
    <sheet name="2. 2016 Continuity Schedule" sheetId="2" r:id="rId2"/>
    <sheet name="3. Appendix A" sheetId="11" r:id="rId3"/>
    <sheet name="4. Billing Determinants" sheetId="12" r:id="rId4"/>
    <sheet name="5. Allocation of Balances" sheetId="13" r:id="rId5"/>
    <sheet name="5a. GA Allocation Class A" sheetId="18" state="veryHidden" r:id="rId6"/>
    <sheet name="6. Rate Rider Calculations" sheetId="14" r:id="rId7"/>
    <sheet name="Summary Sheet" sheetId="16"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GoBack" localSheetId="3">'4. Billing Determinants'!$P$19</definedName>
    <definedName name="BI_LDCLIST">#REF!</definedName>
    <definedName name="BridgeYear">'[1]LDC Info'!$E$26</definedName>
    <definedName name="contactf" localSheetId="0">#REF!</definedName>
    <definedName name="contactf">#REF!</definedName>
    <definedName name="EBNUMBER">'[1]LDC Info'!$E$16</definedName>
    <definedName name="Entegrus_SA">'[2]2016 List'!$C$5:$C$8</definedName>
    <definedName name="forecast_wholesale_lineplus">'[2]14. RTSR - Forecast Wholesale'!$P$113</definedName>
    <definedName name="forecast_wholesale_network">'[2]14. RTSR - Forecast Wholesale'!$F$109</definedName>
    <definedName name="histdate">[3]Financials!$E$76</definedName>
    <definedName name="Incr2000" localSheetId="0">#REF!</definedName>
    <definedName name="Incr2000">#REF!</definedName>
    <definedName name="Lakeland_SA">'[2]2016 List'!$C$10:$C$11</definedName>
    <definedName name="LIMIT" localSheetId="0">#REF!</definedName>
    <definedName name="LIMI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'1. Information Sheet'!$A$1:$O$40</definedName>
    <definedName name="_xlnm.Print_Area" localSheetId="2">'3. Appendix A'!$B$1:$F$68</definedName>
    <definedName name="_xlnm.Print_Area" localSheetId="3">'4. Billing Determinants'!$A$1:$R$50</definedName>
    <definedName name="_xlnm.Print_Area" localSheetId="6">'6. Rate Rider Calculations'!$B$13:$H$146</definedName>
    <definedName name="print_end" localSheetId="0">#REF!</definedName>
    <definedName name="print_end">#REF!</definedName>
    <definedName name="_xlnm.Print_Titles" localSheetId="1">'2. 2016 Continuity Schedule'!$C:$D,'2. 2016 Continuity Schedule'!$19:$22</definedName>
    <definedName name="_xlnm.Print_Titles" localSheetId="2">'3. Appendix A'!$C:$D,'3. Appendix A'!$19:$22</definedName>
    <definedName name="_xlnm.Print_Titles" localSheetId="4">'5. Allocation of Balances'!$B:$E</definedName>
    <definedName name="RATE_CLASSES">[4]lists!$A$1:$A$104</definedName>
    <definedName name="ratebase">'[2]8. STS - Tax Change'!$N$19</definedName>
    <definedName name="ratedescription" localSheetId="5">[5]hidden1!$D$1:$D$122</definedName>
    <definedName name="ratedescription">[6]hidden1!$D$1:$D$122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'[2]2016 Database'!#REF!</definedName>
    <definedName name="TEMPA" localSheetId="0">#REF!</definedName>
    <definedName name="TEMPA">#REF!</definedName>
    <definedName name="TestYear">'[1]LDC Info'!$E$24</definedName>
    <definedName name="Total_Current_Wholesale_Lineplus">'[2]13. RTSR - Current Wholesale'!$P$113</definedName>
    <definedName name="total_current_wholesale_network">'[2]13.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[6]hidden1!$J$3:$J$8</definedName>
    <definedName name="Utility">[3]Financials!$A$1</definedName>
    <definedName name="utitliy1">[7]Financials!$A$1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62913"/>
</workbook>
</file>

<file path=xl/calcChain.xml><?xml version="1.0" encoding="utf-8"?>
<calcChain xmlns="http://schemas.openxmlformats.org/spreadsheetml/2006/main">
  <c r="D33" i="13" l="1"/>
  <c r="BR26" i="2"/>
  <c r="BR27" i="2"/>
  <c r="BR28" i="2"/>
  <c r="BR24" i="2"/>
  <c r="BR48" i="2" l="1"/>
  <c r="BR49" i="2"/>
  <c r="BR50" i="2"/>
  <c r="BR51" i="2"/>
  <c r="BR52" i="2"/>
  <c r="BR53" i="2"/>
  <c r="BR54" i="2"/>
  <c r="BR55" i="2"/>
  <c r="BR56" i="2"/>
  <c r="BR57" i="2"/>
  <c r="BR58" i="2"/>
  <c r="BR47" i="2"/>
  <c r="Z41" i="12" l="1"/>
  <c r="BR39" i="2" l="1"/>
  <c r="BR38" i="2"/>
  <c r="BR37" i="2"/>
  <c r="BR36" i="2"/>
  <c r="BR32" i="2"/>
  <c r="BR31" i="2"/>
  <c r="BR30" i="2"/>
  <c r="BR29" i="2"/>
  <c r="BR25" i="2"/>
  <c r="G26" i="12" l="1"/>
  <c r="G24" i="12"/>
  <c r="G23" i="12"/>
  <c r="G22" i="12"/>
  <c r="G21" i="12"/>
  <c r="AC22" i="12"/>
  <c r="AC21" i="12"/>
  <c r="F24" i="2" l="1"/>
  <c r="G21" i="18" l="1"/>
  <c r="F21" i="18"/>
  <c r="E21" i="18"/>
  <c r="D21" i="18"/>
  <c r="C20" i="18"/>
  <c r="C21" i="18" l="1"/>
  <c r="C22" i="18" s="1"/>
  <c r="Y39" i="13"/>
  <c r="X39" i="13"/>
  <c r="W39" i="13"/>
  <c r="V39" i="13"/>
  <c r="U39" i="13"/>
  <c r="T39" i="13"/>
  <c r="S39" i="13"/>
  <c r="R39" i="13"/>
  <c r="Q39" i="13"/>
  <c r="P39" i="13"/>
  <c r="O39" i="13"/>
  <c r="N39" i="13"/>
  <c r="M39" i="13"/>
  <c r="L39" i="13"/>
  <c r="K39" i="13"/>
  <c r="J39" i="13"/>
  <c r="I39" i="13"/>
  <c r="H39" i="13"/>
  <c r="G39" i="13"/>
  <c r="F39" i="13"/>
  <c r="S22" i="12" l="1"/>
  <c r="D73" i="14" s="1"/>
  <c r="S23" i="12"/>
  <c r="D74" i="14" s="1"/>
  <c r="S24" i="12"/>
  <c r="D75" i="14" s="1"/>
  <c r="S25" i="12"/>
  <c r="D76" i="14" s="1"/>
  <c r="S26" i="12"/>
  <c r="D77" i="14" s="1"/>
  <c r="S27" i="12"/>
  <c r="D78" i="14" s="1"/>
  <c r="S28" i="12"/>
  <c r="D79" i="14" s="1"/>
  <c r="S29" i="12"/>
  <c r="D80" i="14" s="1"/>
  <c r="S30" i="12"/>
  <c r="D81" i="14" s="1"/>
  <c r="S31" i="12"/>
  <c r="S32" i="12"/>
  <c r="S33" i="12"/>
  <c r="S34" i="12"/>
  <c r="S35" i="12"/>
  <c r="S36" i="12"/>
  <c r="S37" i="12"/>
  <c r="S38" i="12"/>
  <c r="S39" i="12"/>
  <c r="S40" i="12"/>
  <c r="S21" i="12"/>
  <c r="D72" i="14" s="1"/>
  <c r="AB42" i="12" l="1"/>
  <c r="AB41" i="12"/>
  <c r="AA41" i="12"/>
  <c r="Y41" i="12"/>
  <c r="X41" i="12"/>
  <c r="W41" i="12"/>
  <c r="V41" i="12"/>
  <c r="U41" i="12"/>
  <c r="P41" i="12"/>
  <c r="AB43" i="12" l="1"/>
  <c r="S41" i="12"/>
  <c r="AX83" i="2" l="1"/>
  <c r="BB83" i="2" s="1"/>
  <c r="BH83" i="2" s="1"/>
  <c r="BL83" i="2" s="1"/>
  <c r="BP83" i="2" s="1"/>
  <c r="BS83" i="2" s="1"/>
  <c r="AS83" i="2"/>
  <c r="AW83" i="2" s="1"/>
  <c r="BC83" i="2" s="1"/>
  <c r="BG83" i="2" s="1"/>
  <c r="BV83" i="2" l="1"/>
  <c r="BO83" i="2"/>
  <c r="BT83" i="2" s="1"/>
  <c r="BR60" i="2"/>
  <c r="D182" i="14" l="1"/>
  <c r="D181" i="14"/>
  <c r="I24" i="2" l="1"/>
  <c r="E44" i="2"/>
  <c r="F42" i="2"/>
  <c r="N39" i="2"/>
  <c r="N38" i="2"/>
  <c r="N37" i="2"/>
  <c r="N36" i="2"/>
  <c r="N35" i="2"/>
  <c r="N34" i="2"/>
  <c r="N33" i="2"/>
  <c r="N32" i="2"/>
  <c r="N31" i="2"/>
  <c r="N30" i="2"/>
  <c r="N29" i="2"/>
  <c r="N26" i="2"/>
  <c r="N24" i="2"/>
  <c r="I39" i="2"/>
  <c r="I38" i="2"/>
  <c r="I37" i="2"/>
  <c r="I36" i="2"/>
  <c r="I35" i="2"/>
  <c r="I34" i="2"/>
  <c r="I33" i="2"/>
  <c r="I32" i="2"/>
  <c r="I31" i="2"/>
  <c r="I30" i="2"/>
  <c r="I29" i="2"/>
  <c r="E42" i="2" l="1"/>
  <c r="E43" i="2" s="1"/>
  <c r="E65" i="2" l="1"/>
  <c r="D69" i="11"/>
  <c r="C69" i="11"/>
  <c r="C27" i="11"/>
  <c r="C28" i="11"/>
  <c r="D27" i="11"/>
  <c r="D28" i="11"/>
  <c r="BH27" i="2" l="1"/>
  <c r="BL27" i="2" s="1"/>
  <c r="BH28" i="2"/>
  <c r="BL28" i="2" s="1"/>
  <c r="BG27" i="2"/>
  <c r="BO27" i="2" s="1"/>
  <c r="BQ27" i="2" s="1"/>
  <c r="BG28" i="2"/>
  <c r="BV27" i="2" l="1"/>
  <c r="E27" i="11" s="1"/>
  <c r="BV28" i="2"/>
  <c r="E28" i="11" s="1"/>
  <c r="BP28" i="2"/>
  <c r="BP27" i="2"/>
  <c r="BO28" i="2"/>
  <c r="BQ28" i="2" s="1"/>
  <c r="BQ60" i="2" l="1"/>
  <c r="BT28" i="2" l="1"/>
  <c r="BT27" i="2"/>
  <c r="BS27" i="2"/>
  <c r="BR44" i="2"/>
  <c r="BR42" i="2"/>
  <c r="BS28" i="2"/>
  <c r="S85" i="2"/>
  <c r="AC86" i="2"/>
  <c r="AI86" i="2" s="1"/>
  <c r="BR43" i="2" l="1"/>
  <c r="Y85" i="2"/>
  <c r="AC85" i="2" s="1"/>
  <c r="AI85" i="2" s="1"/>
  <c r="N68" i="2"/>
  <c r="T68" i="2" s="1"/>
  <c r="I68" i="2"/>
  <c r="O68" i="2" s="1"/>
  <c r="S68" i="2" s="1"/>
  <c r="N54" i="2"/>
  <c r="I54" i="2"/>
  <c r="O54" i="2" s="1"/>
  <c r="T49" i="2"/>
  <c r="X49" i="2" s="1"/>
  <c r="O49" i="2"/>
  <c r="S49" i="2" s="1"/>
  <c r="Y49" i="2" s="1"/>
  <c r="I73" i="2" l="1"/>
  <c r="I74" i="2"/>
  <c r="I75" i="2"/>
  <c r="I76" i="2"/>
  <c r="I77" i="2"/>
  <c r="I78" i="2"/>
  <c r="I53" i="2"/>
  <c r="I79" i="2"/>
  <c r="I80" i="2"/>
  <c r="I81" i="2"/>
  <c r="I82" i="2"/>
  <c r="D153"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D25" i="11"/>
  <c r="D26" i="11"/>
  <c r="D29" i="11"/>
  <c r="D30" i="11"/>
  <c r="D31" i="11"/>
  <c r="D32" i="11"/>
  <c r="D33" i="11"/>
  <c r="D34" i="11"/>
  <c r="D35" i="11"/>
  <c r="D36" i="11"/>
  <c r="D37" i="11"/>
  <c r="D38" i="11"/>
  <c r="D39" i="11"/>
  <c r="D24" i="11"/>
  <c r="C24" i="11"/>
  <c r="C25" i="11"/>
  <c r="C26" i="11"/>
  <c r="C29" i="11"/>
  <c r="C30" i="11"/>
  <c r="C31" i="11"/>
  <c r="C32" i="11"/>
  <c r="C33" i="11"/>
  <c r="C34" i="11"/>
  <c r="C35" i="11"/>
  <c r="C36" i="11"/>
  <c r="C37" i="11"/>
  <c r="C38" i="11"/>
  <c r="C39"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AM86" i="2" l="1"/>
  <c r="AS86" i="2" s="1"/>
  <c r="AW86" i="2" s="1"/>
  <c r="BC86" i="2" s="1"/>
  <c r="BG86" i="2" s="1"/>
  <c r="BV86" i="2" s="1"/>
  <c r="E69" i="11" s="1"/>
  <c r="AM85" i="2"/>
  <c r="AS85" i="2" s="1"/>
  <c r="AW85" i="2" s="1"/>
  <c r="BC85" i="2" s="1"/>
  <c r="BG85" i="2" s="1"/>
  <c r="BV85" i="2" s="1"/>
  <c r="BO85" i="2" l="1"/>
  <c r="BT85" i="2" s="1"/>
  <c r="D54" i="13" s="1"/>
  <c r="BO86" i="2"/>
  <c r="BT86" i="2" s="1"/>
  <c r="Y4" i="13" l="1"/>
  <c r="X4" i="13"/>
  <c r="W4" i="13"/>
  <c r="V4" i="13"/>
  <c r="U4" i="13"/>
  <c r="T4" i="13"/>
  <c r="S4" i="13"/>
  <c r="R4" i="13"/>
  <c r="Q4" i="13"/>
  <c r="P4" i="13"/>
  <c r="O4" i="13"/>
  <c r="N4" i="13"/>
  <c r="M4" i="13"/>
  <c r="L4" i="13"/>
  <c r="K4" i="13"/>
  <c r="J4" i="13"/>
  <c r="I4" i="13"/>
  <c r="H4" i="13"/>
  <c r="G4" i="13"/>
  <c r="F4" i="13"/>
  <c r="N15" i="13" l="1"/>
  <c r="N14" i="13"/>
  <c r="N18" i="13"/>
  <c r="N17" i="13"/>
  <c r="N12" i="13"/>
  <c r="N16" i="13"/>
  <c r="N13" i="13"/>
  <c r="N11" i="13"/>
  <c r="V15" i="13"/>
  <c r="V14" i="13"/>
  <c r="V18" i="13"/>
  <c r="V17" i="13"/>
  <c r="V12" i="13"/>
  <c r="V16" i="13"/>
  <c r="V13" i="13"/>
  <c r="V11" i="13"/>
  <c r="W12" i="13"/>
  <c r="W16" i="13"/>
  <c r="W14" i="13"/>
  <c r="W13" i="13"/>
  <c r="W17" i="13"/>
  <c r="W15" i="13"/>
  <c r="W18" i="13"/>
  <c r="W11" i="13"/>
  <c r="L13" i="13"/>
  <c r="L17" i="13"/>
  <c r="L12" i="13"/>
  <c r="L15" i="13"/>
  <c r="L14" i="13"/>
  <c r="L18" i="13"/>
  <c r="L16" i="13"/>
  <c r="L11" i="13"/>
  <c r="P13" i="13"/>
  <c r="P17" i="13"/>
  <c r="P14" i="13"/>
  <c r="P18" i="13"/>
  <c r="P12" i="13"/>
  <c r="P16" i="13"/>
  <c r="P15" i="13"/>
  <c r="P11" i="13"/>
  <c r="T13" i="13"/>
  <c r="T17" i="13"/>
  <c r="T12" i="13"/>
  <c r="T16" i="13"/>
  <c r="T15" i="13"/>
  <c r="T14" i="13"/>
  <c r="T18" i="13"/>
  <c r="T11" i="13"/>
  <c r="X13" i="13"/>
  <c r="X17" i="13"/>
  <c r="X14" i="13"/>
  <c r="X18" i="13"/>
  <c r="X12" i="13"/>
  <c r="X16" i="13"/>
  <c r="X15" i="13"/>
  <c r="X11" i="13"/>
  <c r="R15" i="13"/>
  <c r="R13" i="13"/>
  <c r="R12" i="13"/>
  <c r="R16" i="13"/>
  <c r="R14" i="13"/>
  <c r="R18" i="13"/>
  <c r="R17" i="13"/>
  <c r="R11" i="13"/>
  <c r="O12" i="13"/>
  <c r="O16" i="13"/>
  <c r="O14" i="13"/>
  <c r="O13" i="13"/>
  <c r="O17" i="13"/>
  <c r="O15" i="13"/>
  <c r="O18" i="13"/>
  <c r="O11" i="13"/>
  <c r="S12" i="13"/>
  <c r="S16" i="13"/>
  <c r="S15" i="13"/>
  <c r="S18" i="13"/>
  <c r="S13" i="13"/>
  <c r="S17" i="13"/>
  <c r="S14" i="13"/>
  <c r="S11" i="13"/>
  <c r="M14" i="13"/>
  <c r="M18" i="13"/>
  <c r="M12" i="13"/>
  <c r="M15" i="13"/>
  <c r="M13" i="13"/>
  <c r="M17" i="13"/>
  <c r="M16" i="13"/>
  <c r="M11" i="13"/>
  <c r="Q14" i="13"/>
  <c r="Q18" i="13"/>
  <c r="Q13" i="13"/>
  <c r="Q17" i="13"/>
  <c r="Q15" i="13"/>
  <c r="Q12" i="13"/>
  <c r="Q16" i="13"/>
  <c r="Q11" i="13"/>
  <c r="U14" i="13"/>
  <c r="U18" i="13"/>
  <c r="U12" i="13"/>
  <c r="U16" i="13"/>
  <c r="U15" i="13"/>
  <c r="U13" i="13"/>
  <c r="U17" i="13"/>
  <c r="U11" i="13"/>
  <c r="Y14" i="13"/>
  <c r="Y18" i="13"/>
  <c r="Y13" i="13"/>
  <c r="Y17" i="13"/>
  <c r="Y15" i="13"/>
  <c r="Y12" i="13"/>
  <c r="Y16" i="13"/>
  <c r="Y11" i="13"/>
  <c r="Y43" i="13"/>
  <c r="X43" i="13"/>
  <c r="W43" i="13"/>
  <c r="V43" i="13"/>
  <c r="U43" i="13"/>
  <c r="T43" i="13"/>
  <c r="S43" i="13"/>
  <c r="R43" i="13"/>
  <c r="Y27" i="13"/>
  <c r="X27" i="13"/>
  <c r="W27" i="13"/>
  <c r="V27" i="13"/>
  <c r="U27" i="13"/>
  <c r="T27" i="13"/>
  <c r="S27" i="13"/>
  <c r="R27" i="13"/>
  <c r="C144" i="14"/>
  <c r="D144" i="14" s="1"/>
  <c r="C143" i="14"/>
  <c r="D143" i="14" s="1"/>
  <c r="C142" i="14"/>
  <c r="D142" i="14" s="1"/>
  <c r="C141" i="14"/>
  <c r="D141" i="14" s="1"/>
  <c r="C140" i="14"/>
  <c r="D140" i="14" s="1"/>
  <c r="C139" i="14"/>
  <c r="D139" i="14" s="1"/>
  <c r="C138" i="14"/>
  <c r="D138" i="14" s="1"/>
  <c r="C137" i="14"/>
  <c r="D137" i="14" s="1"/>
  <c r="C136" i="14"/>
  <c r="D136" i="14" s="1"/>
  <c r="C135" i="14"/>
  <c r="D135" i="14" s="1"/>
  <c r="C134" i="14"/>
  <c r="D134" i="14" s="1"/>
  <c r="C133" i="14"/>
  <c r="D133" i="14" s="1"/>
  <c r="C82" i="14" l="1"/>
  <c r="D82" i="14" s="1"/>
  <c r="C83" i="14"/>
  <c r="D83" i="14" s="1"/>
  <c r="C84" i="14"/>
  <c r="D84" i="14" s="1"/>
  <c r="C85" i="14"/>
  <c r="D85" i="14" s="1"/>
  <c r="C86" i="14"/>
  <c r="D86" i="14" s="1"/>
  <c r="C87" i="14"/>
  <c r="D87" i="14" s="1"/>
  <c r="C88" i="14"/>
  <c r="D88" i="14" s="1"/>
  <c r="C89" i="14"/>
  <c r="D89" i="14" s="1"/>
  <c r="C90" i="14"/>
  <c r="D90" i="14" s="1"/>
  <c r="C91" i="14"/>
  <c r="D91" i="14" s="1"/>
  <c r="H27" i="12"/>
  <c r="T27" i="12" s="1"/>
  <c r="L27" i="12"/>
  <c r="M27" i="12"/>
  <c r="M22" i="12"/>
  <c r="M23" i="12"/>
  <c r="M24" i="12"/>
  <c r="M25" i="12"/>
  <c r="M26" i="12"/>
  <c r="M28" i="12"/>
  <c r="M29" i="12"/>
  <c r="M30" i="12"/>
  <c r="M31" i="12"/>
  <c r="M32" i="12"/>
  <c r="M33" i="12"/>
  <c r="M34" i="12"/>
  <c r="M35" i="12"/>
  <c r="M36" i="12"/>
  <c r="M37" i="12"/>
  <c r="M38" i="12"/>
  <c r="M39" i="12"/>
  <c r="M40" i="12"/>
  <c r="L22" i="12"/>
  <c r="L23" i="12"/>
  <c r="L24" i="12"/>
  <c r="L25" i="12"/>
  <c r="L26" i="12"/>
  <c r="L28" i="12"/>
  <c r="L29" i="12"/>
  <c r="L30" i="12"/>
  <c r="L31" i="12"/>
  <c r="L32" i="12"/>
  <c r="L33" i="12"/>
  <c r="L34" i="12"/>
  <c r="L35" i="12"/>
  <c r="L36" i="12"/>
  <c r="L37" i="12"/>
  <c r="L38" i="12"/>
  <c r="L39" i="12"/>
  <c r="L40" i="12"/>
  <c r="H22" i="12" l="1"/>
  <c r="T22" i="12" s="1"/>
  <c r="H23" i="12"/>
  <c r="T23" i="12" s="1"/>
  <c r="H24" i="12"/>
  <c r="T24" i="12" s="1"/>
  <c r="H25" i="12"/>
  <c r="T25" i="12" s="1"/>
  <c r="H26" i="12"/>
  <c r="T26" i="12" s="1"/>
  <c r="H28" i="12"/>
  <c r="T28" i="12" s="1"/>
  <c r="H29" i="12"/>
  <c r="T29" i="12" s="1"/>
  <c r="H30" i="12"/>
  <c r="T30" i="12" s="1"/>
  <c r="H31" i="12"/>
  <c r="T31" i="12" s="1"/>
  <c r="H32" i="12"/>
  <c r="T32" i="12" s="1"/>
  <c r="H33" i="12"/>
  <c r="T33" i="12" s="1"/>
  <c r="H34" i="12"/>
  <c r="T34" i="12" s="1"/>
  <c r="H35" i="12"/>
  <c r="T35" i="12" s="1"/>
  <c r="H36" i="12"/>
  <c r="T36" i="12" s="1"/>
  <c r="H37" i="12"/>
  <c r="T37" i="12" s="1"/>
  <c r="H38" i="12"/>
  <c r="T38" i="12" s="1"/>
  <c r="H39" i="12"/>
  <c r="T39" i="12" s="1"/>
  <c r="H40" i="12"/>
  <c r="T40" i="12" s="1"/>
  <c r="H21" i="12"/>
  <c r="T21" i="12" s="1"/>
  <c r="T41" i="12" l="1"/>
  <c r="C183" i="14"/>
  <c r="D183" i="14" s="1"/>
  <c r="C184" i="14"/>
  <c r="D184" i="14" s="1"/>
  <c r="C185" i="14"/>
  <c r="D185" i="14" s="1"/>
  <c r="C186" i="14"/>
  <c r="D186" i="14" s="1"/>
  <c r="C187" i="14"/>
  <c r="D187" i="14" s="1"/>
  <c r="C188" i="14"/>
  <c r="D188" i="14" s="1"/>
  <c r="C189" i="14"/>
  <c r="D189" i="14" s="1"/>
  <c r="C190" i="14"/>
  <c r="D190" i="14" s="1"/>
  <c r="C191" i="14"/>
  <c r="D191" i="14" s="1"/>
  <c r="C192" i="14"/>
  <c r="D192" i="14" s="1"/>
  <c r="C193" i="14"/>
  <c r="D193" i="14" s="1"/>
  <c r="C194" i="14"/>
  <c r="D194" i="14" s="1"/>
  <c r="C195" i="14"/>
  <c r="D195" i="14" s="1"/>
  <c r="C196" i="14"/>
  <c r="D196" i="14" s="1"/>
  <c r="C197" i="14"/>
  <c r="D197" i="14" s="1"/>
  <c r="C198" i="14"/>
  <c r="D198" i="14" s="1"/>
  <c r="C199" i="14"/>
  <c r="D199" i="14" s="1"/>
  <c r="C200" i="14"/>
  <c r="D200" i="14" s="1"/>
  <c r="C161" i="14"/>
  <c r="C162" i="14"/>
  <c r="C163" i="14"/>
  <c r="C164" i="14"/>
  <c r="C165" i="14"/>
  <c r="C166" i="14"/>
  <c r="C167" i="14"/>
  <c r="C168" i="14"/>
  <c r="C169" i="14"/>
  <c r="C170" i="14"/>
  <c r="C171" i="14"/>
  <c r="C172" i="14"/>
  <c r="C109" i="14"/>
  <c r="C110" i="14"/>
  <c r="C111" i="14"/>
  <c r="C112" i="14"/>
  <c r="C113" i="14"/>
  <c r="C114" i="14"/>
  <c r="C115" i="14"/>
  <c r="C116" i="14"/>
  <c r="C117" i="14"/>
  <c r="C54" i="14"/>
  <c r="C55" i="14"/>
  <c r="C56" i="14"/>
  <c r="C57" i="14"/>
  <c r="C58" i="14"/>
  <c r="C59" i="14"/>
  <c r="C60" i="14"/>
  <c r="C61" i="14"/>
  <c r="C62" i="14"/>
  <c r="C63" i="14"/>
  <c r="C64" i="14"/>
  <c r="C65" i="14"/>
  <c r="C28" i="14"/>
  <c r="C29" i="14"/>
  <c r="C30" i="14"/>
  <c r="C31" i="14"/>
  <c r="C32" i="14"/>
  <c r="C33" i="14"/>
  <c r="C34" i="14"/>
  <c r="C35" i="14"/>
  <c r="C36" i="14"/>
  <c r="C37" i="14"/>
  <c r="C38" i="14"/>
  <c r="C39" i="14"/>
  <c r="D166" i="14" l="1"/>
  <c r="D165" i="14"/>
  <c r="D172" i="14"/>
  <c r="D171" i="14"/>
  <c r="D170" i="14"/>
  <c r="D169" i="14"/>
  <c r="D168" i="14"/>
  <c r="D167" i="14"/>
  <c r="D164" i="14"/>
  <c r="G200" i="14"/>
  <c r="G199" i="14"/>
  <c r="G198" i="14"/>
  <c r="G197" i="14"/>
  <c r="G196" i="14"/>
  <c r="G195" i="14"/>
  <c r="G194" i="14"/>
  <c r="G193" i="14"/>
  <c r="G192" i="14"/>
  <c r="G191" i="14"/>
  <c r="G190" i="14"/>
  <c r="G189" i="14"/>
  <c r="G188" i="14"/>
  <c r="G187" i="14"/>
  <c r="G186" i="14"/>
  <c r="G185" i="14"/>
  <c r="G184" i="14"/>
  <c r="G183" i="14"/>
  <c r="G182" i="14"/>
  <c r="G181" i="14"/>
  <c r="G91" i="14"/>
  <c r="G90" i="14"/>
  <c r="G89" i="14"/>
  <c r="G88" i="14"/>
  <c r="G87" i="14"/>
  <c r="G86" i="14"/>
  <c r="G85" i="14"/>
  <c r="G84" i="14"/>
  <c r="G83" i="14"/>
  <c r="G82" i="14"/>
  <c r="G81" i="14"/>
  <c r="G80" i="14"/>
  <c r="G79" i="14"/>
  <c r="G78" i="14"/>
  <c r="G77" i="14"/>
  <c r="G76" i="14"/>
  <c r="G75" i="14"/>
  <c r="G74" i="14"/>
  <c r="G73" i="14"/>
  <c r="G72" i="14"/>
  <c r="G65" i="14"/>
  <c r="G64" i="14"/>
  <c r="G63" i="14"/>
  <c r="G62" i="14"/>
  <c r="G61" i="14"/>
  <c r="G60" i="14"/>
  <c r="G59" i="14"/>
  <c r="G58" i="14"/>
  <c r="G57" i="14"/>
  <c r="G56" i="14"/>
  <c r="G55" i="14"/>
  <c r="G54" i="14"/>
  <c r="G53" i="14"/>
  <c r="G52" i="14"/>
  <c r="G51" i="14"/>
  <c r="G50" i="14"/>
  <c r="G49" i="14"/>
  <c r="G48" i="14"/>
  <c r="G47" i="14"/>
  <c r="G46" i="14"/>
  <c r="B21" i="14"/>
  <c r="B22" i="14"/>
  <c r="B23" i="14"/>
  <c r="B24" i="14"/>
  <c r="B25" i="14"/>
  <c r="B130" i="14" s="1"/>
  <c r="B26" i="14"/>
  <c r="B131" i="14" s="1"/>
  <c r="B27" i="14"/>
  <c r="B132" i="14" s="1"/>
  <c r="B28" i="14"/>
  <c r="B133" i="14" s="1"/>
  <c r="B29" i="14"/>
  <c r="B134" i="14" s="1"/>
  <c r="B30" i="14"/>
  <c r="B135" i="14" s="1"/>
  <c r="B31" i="14"/>
  <c r="B136" i="14" s="1"/>
  <c r="B32" i="14"/>
  <c r="B137" i="14" s="1"/>
  <c r="B33" i="14"/>
  <c r="B138" i="14" s="1"/>
  <c r="B34" i="14"/>
  <c r="B139" i="14" s="1"/>
  <c r="B35" i="14"/>
  <c r="B140" i="14" s="1"/>
  <c r="B36" i="14"/>
  <c r="B141" i="14" s="1"/>
  <c r="B37" i="14"/>
  <c r="B142" i="14" s="1"/>
  <c r="B38" i="14"/>
  <c r="B143" i="14" s="1"/>
  <c r="B39" i="14"/>
  <c r="B144" i="14" s="1"/>
  <c r="B20" i="14"/>
  <c r="G143" i="14"/>
  <c r="G142" i="14"/>
  <c r="G140" i="14"/>
  <c r="G139" i="14"/>
  <c r="G138" i="14"/>
  <c r="G136" i="14"/>
  <c r="G135" i="14"/>
  <c r="G134" i="14"/>
  <c r="G132" i="14"/>
  <c r="G131" i="14"/>
  <c r="G130" i="14"/>
  <c r="G129" i="14"/>
  <c r="G128" i="14"/>
  <c r="G127" i="14"/>
  <c r="G126" i="14"/>
  <c r="G125" i="14"/>
  <c r="G117" i="14"/>
  <c r="G116" i="14"/>
  <c r="G113" i="14"/>
  <c r="G110" i="14"/>
  <c r="G109" i="14"/>
  <c r="G108" i="14"/>
  <c r="G107" i="14"/>
  <c r="G105" i="14"/>
  <c r="G104" i="14"/>
  <c r="G103" i="14"/>
  <c r="G102" i="14"/>
  <c r="G101" i="14"/>
  <c r="G100" i="14"/>
  <c r="G99" i="14"/>
  <c r="G98" i="14"/>
  <c r="D59" i="14"/>
  <c r="D132" i="14" l="1"/>
  <c r="D131" i="14"/>
  <c r="D130" i="14"/>
  <c r="B127" i="14"/>
  <c r="B126" i="14"/>
  <c r="B125" i="14"/>
  <c r="B117" i="14"/>
  <c r="B116" i="14"/>
  <c r="B115" i="14"/>
  <c r="B112" i="14"/>
  <c r="B111" i="14"/>
  <c r="B110" i="14"/>
  <c r="B109" i="14"/>
  <c r="B108" i="14"/>
  <c r="B107" i="14"/>
  <c r="B129" i="14"/>
  <c r="B128" i="14"/>
  <c r="B114" i="14"/>
  <c r="B113" i="14"/>
  <c r="G141" i="14"/>
  <c r="G137" i="14"/>
  <c r="G133" i="14"/>
  <c r="G144" i="14"/>
  <c r="G114" i="14"/>
  <c r="G115" i="14"/>
  <c r="G106" i="14"/>
  <c r="G112" i="14"/>
  <c r="G111" i="14"/>
  <c r="B47" i="14"/>
  <c r="B48" i="14"/>
  <c r="B49" i="14"/>
  <c r="B50" i="14"/>
  <c r="B51" i="14"/>
  <c r="B52" i="14"/>
  <c r="B53" i="14"/>
  <c r="B54" i="14"/>
  <c r="B55" i="14"/>
  <c r="B56" i="14"/>
  <c r="B57" i="14"/>
  <c r="B58" i="14"/>
  <c r="B59" i="14"/>
  <c r="B60" i="14"/>
  <c r="B61" i="14"/>
  <c r="B62" i="14"/>
  <c r="B63" i="14"/>
  <c r="B64" i="14"/>
  <c r="B65" i="14"/>
  <c r="B46" i="14"/>
  <c r="D129" i="14" l="1"/>
  <c r="D128" i="14"/>
  <c r="D127" i="14"/>
  <c r="D126" i="14"/>
  <c r="D125" i="14"/>
  <c r="D65" i="14" l="1"/>
  <c r="D63" i="14"/>
  <c r="D61" i="14"/>
  <c r="K41" i="12"/>
  <c r="N41" i="12"/>
  <c r="O41" i="12"/>
  <c r="J41" i="12"/>
  <c r="D47" i="14"/>
  <c r="D48" i="14"/>
  <c r="D50" i="14"/>
  <c r="M21" i="12"/>
  <c r="L21" i="12"/>
  <c r="D46" i="14" s="1"/>
  <c r="D49" i="14" l="1"/>
  <c r="D51" i="14"/>
  <c r="D53" i="14"/>
  <c r="D55" i="14"/>
  <c r="D57" i="14"/>
  <c r="D60" i="14"/>
  <c r="D62" i="14"/>
  <c r="D64" i="14"/>
  <c r="D52" i="14"/>
  <c r="D54" i="14"/>
  <c r="D56" i="14"/>
  <c r="D58" i="14"/>
  <c r="M41" i="12"/>
  <c r="L41" i="12"/>
  <c r="BU42" i="2" l="1"/>
  <c r="BN42" i="2"/>
  <c r="BM42" i="2"/>
  <c r="BK42" i="2"/>
  <c r="BJ42" i="2"/>
  <c r="BI42" i="2"/>
  <c r="BF42" i="2"/>
  <c r="BE42" i="2"/>
  <c r="BD42" i="2"/>
  <c r="BA42" i="2"/>
  <c r="AZ42" i="2"/>
  <c r="AY42" i="2"/>
  <c r="AV42" i="2"/>
  <c r="AU42" i="2"/>
  <c r="AT42" i="2"/>
  <c r="AQ42" i="2"/>
  <c r="AP42" i="2"/>
  <c r="AO42" i="2"/>
  <c r="AL42" i="2"/>
  <c r="AK42" i="2"/>
  <c r="AJ42" i="2"/>
  <c r="AG42" i="2"/>
  <c r="AF42" i="2"/>
  <c r="AE42" i="2"/>
  <c r="AB42" i="2"/>
  <c r="AA42" i="2"/>
  <c r="Z42" i="2"/>
  <c r="W42" i="2"/>
  <c r="V42" i="2"/>
  <c r="U42" i="2"/>
  <c r="R42" i="2"/>
  <c r="Q42" i="2"/>
  <c r="P42" i="2"/>
  <c r="M42" i="2"/>
  <c r="L42" i="2"/>
  <c r="K42" i="2"/>
  <c r="J42" i="2"/>
  <c r="H42" i="2"/>
  <c r="G42" i="2"/>
  <c r="BK60" i="2"/>
  <c r="BJ60" i="2"/>
  <c r="BI60" i="2"/>
  <c r="BF60" i="2"/>
  <c r="BE60" i="2"/>
  <c r="BD60" i="2"/>
  <c r="BK44" i="2"/>
  <c r="BJ44" i="2"/>
  <c r="BI44" i="2"/>
  <c r="BF44" i="2"/>
  <c r="BE44" i="2"/>
  <c r="BD44" i="2"/>
  <c r="T39" i="2"/>
  <c r="X39" i="2" s="1"/>
  <c r="AD39" i="2" s="1"/>
  <c r="AH39" i="2" s="1"/>
  <c r="AN39" i="2" s="1"/>
  <c r="AR39" i="2" s="1"/>
  <c r="AX39" i="2" s="1"/>
  <c r="BB39" i="2" s="1"/>
  <c r="O39" i="2"/>
  <c r="S39" i="2" s="1"/>
  <c r="Y39" i="2" s="1"/>
  <c r="AC39" i="2" s="1"/>
  <c r="AI39" i="2" s="1"/>
  <c r="AM39" i="2" s="1"/>
  <c r="AS39" i="2" s="1"/>
  <c r="AW39" i="2" s="1"/>
  <c r="BC39" i="2" s="1"/>
  <c r="BG39" i="2" s="1"/>
  <c r="T38" i="2"/>
  <c r="X38" i="2" s="1"/>
  <c r="AD38" i="2" s="1"/>
  <c r="AH38" i="2" s="1"/>
  <c r="AN38" i="2" s="1"/>
  <c r="AR38" i="2" s="1"/>
  <c r="AX38" i="2" s="1"/>
  <c r="BB38" i="2" s="1"/>
  <c r="O38" i="2"/>
  <c r="S38" i="2" s="1"/>
  <c r="Y38" i="2" s="1"/>
  <c r="AC38" i="2" s="1"/>
  <c r="AI38" i="2" s="1"/>
  <c r="AM38" i="2" s="1"/>
  <c r="AS38" i="2" s="1"/>
  <c r="AW38" i="2" s="1"/>
  <c r="BJ43" i="2" l="1"/>
  <c r="BO39" i="2"/>
  <c r="BQ39" i="2" s="1"/>
  <c r="BI43" i="2"/>
  <c r="BF43" i="2"/>
  <c r="BE43" i="2"/>
  <c r="BC38" i="2"/>
  <c r="BG38" i="2" s="1"/>
  <c r="BD65" i="2"/>
  <c r="BD71" i="2" s="1"/>
  <c r="BJ65" i="2"/>
  <c r="BJ71" i="2" s="1"/>
  <c r="BH38" i="2"/>
  <c r="BL38" i="2" s="1"/>
  <c r="BP38" i="2" s="1"/>
  <c r="BH39" i="2"/>
  <c r="BL39" i="2" s="1"/>
  <c r="BP39" i="2" s="1"/>
  <c r="BE65" i="2"/>
  <c r="BE71" i="2" s="1"/>
  <c r="BK65" i="2"/>
  <c r="BK71" i="2" s="1"/>
  <c r="BI65" i="2"/>
  <c r="BI71" i="2" s="1"/>
  <c r="BF65" i="2"/>
  <c r="BF71" i="2" s="1"/>
  <c r="BK43" i="2"/>
  <c r="BD43" i="2"/>
  <c r="T36" i="2"/>
  <c r="X36" i="2" s="1"/>
  <c r="AD36" i="2" s="1"/>
  <c r="AH36" i="2" s="1"/>
  <c r="AN36" i="2" s="1"/>
  <c r="AR36" i="2" s="1"/>
  <c r="AX36" i="2" s="1"/>
  <c r="BB36" i="2" s="1"/>
  <c r="BH36" i="2" s="1"/>
  <c r="BL36" i="2" s="1"/>
  <c r="BP36" i="2" s="1"/>
  <c r="O36" i="2"/>
  <c r="S36" i="2" s="1"/>
  <c r="Y36" i="2" s="1"/>
  <c r="AC36" i="2" s="1"/>
  <c r="AI36" i="2" s="1"/>
  <c r="AM36" i="2" s="1"/>
  <c r="AS36" i="2" s="1"/>
  <c r="AW36" i="2" s="1"/>
  <c r="BS39" i="2" l="1"/>
  <c r="BT39" i="2"/>
  <c r="D18" i="13" s="1"/>
  <c r="BO38" i="2"/>
  <c r="BV38" i="2"/>
  <c r="BV39" i="2"/>
  <c r="BC36" i="2"/>
  <c r="BG36" i="2" s="1"/>
  <c r="D41" i="12"/>
  <c r="O82" i="2"/>
  <c r="S82" i="2" s="1"/>
  <c r="Y82" i="2" s="1"/>
  <c r="AC82" i="2" s="1"/>
  <c r="AI82" i="2" s="1"/>
  <c r="AM82" i="2" s="1"/>
  <c r="AS82" i="2" s="1"/>
  <c r="AW82" i="2" s="1"/>
  <c r="N82" i="2"/>
  <c r="T82" i="2" s="1"/>
  <c r="X82" i="2" s="1"/>
  <c r="AD82" i="2" s="1"/>
  <c r="AH82" i="2" s="1"/>
  <c r="AN82" i="2" s="1"/>
  <c r="AR82" i="2" s="1"/>
  <c r="AX82" i="2" s="1"/>
  <c r="BB82" i="2" s="1"/>
  <c r="O81" i="2"/>
  <c r="S81" i="2" s="1"/>
  <c r="Y81" i="2" s="1"/>
  <c r="AC81" i="2" s="1"/>
  <c r="AI81" i="2" s="1"/>
  <c r="AM81" i="2" s="1"/>
  <c r="AS81" i="2" s="1"/>
  <c r="AW81" i="2" s="1"/>
  <c r="N81" i="2"/>
  <c r="T81" i="2" s="1"/>
  <c r="X81" i="2" s="1"/>
  <c r="AD81" i="2" s="1"/>
  <c r="AH81" i="2" s="1"/>
  <c r="AN81" i="2" s="1"/>
  <c r="AR81" i="2" s="1"/>
  <c r="AX81" i="2" s="1"/>
  <c r="BB81" i="2" s="1"/>
  <c r="O80" i="2"/>
  <c r="S80" i="2" s="1"/>
  <c r="Y80" i="2" s="1"/>
  <c r="AC80" i="2" s="1"/>
  <c r="AI80" i="2" s="1"/>
  <c r="AM80" i="2" s="1"/>
  <c r="AS80" i="2" s="1"/>
  <c r="AW80" i="2" s="1"/>
  <c r="N80" i="2"/>
  <c r="T80" i="2" s="1"/>
  <c r="X80" i="2" s="1"/>
  <c r="AD80" i="2" s="1"/>
  <c r="AH80" i="2" s="1"/>
  <c r="AN80" i="2" s="1"/>
  <c r="AR80" i="2" s="1"/>
  <c r="AX80" i="2" s="1"/>
  <c r="BB80" i="2" s="1"/>
  <c r="BH80" i="2" s="1"/>
  <c r="BL80" i="2" s="1"/>
  <c r="BP80" i="2" s="1"/>
  <c r="BS80" i="2" s="1"/>
  <c r="O79" i="2"/>
  <c r="S79" i="2" s="1"/>
  <c r="Y79" i="2" s="1"/>
  <c r="AC79" i="2" s="1"/>
  <c r="AI79" i="2" s="1"/>
  <c r="AM79" i="2" s="1"/>
  <c r="AS79" i="2" s="1"/>
  <c r="AW79" i="2" s="1"/>
  <c r="N79" i="2"/>
  <c r="T79" i="2" s="1"/>
  <c r="X79" i="2" s="1"/>
  <c r="AD79" i="2" s="1"/>
  <c r="AH79" i="2" s="1"/>
  <c r="AN79" i="2" s="1"/>
  <c r="AR79" i="2" s="1"/>
  <c r="AX79" i="2" s="1"/>
  <c r="BB79" i="2" s="1"/>
  <c r="BU60" i="2"/>
  <c r="I47" i="2"/>
  <c r="O47" i="2" s="1"/>
  <c r="I48" i="2"/>
  <c r="O48" i="2" s="1"/>
  <c r="S48" i="2" s="1"/>
  <c r="Y48" i="2" s="1"/>
  <c r="AC48" i="2" s="1"/>
  <c r="AI48" i="2" s="1"/>
  <c r="AM48" i="2" s="1"/>
  <c r="AS48" i="2" s="1"/>
  <c r="AW48" i="2" s="1"/>
  <c r="BC48" i="2" s="1"/>
  <c r="BG48" i="2" s="1"/>
  <c r="AC49" i="2"/>
  <c r="AI49" i="2" s="1"/>
  <c r="AM49" i="2" s="1"/>
  <c r="AS49" i="2" s="1"/>
  <c r="AW49" i="2" s="1"/>
  <c r="BC49" i="2" s="1"/>
  <c r="BG49" i="2" s="1"/>
  <c r="I50" i="2"/>
  <c r="O50" i="2" s="1"/>
  <c r="S50" i="2" s="1"/>
  <c r="Y50" i="2" s="1"/>
  <c r="AC50" i="2" s="1"/>
  <c r="AI50" i="2" s="1"/>
  <c r="AM50" i="2" s="1"/>
  <c r="AS50" i="2" s="1"/>
  <c r="AW50" i="2" s="1"/>
  <c r="I51" i="2"/>
  <c r="O51" i="2" s="1"/>
  <c r="S51" i="2" s="1"/>
  <c r="Y51" i="2" s="1"/>
  <c r="AC51" i="2" s="1"/>
  <c r="AI51" i="2" s="1"/>
  <c r="AM51" i="2" s="1"/>
  <c r="AS51" i="2" s="1"/>
  <c r="AW51" i="2" s="1"/>
  <c r="BC51" i="2" s="1"/>
  <c r="BG51" i="2" s="1"/>
  <c r="I52" i="2"/>
  <c r="O52" i="2" s="1"/>
  <c r="S52" i="2" s="1"/>
  <c r="Y52" i="2" s="1"/>
  <c r="AC52" i="2" s="1"/>
  <c r="AI52" i="2" s="1"/>
  <c r="AM52" i="2" s="1"/>
  <c r="AS52" i="2" s="1"/>
  <c r="AW52" i="2" s="1"/>
  <c r="BC52" i="2" s="1"/>
  <c r="BG52" i="2" s="1"/>
  <c r="O73" i="2"/>
  <c r="S73" i="2" s="1"/>
  <c r="Y73" i="2" s="1"/>
  <c r="AC73" i="2" s="1"/>
  <c r="AI73" i="2" s="1"/>
  <c r="AM73" i="2" s="1"/>
  <c r="AS73" i="2" s="1"/>
  <c r="AW73" i="2" s="1"/>
  <c r="BC73" i="2" s="1"/>
  <c r="BG73" i="2" s="1"/>
  <c r="O74" i="2"/>
  <c r="S74" i="2" s="1"/>
  <c r="Y74" i="2" s="1"/>
  <c r="AC74" i="2" s="1"/>
  <c r="AI74" i="2" s="1"/>
  <c r="AM74" i="2" s="1"/>
  <c r="AS74" i="2" s="1"/>
  <c r="AW74" i="2" s="1"/>
  <c r="BC74" i="2" s="1"/>
  <c r="BG74" i="2" s="1"/>
  <c r="O75" i="2"/>
  <c r="S75" i="2" s="1"/>
  <c r="Y75" i="2" s="1"/>
  <c r="AC75" i="2" s="1"/>
  <c r="AI75" i="2" s="1"/>
  <c r="AM75" i="2" s="1"/>
  <c r="AS75" i="2" s="1"/>
  <c r="AW75" i="2" s="1"/>
  <c r="BC75" i="2" s="1"/>
  <c r="BG75" i="2" s="1"/>
  <c r="O76" i="2"/>
  <c r="S76" i="2" s="1"/>
  <c r="Y76" i="2" s="1"/>
  <c r="AC76" i="2" s="1"/>
  <c r="AI76" i="2" s="1"/>
  <c r="AM76" i="2" s="1"/>
  <c r="AS76" i="2" s="1"/>
  <c r="AW76" i="2" s="1"/>
  <c r="BC76" i="2" s="1"/>
  <c r="BG76" i="2" s="1"/>
  <c r="O77" i="2"/>
  <c r="S77" i="2" s="1"/>
  <c r="Y77" i="2" s="1"/>
  <c r="AC77" i="2" s="1"/>
  <c r="AI77" i="2" s="1"/>
  <c r="AM77" i="2" s="1"/>
  <c r="AS77" i="2" s="1"/>
  <c r="AW77" i="2" s="1"/>
  <c r="O78" i="2"/>
  <c r="S78" i="2" s="1"/>
  <c r="Y78" i="2" s="1"/>
  <c r="AC78" i="2" s="1"/>
  <c r="AI78" i="2" s="1"/>
  <c r="AM78" i="2" s="1"/>
  <c r="AS78" i="2" s="1"/>
  <c r="AW78" i="2" s="1"/>
  <c r="O53" i="2"/>
  <c r="S53" i="2" s="1"/>
  <c r="Y53" i="2" s="1"/>
  <c r="AC53" i="2" s="1"/>
  <c r="AI53" i="2" s="1"/>
  <c r="AM53" i="2" s="1"/>
  <c r="AS53" i="2" s="1"/>
  <c r="AW53" i="2" s="1"/>
  <c r="BC53" i="2" s="1"/>
  <c r="BG53" i="2" s="1"/>
  <c r="S54" i="2"/>
  <c r="Y54" i="2" s="1"/>
  <c r="AC54" i="2" s="1"/>
  <c r="AI54" i="2" s="1"/>
  <c r="AM54" i="2" s="1"/>
  <c r="AS54" i="2" s="1"/>
  <c r="AW54" i="2" s="1"/>
  <c r="BC54" i="2" s="1"/>
  <c r="BG54" i="2" s="1"/>
  <c r="I55" i="2"/>
  <c r="O55" i="2" s="1"/>
  <c r="S55" i="2" s="1"/>
  <c r="Y55" i="2" s="1"/>
  <c r="AC55" i="2" s="1"/>
  <c r="AI55" i="2" s="1"/>
  <c r="AM55" i="2" s="1"/>
  <c r="AS55" i="2" s="1"/>
  <c r="AW55" i="2" s="1"/>
  <c r="BC55" i="2" s="1"/>
  <c r="BG55" i="2" s="1"/>
  <c r="I56" i="2"/>
  <c r="O56" i="2" s="1"/>
  <c r="S56" i="2" s="1"/>
  <c r="Y56" i="2" s="1"/>
  <c r="AC56" i="2" s="1"/>
  <c r="AI56" i="2" s="1"/>
  <c r="AM56" i="2" s="1"/>
  <c r="AS56" i="2" s="1"/>
  <c r="AW56" i="2" s="1"/>
  <c r="I57" i="2"/>
  <c r="O57" i="2" s="1"/>
  <c r="S57" i="2" s="1"/>
  <c r="Y57" i="2" s="1"/>
  <c r="AC57" i="2" s="1"/>
  <c r="AI57" i="2" s="1"/>
  <c r="AM57" i="2" s="1"/>
  <c r="AS57" i="2" s="1"/>
  <c r="AW57" i="2" s="1"/>
  <c r="BC57" i="2" s="1"/>
  <c r="BG57" i="2" s="1"/>
  <c r="I58" i="2"/>
  <c r="O58" i="2" s="1"/>
  <c r="S58" i="2" s="1"/>
  <c r="Y58" i="2" s="1"/>
  <c r="AC58" i="2" s="1"/>
  <c r="AI58" i="2" s="1"/>
  <c r="AM58" i="2" s="1"/>
  <c r="AS58" i="2" s="1"/>
  <c r="AW58" i="2" s="1"/>
  <c r="AI25" i="2"/>
  <c r="AM25" i="2" s="1"/>
  <c r="AS25" i="2" s="1"/>
  <c r="AW25" i="2" s="1"/>
  <c r="BC25" i="2" s="1"/>
  <c r="I26" i="2"/>
  <c r="O29" i="2"/>
  <c r="S29" i="2" s="1"/>
  <c r="Y29" i="2" s="1"/>
  <c r="AC29" i="2" s="1"/>
  <c r="AI29" i="2" s="1"/>
  <c r="AM29" i="2" s="1"/>
  <c r="AS29" i="2" s="1"/>
  <c r="AW29" i="2" s="1"/>
  <c r="O30" i="2"/>
  <c r="S30" i="2" s="1"/>
  <c r="Y30" i="2" s="1"/>
  <c r="AC30" i="2" s="1"/>
  <c r="AI30" i="2" s="1"/>
  <c r="AM30" i="2" s="1"/>
  <c r="AS30" i="2" s="1"/>
  <c r="AW30" i="2" s="1"/>
  <c r="O31" i="2"/>
  <c r="S31" i="2" s="1"/>
  <c r="Y31" i="2" s="1"/>
  <c r="AC31" i="2" s="1"/>
  <c r="AI31" i="2" s="1"/>
  <c r="AM31" i="2" s="1"/>
  <c r="AS31" i="2" s="1"/>
  <c r="AW31" i="2" s="1"/>
  <c r="O32" i="2"/>
  <c r="S32" i="2" s="1"/>
  <c r="Y32" i="2" s="1"/>
  <c r="AC32" i="2" s="1"/>
  <c r="AI32" i="2" s="1"/>
  <c r="AM32" i="2" s="1"/>
  <c r="AS32" i="2" s="1"/>
  <c r="AW32" i="2" s="1"/>
  <c r="O33" i="2"/>
  <c r="S33" i="2" s="1"/>
  <c r="Y33" i="2" s="1"/>
  <c r="AC33" i="2" s="1"/>
  <c r="AI33" i="2" s="1"/>
  <c r="AM33" i="2" s="1"/>
  <c r="AS33" i="2" s="1"/>
  <c r="AW33" i="2" s="1"/>
  <c r="O34" i="2"/>
  <c r="O35" i="2"/>
  <c r="S35" i="2" s="1"/>
  <c r="Y35" i="2" s="1"/>
  <c r="AC35" i="2" s="1"/>
  <c r="AI35" i="2" s="1"/>
  <c r="AM35" i="2" s="1"/>
  <c r="AS35" i="2" s="1"/>
  <c r="AW35" i="2" s="1"/>
  <c r="O37" i="2"/>
  <c r="S37" i="2" s="1"/>
  <c r="Y37" i="2" s="1"/>
  <c r="AC37" i="2" s="1"/>
  <c r="AI37" i="2" s="1"/>
  <c r="AM37" i="2" s="1"/>
  <c r="AS37" i="2" s="1"/>
  <c r="AW37" i="2" s="1"/>
  <c r="I62" i="2"/>
  <c r="I63" i="2"/>
  <c r="O63" i="2" s="1"/>
  <c r="S63" i="2" s="1"/>
  <c r="Y63" i="2" s="1"/>
  <c r="AC63" i="2" s="1"/>
  <c r="AI63" i="2" s="1"/>
  <c r="AM63" i="2" s="1"/>
  <c r="AS63" i="2" s="1"/>
  <c r="AW63" i="2" s="1"/>
  <c r="Y68" i="2"/>
  <c r="AC68" i="2" s="1"/>
  <c r="AI68" i="2" s="1"/>
  <c r="AM68" i="2" s="1"/>
  <c r="AS68" i="2" s="1"/>
  <c r="AW68" i="2" s="1"/>
  <c r="N47" i="2"/>
  <c r="N48" i="2"/>
  <c r="T48" i="2" s="1"/>
  <c r="X48" i="2" s="1"/>
  <c r="AD48" i="2" s="1"/>
  <c r="AH48" i="2" s="1"/>
  <c r="AN48" i="2" s="1"/>
  <c r="AR48" i="2" s="1"/>
  <c r="AX48" i="2" s="1"/>
  <c r="BB48" i="2" s="1"/>
  <c r="BH48" i="2" s="1"/>
  <c r="BL48" i="2" s="1"/>
  <c r="BP48" i="2" s="1"/>
  <c r="BS48" i="2" s="1"/>
  <c r="AD49" i="2"/>
  <c r="AH49" i="2" s="1"/>
  <c r="AN49" i="2" s="1"/>
  <c r="AR49" i="2" s="1"/>
  <c r="AX49" i="2" s="1"/>
  <c r="BB49" i="2" s="1"/>
  <c r="N50" i="2"/>
  <c r="T50" i="2" s="1"/>
  <c r="X50" i="2" s="1"/>
  <c r="AD50" i="2" s="1"/>
  <c r="AH50" i="2" s="1"/>
  <c r="AN50" i="2" s="1"/>
  <c r="AR50" i="2" s="1"/>
  <c r="AX50" i="2" s="1"/>
  <c r="BB50" i="2" s="1"/>
  <c r="BH50" i="2" s="1"/>
  <c r="BL50" i="2" s="1"/>
  <c r="BP50" i="2" s="1"/>
  <c r="BS50" i="2" s="1"/>
  <c r="N51" i="2"/>
  <c r="T51" i="2" s="1"/>
  <c r="X51" i="2" s="1"/>
  <c r="AD51" i="2" s="1"/>
  <c r="AH51" i="2" s="1"/>
  <c r="AN51" i="2" s="1"/>
  <c r="AR51" i="2" s="1"/>
  <c r="AX51" i="2" s="1"/>
  <c r="BB51" i="2" s="1"/>
  <c r="N52" i="2"/>
  <c r="T52" i="2" s="1"/>
  <c r="X52" i="2" s="1"/>
  <c r="AD52" i="2" s="1"/>
  <c r="AH52" i="2" s="1"/>
  <c r="AN52" i="2" s="1"/>
  <c r="AR52" i="2" s="1"/>
  <c r="AX52" i="2" s="1"/>
  <c r="BB52" i="2" s="1"/>
  <c r="N73" i="2"/>
  <c r="T73" i="2" s="1"/>
  <c r="X73" i="2" s="1"/>
  <c r="AD73" i="2" s="1"/>
  <c r="AH73" i="2" s="1"/>
  <c r="AN73" i="2" s="1"/>
  <c r="AR73" i="2" s="1"/>
  <c r="AX73" i="2" s="1"/>
  <c r="BB73" i="2" s="1"/>
  <c r="N74" i="2"/>
  <c r="T74" i="2" s="1"/>
  <c r="X74" i="2" s="1"/>
  <c r="AD74" i="2" s="1"/>
  <c r="AH74" i="2" s="1"/>
  <c r="AN74" i="2" s="1"/>
  <c r="AR74" i="2" s="1"/>
  <c r="AX74" i="2" s="1"/>
  <c r="BB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X77" i="2" s="1"/>
  <c r="N78" i="2"/>
  <c r="T78" i="2" s="1"/>
  <c r="X78" i="2" s="1"/>
  <c r="AD78" i="2" s="1"/>
  <c r="AH78" i="2" s="1"/>
  <c r="AN78" i="2" s="1"/>
  <c r="AR78" i="2" s="1"/>
  <c r="AX78" i="2" s="1"/>
  <c r="BB78" i="2" s="1"/>
  <c r="BH78" i="2" s="1"/>
  <c r="BL78" i="2" s="1"/>
  <c r="BP78" i="2" s="1"/>
  <c r="BS78" i="2" s="1"/>
  <c r="N53" i="2"/>
  <c r="T53" i="2" s="1"/>
  <c r="X53" i="2" s="1"/>
  <c r="AD53" i="2" s="1"/>
  <c r="AH53" i="2" s="1"/>
  <c r="AN53" i="2" s="1"/>
  <c r="AR53" i="2" s="1"/>
  <c r="AX53" i="2" s="1"/>
  <c r="BB53" i="2" s="1"/>
  <c r="BH53" i="2" s="1"/>
  <c r="BL53" i="2" s="1"/>
  <c r="BP53" i="2" s="1"/>
  <c r="BS53" i="2" s="1"/>
  <c r="T54" i="2"/>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N58" i="2"/>
  <c r="T58" i="2" s="1"/>
  <c r="X58" i="2" s="1"/>
  <c r="AD58" i="2" s="1"/>
  <c r="AH58" i="2" s="1"/>
  <c r="AN58" i="2" s="1"/>
  <c r="AR58" i="2" s="1"/>
  <c r="AX58" i="2" s="1"/>
  <c r="BB58" i="2" s="1"/>
  <c r="BH58" i="2" s="1"/>
  <c r="BL58" i="2" s="1"/>
  <c r="BP58" i="2" s="1"/>
  <c r="BS58" i="2" s="1"/>
  <c r="T29" i="2"/>
  <c r="X29" i="2" s="1"/>
  <c r="T30" i="2"/>
  <c r="X30" i="2" s="1"/>
  <c r="AD30" i="2" s="1"/>
  <c r="AH30" i="2" s="1"/>
  <c r="AN30" i="2" s="1"/>
  <c r="AR30" i="2" s="1"/>
  <c r="AX30" i="2" s="1"/>
  <c r="BB30" i="2" s="1"/>
  <c r="BH30" i="2" s="1"/>
  <c r="BL30" i="2" s="1"/>
  <c r="BP30" i="2" s="1"/>
  <c r="T31" i="2"/>
  <c r="X31" i="2" s="1"/>
  <c r="AD31" i="2" s="1"/>
  <c r="AH31" i="2" s="1"/>
  <c r="AN31" i="2" s="1"/>
  <c r="AR31" i="2" s="1"/>
  <c r="AX31" i="2" s="1"/>
  <c r="BB31" i="2" s="1"/>
  <c r="BH31" i="2" s="1"/>
  <c r="BL31" i="2" s="1"/>
  <c r="BP31" i="2" s="1"/>
  <c r="T32" i="2"/>
  <c r="T33" i="2"/>
  <c r="X33" i="2" s="1"/>
  <c r="AD33" i="2" s="1"/>
  <c r="AH33" i="2" s="1"/>
  <c r="AN33" i="2" s="1"/>
  <c r="AR33" i="2" s="1"/>
  <c r="AX33" i="2" s="1"/>
  <c r="BB33" i="2" s="1"/>
  <c r="BH33" i="2" s="1"/>
  <c r="BL33" i="2" s="1"/>
  <c r="BP33" i="2" s="1"/>
  <c r="T34" i="2"/>
  <c r="T35" i="2"/>
  <c r="X35" i="2" s="1"/>
  <c r="AD35" i="2" s="1"/>
  <c r="AH35" i="2" s="1"/>
  <c r="AN35" i="2" s="1"/>
  <c r="AR35" i="2" s="1"/>
  <c r="AX35" i="2" s="1"/>
  <c r="BB35" i="2" s="1"/>
  <c r="BH35" i="2" s="1"/>
  <c r="BL35" i="2" s="1"/>
  <c r="BP35" i="2" s="1"/>
  <c r="T37" i="2"/>
  <c r="X37" i="2" s="1"/>
  <c r="AD37" i="2" s="1"/>
  <c r="AH37" i="2" s="1"/>
  <c r="AN37" i="2" s="1"/>
  <c r="AR37" i="2" s="1"/>
  <c r="N62" i="2"/>
  <c r="N63" i="2"/>
  <c r="T63" i="2" s="1"/>
  <c r="X68" i="2"/>
  <c r="AD68" i="2" s="1"/>
  <c r="AH68" i="2" s="1"/>
  <c r="AN68" i="2" s="1"/>
  <c r="AR68" i="2" s="1"/>
  <c r="AX68" i="2" s="1"/>
  <c r="BB68" i="2" s="1"/>
  <c r="BH68" i="2" s="1"/>
  <c r="BL68" i="2" s="1"/>
  <c r="BP68" i="2" s="1"/>
  <c r="BU44" i="2"/>
  <c r="C44" i="2"/>
  <c r="I31" i="16" s="1"/>
  <c r="I18" i="16"/>
  <c r="I19" i="16"/>
  <c r="I33" i="16"/>
  <c r="I34" i="16"/>
  <c r="I35" i="16"/>
  <c r="I36" i="16"/>
  <c r="BA60" i="2"/>
  <c r="BA65" i="2" s="1"/>
  <c r="AZ60" i="2"/>
  <c r="AZ65" i="2" s="1"/>
  <c r="AY60" i="2"/>
  <c r="AY65" i="2" s="1"/>
  <c r="AV60" i="2"/>
  <c r="AV65" i="2" s="1"/>
  <c r="AU60" i="2"/>
  <c r="AT60" i="2"/>
  <c r="AT65" i="2" s="1"/>
  <c r="BA44" i="2"/>
  <c r="AZ44" i="2"/>
  <c r="AY44" i="2"/>
  <c r="AV44" i="2"/>
  <c r="AU44" i="2"/>
  <c r="AU43" i="2" s="1"/>
  <c r="AT44" i="2"/>
  <c r="G154" i="14"/>
  <c r="G155" i="14"/>
  <c r="G156" i="14"/>
  <c r="G157" i="14"/>
  <c r="G158" i="14"/>
  <c r="G159" i="14"/>
  <c r="G160" i="14"/>
  <c r="G161" i="14"/>
  <c r="G162" i="14"/>
  <c r="G163" i="14"/>
  <c r="G164" i="14"/>
  <c r="G165" i="14"/>
  <c r="G166" i="14"/>
  <c r="G167" i="14"/>
  <c r="G168" i="14"/>
  <c r="G169" i="14"/>
  <c r="G170" i="14"/>
  <c r="G171" i="14"/>
  <c r="G172" i="14"/>
  <c r="G153" i="14"/>
  <c r="AJ44" i="2"/>
  <c r="AQ60" i="2"/>
  <c r="AQ65" i="2" s="1"/>
  <c r="AP60" i="2"/>
  <c r="AO60" i="2"/>
  <c r="AO65" i="2" s="1"/>
  <c r="AL60" i="2"/>
  <c r="AL65" i="2" s="1"/>
  <c r="AK60" i="2"/>
  <c r="AJ60" i="2"/>
  <c r="AJ65" i="2" s="1"/>
  <c r="AQ44" i="2"/>
  <c r="AP44" i="2"/>
  <c r="AO44" i="2"/>
  <c r="AL44" i="2"/>
  <c r="AL43" i="2" s="1"/>
  <c r="AK44" i="2"/>
  <c r="G20" i="14"/>
  <c r="D20" i="14"/>
  <c r="G23" i="14"/>
  <c r="G25" i="14"/>
  <c r="G26" i="14"/>
  <c r="D27" i="14"/>
  <c r="G28" i="14"/>
  <c r="D29" i="14"/>
  <c r="D30" i="14"/>
  <c r="D31" i="14"/>
  <c r="G32" i="14"/>
  <c r="D34" i="14"/>
  <c r="D35" i="14"/>
  <c r="G36" i="14"/>
  <c r="G38" i="14"/>
  <c r="D39" i="14"/>
  <c r="B185" i="14"/>
  <c r="E185" i="14" s="1"/>
  <c r="B186" i="14"/>
  <c r="E186" i="14" s="1"/>
  <c r="B78" i="14"/>
  <c r="B188" i="14"/>
  <c r="E188" i="14" s="1"/>
  <c r="B189" i="14"/>
  <c r="E189" i="14" s="1"/>
  <c r="B162" i="14"/>
  <c r="B163" i="14"/>
  <c r="B192" i="14"/>
  <c r="E192" i="14" s="1"/>
  <c r="B193" i="14"/>
  <c r="E193" i="14" s="1"/>
  <c r="B194" i="14"/>
  <c r="E194" i="14" s="1"/>
  <c r="B195" i="14"/>
  <c r="E195" i="14" s="1"/>
  <c r="B196" i="14"/>
  <c r="E196" i="14" s="1"/>
  <c r="B197" i="14"/>
  <c r="E197" i="14" s="1"/>
  <c r="B171" i="14"/>
  <c r="B200" i="14"/>
  <c r="E200" i="14" s="1"/>
  <c r="D40" i="13"/>
  <c r="G24" i="14"/>
  <c r="D24" i="14"/>
  <c r="G22" i="14"/>
  <c r="D22" i="14"/>
  <c r="G39" i="14"/>
  <c r="D37" i="14"/>
  <c r="G37" i="14"/>
  <c r="D33" i="14"/>
  <c r="G33" i="14"/>
  <c r="D21" i="14"/>
  <c r="G21" i="14"/>
  <c r="F41" i="12"/>
  <c r="G41" i="12"/>
  <c r="I41" i="12"/>
  <c r="E41" i="12"/>
  <c r="BN60" i="2"/>
  <c r="BN65" i="2" s="1"/>
  <c r="BM60" i="2"/>
  <c r="AG60" i="2"/>
  <c r="AG65" i="2" s="1"/>
  <c r="AF60" i="2"/>
  <c r="AA60" i="2"/>
  <c r="AA65" i="2" s="1"/>
  <c r="AA71" i="2" s="1"/>
  <c r="Z60" i="2"/>
  <c r="W60" i="2"/>
  <c r="W65" i="2" s="1"/>
  <c r="W71" i="2" s="1"/>
  <c r="V60" i="2"/>
  <c r="V65" i="2" s="1"/>
  <c r="P60" i="2"/>
  <c r="P65" i="2" s="1"/>
  <c r="F60" i="2"/>
  <c r="AE60" i="2"/>
  <c r="AE65" i="2" s="1"/>
  <c r="AE71" i="2" s="1"/>
  <c r="AB60" i="2"/>
  <c r="AB65" i="2" s="1"/>
  <c r="AG44" i="2"/>
  <c r="AF44" i="2"/>
  <c r="AF43" i="2" s="1"/>
  <c r="AE44" i="2"/>
  <c r="AE43" i="2" s="1"/>
  <c r="AB44" i="2"/>
  <c r="AB43" i="2" s="1"/>
  <c r="AA44" i="2"/>
  <c r="AA43" i="2" s="1"/>
  <c r="Z44" i="2"/>
  <c r="Z43" i="2" s="1"/>
  <c r="BM44" i="2"/>
  <c r="BM43" i="2" s="1"/>
  <c r="BN44" i="2"/>
  <c r="BN43" i="2" s="1"/>
  <c r="G60" i="2"/>
  <c r="H60" i="2"/>
  <c r="H65" i="2" s="1"/>
  <c r="K60" i="2"/>
  <c r="L60" i="2"/>
  <c r="M60" i="2"/>
  <c r="Q60" i="2"/>
  <c r="R60" i="2"/>
  <c r="U60" i="2"/>
  <c r="U65" i="2" s="1"/>
  <c r="F44" i="2"/>
  <c r="F43" i="2" s="1"/>
  <c r="G44" i="2"/>
  <c r="G43" i="2" s="1"/>
  <c r="H44" i="2"/>
  <c r="K44" i="2"/>
  <c r="K43" i="2" s="1"/>
  <c r="L44" i="2"/>
  <c r="L43" i="2" s="1"/>
  <c r="M44" i="2"/>
  <c r="M43" i="2" s="1"/>
  <c r="P44" i="2"/>
  <c r="P43" i="2" s="1"/>
  <c r="Q44" i="2"/>
  <c r="Q43" i="2" s="1"/>
  <c r="R44" i="2"/>
  <c r="R43" i="2" s="1"/>
  <c r="U44" i="2"/>
  <c r="V44" i="2"/>
  <c r="W44" i="2"/>
  <c r="J60" i="2"/>
  <c r="J65" i="2" s="1"/>
  <c r="J44" i="2"/>
  <c r="BT38" i="2" l="1"/>
  <c r="D17" i="13" s="1"/>
  <c r="F17" i="13" s="1"/>
  <c r="BQ38" i="2"/>
  <c r="BS38" i="2" s="1"/>
  <c r="F18" i="13"/>
  <c r="H18" i="13"/>
  <c r="G18" i="13"/>
  <c r="K18" i="13"/>
  <c r="I18" i="13"/>
  <c r="J18" i="13"/>
  <c r="K17" i="13"/>
  <c r="J17" i="13"/>
  <c r="I17" i="13"/>
  <c r="T62" i="2"/>
  <c r="X62" i="2" s="1"/>
  <c r="AD62" i="2" s="1"/>
  <c r="AH62" i="2" s="1"/>
  <c r="AN62" i="2" s="1"/>
  <c r="AR62" i="2" s="1"/>
  <c r="AX62" i="2" s="1"/>
  <c r="BB62" i="2" s="1"/>
  <c r="BH62" i="2" s="1"/>
  <c r="BL62" i="2" s="1"/>
  <c r="BP62" i="2" s="1"/>
  <c r="BS62" i="2" s="1"/>
  <c r="T47" i="2"/>
  <c r="X47" i="2" s="1"/>
  <c r="AD47" i="2" s="1"/>
  <c r="AH47" i="2" s="1"/>
  <c r="AN47" i="2" s="1"/>
  <c r="AR47" i="2" s="1"/>
  <c r="AX47" i="2" s="1"/>
  <c r="BB47" i="2" s="1"/>
  <c r="BH47" i="2" s="1"/>
  <c r="N60" i="2"/>
  <c r="S34" i="2"/>
  <c r="Y34" i="2" s="1"/>
  <c r="AC34" i="2" s="1"/>
  <c r="AI34" i="2" s="1"/>
  <c r="AM34" i="2" s="1"/>
  <c r="AS34" i="2" s="1"/>
  <c r="AW34" i="2" s="1"/>
  <c r="BC34" i="2" s="1"/>
  <c r="BG34" i="2" s="1"/>
  <c r="Q43" i="13"/>
  <c r="P43" i="13"/>
  <c r="O43" i="13"/>
  <c r="N43" i="13"/>
  <c r="I5" i="16"/>
  <c r="C42" i="11"/>
  <c r="N44" i="2"/>
  <c r="F32" i="16"/>
  <c r="J42" i="16"/>
  <c r="G41" i="16"/>
  <c r="G23" i="16"/>
  <c r="D40" i="16"/>
  <c r="D163" i="14"/>
  <c r="D162" i="14"/>
  <c r="G28" i="16"/>
  <c r="G13" i="16"/>
  <c r="D42" i="16"/>
  <c r="G39" i="16"/>
  <c r="F27" i="16"/>
  <c r="F22" i="16"/>
  <c r="F17" i="16"/>
  <c r="F12" i="16"/>
  <c r="I38" i="16"/>
  <c r="I30" i="16"/>
  <c r="D21" i="16"/>
  <c r="I15" i="16"/>
  <c r="G10" i="16"/>
  <c r="F44" i="16"/>
  <c r="J40" i="16"/>
  <c r="G37" i="16"/>
  <c r="G29" i="16"/>
  <c r="I24" i="16"/>
  <c r="G14" i="16"/>
  <c r="G8" i="16"/>
  <c r="BO74" i="2"/>
  <c r="I43" i="16"/>
  <c r="I42" i="16"/>
  <c r="C42" i="16"/>
  <c r="E42" i="16" s="1"/>
  <c r="H42" i="16" s="1"/>
  <c r="F41" i="16"/>
  <c r="I40" i="16"/>
  <c r="C40" i="16"/>
  <c r="E40" i="16" s="1"/>
  <c r="H40" i="16" s="1"/>
  <c r="F39" i="16"/>
  <c r="G38" i="16"/>
  <c r="F37" i="16"/>
  <c r="G30" i="16"/>
  <c r="F29" i="16"/>
  <c r="F28" i="16"/>
  <c r="I25" i="16"/>
  <c r="G24" i="16"/>
  <c r="F23" i="16"/>
  <c r="I21" i="16"/>
  <c r="I20" i="16"/>
  <c r="I16" i="16"/>
  <c r="G15" i="16"/>
  <c r="F14" i="16"/>
  <c r="F13" i="16"/>
  <c r="I11" i="16"/>
  <c r="F10" i="16"/>
  <c r="G7" i="16"/>
  <c r="BO55" i="2"/>
  <c r="C27" i="16" s="1"/>
  <c r="BV55" i="2"/>
  <c r="BO51" i="2"/>
  <c r="I44" i="16"/>
  <c r="G43" i="16"/>
  <c r="G42" i="16"/>
  <c r="J41" i="16"/>
  <c r="D41" i="16"/>
  <c r="G40" i="16"/>
  <c r="J39" i="16"/>
  <c r="D39" i="16"/>
  <c r="F38" i="16"/>
  <c r="I32" i="16"/>
  <c r="F30" i="16"/>
  <c r="D29" i="16"/>
  <c r="I27" i="16"/>
  <c r="I26" i="16"/>
  <c r="G25" i="16"/>
  <c r="F24" i="16"/>
  <c r="I22" i="16"/>
  <c r="G21" i="16"/>
  <c r="G20" i="16"/>
  <c r="I17" i="16"/>
  <c r="G16" i="16"/>
  <c r="F15" i="16"/>
  <c r="G11" i="16"/>
  <c r="G9" i="16"/>
  <c r="F7" i="16"/>
  <c r="BO54" i="2"/>
  <c r="C25" i="16" s="1"/>
  <c r="BV54" i="2"/>
  <c r="BO76" i="2"/>
  <c r="C14" i="16" s="1"/>
  <c r="BV76" i="2"/>
  <c r="BO73" i="2"/>
  <c r="BO48" i="2"/>
  <c r="BT48" i="2" s="1"/>
  <c r="D22" i="13" s="1"/>
  <c r="BV48" i="2"/>
  <c r="AC44" i="2"/>
  <c r="I4" i="16"/>
  <c r="G44" i="16"/>
  <c r="F43" i="16"/>
  <c r="F42" i="16"/>
  <c r="I41" i="16"/>
  <c r="C41" i="16"/>
  <c r="E41" i="16" s="1"/>
  <c r="H41" i="16" s="1"/>
  <c r="F40" i="16"/>
  <c r="I39" i="16"/>
  <c r="C39" i="16"/>
  <c r="E39" i="16" s="1"/>
  <c r="H39" i="16" s="1"/>
  <c r="I37" i="16"/>
  <c r="G32" i="16"/>
  <c r="I29" i="16"/>
  <c r="I28" i="16"/>
  <c r="G27" i="16"/>
  <c r="G26" i="16"/>
  <c r="F25" i="16"/>
  <c r="I23" i="16"/>
  <c r="G22" i="16"/>
  <c r="F21" i="16"/>
  <c r="F20" i="16"/>
  <c r="G17" i="16"/>
  <c r="F16" i="16"/>
  <c r="I14" i="16"/>
  <c r="I13" i="16"/>
  <c r="I12" i="16"/>
  <c r="I10" i="16"/>
  <c r="F9" i="16"/>
  <c r="F6" i="16"/>
  <c r="BU43" i="2"/>
  <c r="BO57" i="2"/>
  <c r="C32" i="16" s="1"/>
  <c r="BO53" i="2"/>
  <c r="C17" i="16" s="1"/>
  <c r="BV53" i="2"/>
  <c r="BO75" i="2"/>
  <c r="C13" i="16" s="1"/>
  <c r="BV75" i="2"/>
  <c r="BO52" i="2"/>
  <c r="BO49" i="2"/>
  <c r="BO36" i="2"/>
  <c r="BQ36" i="2" s="1"/>
  <c r="BS36" i="2" s="1"/>
  <c r="BV36" i="2"/>
  <c r="I60" i="2"/>
  <c r="D7" i="16"/>
  <c r="C30" i="16"/>
  <c r="C29" i="16"/>
  <c r="E29" i="16" s="1"/>
  <c r="H29" i="16" s="1"/>
  <c r="L65" i="2"/>
  <c r="L71" i="2" s="1"/>
  <c r="T24" i="2"/>
  <c r="X24" i="2" s="1"/>
  <c r="N42" i="2"/>
  <c r="BC56" i="2"/>
  <c r="BG56" i="2" s="1"/>
  <c r="BC79" i="2"/>
  <c r="BG79" i="2" s="1"/>
  <c r="AI44" i="2"/>
  <c r="I44" i="2"/>
  <c r="K65" i="2"/>
  <c r="K71" i="2" s="1"/>
  <c r="AG71" i="2"/>
  <c r="BH73" i="2"/>
  <c r="BL73" i="2" s="1"/>
  <c r="BP73" i="2" s="1"/>
  <c r="BC68" i="2"/>
  <c r="BG68" i="2" s="1"/>
  <c r="BC35" i="2"/>
  <c r="BG35" i="2" s="1"/>
  <c r="BC31" i="2"/>
  <c r="BG31" i="2" s="1"/>
  <c r="BG25" i="2"/>
  <c r="BC77" i="2"/>
  <c r="BG77" i="2" s="1"/>
  <c r="BC50" i="2"/>
  <c r="BG50" i="2" s="1"/>
  <c r="BH82" i="2"/>
  <c r="BL82" i="2" s="1"/>
  <c r="BP82" i="2" s="1"/>
  <c r="BS82" i="2" s="1"/>
  <c r="O24" i="2"/>
  <c r="I42" i="2"/>
  <c r="BH74" i="2"/>
  <c r="BL74" i="2" s="1"/>
  <c r="BP74" i="2" s="1"/>
  <c r="BC37" i="2"/>
  <c r="BG37" i="2" s="1"/>
  <c r="BC78" i="2"/>
  <c r="BG78" i="2" s="1"/>
  <c r="F65" i="2"/>
  <c r="F71" i="2" s="1"/>
  <c r="Z65" i="2"/>
  <c r="Z71" i="2" s="1"/>
  <c r="AP65" i="2"/>
  <c r="AP71" i="2" s="1"/>
  <c r="AS44" i="2"/>
  <c r="AU65" i="2"/>
  <c r="AU71" i="2" s="1"/>
  <c r="BH52" i="2"/>
  <c r="BL52" i="2" s="1"/>
  <c r="BP52" i="2" s="1"/>
  <c r="BH49" i="2"/>
  <c r="BL49" i="2" s="1"/>
  <c r="BP49" i="2" s="1"/>
  <c r="BC63" i="2"/>
  <c r="BG63" i="2" s="1"/>
  <c r="BC30" i="2"/>
  <c r="BG30" i="2" s="1"/>
  <c r="BC58" i="2"/>
  <c r="BG58" i="2" s="1"/>
  <c r="BU65" i="2"/>
  <c r="BC80" i="2"/>
  <c r="BG80" i="2" s="1"/>
  <c r="C23" i="16"/>
  <c r="BC82" i="2"/>
  <c r="BG82" i="2" s="1"/>
  <c r="AF65" i="2"/>
  <c r="AF71" i="2" s="1"/>
  <c r="BC32" i="2"/>
  <c r="BC81" i="2"/>
  <c r="BG81" i="2" s="1"/>
  <c r="R65" i="2"/>
  <c r="R71" i="2" s="1"/>
  <c r="Y44" i="2"/>
  <c r="O44" i="2"/>
  <c r="Q65" i="2"/>
  <c r="Q71" i="2" s="1"/>
  <c r="AM44" i="2"/>
  <c r="S44" i="2"/>
  <c r="M65" i="2"/>
  <c r="M71" i="2" s="1"/>
  <c r="G65" i="2"/>
  <c r="G71" i="2" s="1"/>
  <c r="AK65" i="2"/>
  <c r="AK71" i="2" s="1"/>
  <c r="BH51" i="2"/>
  <c r="BL51" i="2" s="1"/>
  <c r="BP51" i="2" s="1"/>
  <c r="O62" i="2"/>
  <c r="BC33" i="2"/>
  <c r="BG33" i="2" s="1"/>
  <c r="BC29" i="2"/>
  <c r="BG29" i="2" s="1"/>
  <c r="D20" i="16"/>
  <c r="BH79" i="2"/>
  <c r="BL79" i="2" s="1"/>
  <c r="BP79" i="2" s="1"/>
  <c r="BS79" i="2" s="1"/>
  <c r="BH81" i="2"/>
  <c r="BL81" i="2" s="1"/>
  <c r="BP81" i="2" s="1"/>
  <c r="BS81" i="2" s="1"/>
  <c r="J29" i="16"/>
  <c r="M54" i="13"/>
  <c r="F192" i="14"/>
  <c r="F194" i="14"/>
  <c r="F197" i="14"/>
  <c r="F193" i="14"/>
  <c r="F196" i="14"/>
  <c r="F195" i="14"/>
  <c r="F200" i="14"/>
  <c r="D23" i="14"/>
  <c r="D25" i="14"/>
  <c r="G35" i="14"/>
  <c r="D28" i="14"/>
  <c r="G30" i="14"/>
  <c r="D32" i="14"/>
  <c r="D26" i="14"/>
  <c r="G34" i="14"/>
  <c r="Y7" i="13"/>
  <c r="Y10" i="13"/>
  <c r="X10" i="13"/>
  <c r="X7" i="13"/>
  <c r="W7" i="13"/>
  <c r="W10" i="13"/>
  <c r="V7" i="13"/>
  <c r="V10" i="13"/>
  <c r="U10" i="13"/>
  <c r="U7" i="13"/>
  <c r="T10" i="13"/>
  <c r="T7" i="13"/>
  <c r="S10" i="13"/>
  <c r="S7" i="13"/>
  <c r="R10" i="13"/>
  <c r="R7" i="13"/>
  <c r="B184" i="14"/>
  <c r="E184" i="14" s="1"/>
  <c r="B183" i="14"/>
  <c r="E183" i="14" s="1"/>
  <c r="B182" i="14"/>
  <c r="E182" i="14" s="1"/>
  <c r="B181" i="14"/>
  <c r="E181" i="14" s="1"/>
  <c r="Y55" i="13"/>
  <c r="Y21" i="13"/>
  <c r="Y24" i="13"/>
  <c r="Y29" i="13"/>
  <c r="Y48" i="13"/>
  <c r="Y5" i="13"/>
  <c r="Y22" i="13"/>
  <c r="Y25" i="13"/>
  <c r="Y30" i="13"/>
  <c r="Y8" i="13"/>
  <c r="Y28" i="13"/>
  <c r="Y23" i="13"/>
  <c r="Y26" i="13"/>
  <c r="Y31" i="13"/>
  <c r="Y9" i="13"/>
  <c r="Y32" i="13"/>
  <c r="X55" i="13"/>
  <c r="X21" i="13"/>
  <c r="X23" i="13"/>
  <c r="X24" i="13"/>
  <c r="X26" i="13"/>
  <c r="X29" i="13"/>
  <c r="X31" i="13"/>
  <c r="X9" i="13"/>
  <c r="X48" i="13"/>
  <c r="X5" i="13"/>
  <c r="X22" i="13"/>
  <c r="X25" i="13"/>
  <c r="X28" i="13"/>
  <c r="X30" i="13"/>
  <c r="X32" i="13"/>
  <c r="X8" i="13"/>
  <c r="W54" i="13"/>
  <c r="W21" i="13"/>
  <c r="W24" i="13"/>
  <c r="W29" i="13"/>
  <c r="W48" i="13"/>
  <c r="W5" i="13"/>
  <c r="W28" i="13"/>
  <c r="W32" i="13"/>
  <c r="W23" i="13"/>
  <c r="W26" i="13"/>
  <c r="W31" i="13"/>
  <c r="W9" i="13"/>
  <c r="W22" i="13"/>
  <c r="W25" i="13"/>
  <c r="W30" i="13"/>
  <c r="W8" i="13"/>
  <c r="V54" i="13"/>
  <c r="V21" i="13"/>
  <c r="V22" i="13"/>
  <c r="V23" i="13"/>
  <c r="V24" i="13"/>
  <c r="V25" i="13"/>
  <c r="V26" i="13"/>
  <c r="V28" i="13"/>
  <c r="V29" i="13"/>
  <c r="V30" i="13"/>
  <c r="V31" i="13"/>
  <c r="V32" i="13"/>
  <c r="V8" i="13"/>
  <c r="V9" i="13"/>
  <c r="V48" i="13"/>
  <c r="V5" i="13"/>
  <c r="U55" i="13"/>
  <c r="U21" i="13"/>
  <c r="U24" i="13"/>
  <c r="U29" i="13"/>
  <c r="U48" i="13"/>
  <c r="U5" i="13"/>
  <c r="U22" i="13"/>
  <c r="U25" i="13"/>
  <c r="U30" i="13"/>
  <c r="U8" i="13"/>
  <c r="U23" i="13"/>
  <c r="U26" i="13"/>
  <c r="U31" i="13"/>
  <c r="U9" i="13"/>
  <c r="U28" i="13"/>
  <c r="U32" i="13"/>
  <c r="T55" i="13"/>
  <c r="T21" i="13"/>
  <c r="T23" i="13"/>
  <c r="T24" i="13"/>
  <c r="T26" i="13"/>
  <c r="T29" i="13"/>
  <c r="T31" i="13"/>
  <c r="T9" i="13"/>
  <c r="T48" i="13"/>
  <c r="T5" i="13"/>
  <c r="T22" i="13"/>
  <c r="T25" i="13"/>
  <c r="T28" i="13"/>
  <c r="T30" i="13"/>
  <c r="T32" i="13"/>
  <c r="T8" i="13"/>
  <c r="S54" i="13"/>
  <c r="S21" i="13"/>
  <c r="S24" i="13"/>
  <c r="S29" i="13"/>
  <c r="S48" i="13"/>
  <c r="S5" i="13"/>
  <c r="S28" i="13"/>
  <c r="S32" i="13"/>
  <c r="S23" i="13"/>
  <c r="S26" i="13"/>
  <c r="S31" i="13"/>
  <c r="S9" i="13"/>
  <c r="S22" i="13"/>
  <c r="S25" i="13"/>
  <c r="S30" i="13"/>
  <c r="S8" i="13"/>
  <c r="R55" i="13"/>
  <c r="R21" i="13"/>
  <c r="R22" i="13"/>
  <c r="R23" i="13"/>
  <c r="R24" i="13"/>
  <c r="R25" i="13"/>
  <c r="R26" i="13"/>
  <c r="R28" i="13"/>
  <c r="R29" i="13"/>
  <c r="R30" i="13"/>
  <c r="R31" i="13"/>
  <c r="R32" i="13"/>
  <c r="R8" i="13"/>
  <c r="R9" i="13"/>
  <c r="R48" i="13"/>
  <c r="R5" i="13"/>
  <c r="Q55" i="13"/>
  <c r="Q22" i="13"/>
  <c r="P55" i="13"/>
  <c r="P22" i="13"/>
  <c r="N54" i="13"/>
  <c r="R54" i="13"/>
  <c r="B72" i="14"/>
  <c r="V55" i="13"/>
  <c r="Q54" i="13"/>
  <c r="P54" i="13"/>
  <c r="Y54" i="13"/>
  <c r="T54" i="13"/>
  <c r="B90" i="14"/>
  <c r="X54" i="13"/>
  <c r="U54" i="13"/>
  <c r="B87" i="14"/>
  <c r="B167" i="14"/>
  <c r="B86" i="14"/>
  <c r="B85" i="14"/>
  <c r="B82" i="14"/>
  <c r="B80" i="14"/>
  <c r="B79" i="14"/>
  <c r="B77" i="14"/>
  <c r="B157" i="14"/>
  <c r="BM65" i="2"/>
  <c r="BM71" i="2" s="1"/>
  <c r="H41" i="12"/>
  <c r="B74" i="14"/>
  <c r="B155" i="14"/>
  <c r="B73" i="14"/>
  <c r="B159" i="14"/>
  <c r="Y35" i="13"/>
  <c r="W35" i="13"/>
  <c r="S55" i="13"/>
  <c r="O54" i="13"/>
  <c r="B153" i="14"/>
  <c r="G29" i="14"/>
  <c r="D38" i="14"/>
  <c r="B156" i="14"/>
  <c r="B164" i="14"/>
  <c r="B172" i="14"/>
  <c r="B165" i="14"/>
  <c r="B75" i="14"/>
  <c r="B83" i="14"/>
  <c r="B91" i="14"/>
  <c r="B88" i="14"/>
  <c r="W55" i="13"/>
  <c r="B160" i="14"/>
  <c r="B168" i="14"/>
  <c r="G27" i="14"/>
  <c r="G31" i="14"/>
  <c r="D36" i="14"/>
  <c r="B81" i="14"/>
  <c r="B89" i="14"/>
  <c r="B76" i="14"/>
  <c r="B84" i="14"/>
  <c r="T35" i="13"/>
  <c r="T36" i="13"/>
  <c r="B199" i="14"/>
  <c r="E199" i="14" s="1"/>
  <c r="B191" i="14"/>
  <c r="E191" i="14" s="1"/>
  <c r="B187" i="14"/>
  <c r="E187" i="14" s="1"/>
  <c r="X36" i="13"/>
  <c r="V36" i="13"/>
  <c r="B154" i="14"/>
  <c r="B158" i="14"/>
  <c r="B166" i="14"/>
  <c r="B161" i="14"/>
  <c r="B169" i="14"/>
  <c r="S35" i="13"/>
  <c r="S36" i="13"/>
  <c r="B198" i="14"/>
  <c r="E198" i="14" s="1"/>
  <c r="B190" i="14"/>
  <c r="E190" i="14" s="1"/>
  <c r="X35" i="13"/>
  <c r="V35" i="13"/>
  <c r="R35" i="13"/>
  <c r="R36" i="13"/>
  <c r="Y36" i="13"/>
  <c r="W36" i="13"/>
  <c r="B170" i="14"/>
  <c r="U35" i="13"/>
  <c r="U36" i="13"/>
  <c r="G12" i="16"/>
  <c r="F11" i="16"/>
  <c r="I9" i="16"/>
  <c r="F8" i="16"/>
  <c r="G6" i="16"/>
  <c r="AW44" i="2"/>
  <c r="O26" i="2"/>
  <c r="S26" i="2" s="1"/>
  <c r="T26" i="2"/>
  <c r="X32" i="2"/>
  <c r="AD32" i="2" s="1"/>
  <c r="T44" i="2"/>
  <c r="AO43" i="2"/>
  <c r="AQ43" i="2"/>
  <c r="G5" i="16"/>
  <c r="C24" i="16"/>
  <c r="D23" i="16"/>
  <c r="J71" i="2"/>
  <c r="AL71" i="2"/>
  <c r="AO71" i="2"/>
  <c r="V43" i="2"/>
  <c r="P71" i="2"/>
  <c r="AY71" i="2"/>
  <c r="BA71" i="2"/>
  <c r="AB71" i="2"/>
  <c r="I8" i="16"/>
  <c r="I7" i="16"/>
  <c r="I6" i="16"/>
  <c r="C20" i="16"/>
  <c r="O60" i="2"/>
  <c r="S47" i="2"/>
  <c r="C21" i="16"/>
  <c r="E21" i="16" s="1"/>
  <c r="H21" i="16" s="1"/>
  <c r="C22" i="16"/>
  <c r="V71" i="2"/>
  <c r="H43" i="2"/>
  <c r="BN71" i="2"/>
  <c r="AJ71" i="2"/>
  <c r="AQ71" i="2"/>
  <c r="AK43" i="2"/>
  <c r="F5" i="16"/>
  <c r="AP43" i="2"/>
  <c r="J43" i="2"/>
  <c r="H71" i="2"/>
  <c r="AJ43" i="2"/>
  <c r="BA43" i="2"/>
  <c r="AV43" i="2"/>
  <c r="D5" i="16"/>
  <c r="AT43" i="2"/>
  <c r="AT71" i="2"/>
  <c r="AV71" i="2"/>
  <c r="AD29" i="2"/>
  <c r="AH29" i="2" s="1"/>
  <c r="AN29" i="2" s="1"/>
  <c r="AR29" i="2" s="1"/>
  <c r="AX29" i="2" s="1"/>
  <c r="BB29" i="2" s="1"/>
  <c r="BH29" i="2" s="1"/>
  <c r="BL29" i="2" s="1"/>
  <c r="BP29" i="2" s="1"/>
  <c r="X57" i="2"/>
  <c r="AD57" i="2" s="1"/>
  <c r="AH57" i="2" s="1"/>
  <c r="AN57" i="2" s="1"/>
  <c r="AR57" i="2" s="1"/>
  <c r="AX57" i="2" s="1"/>
  <c r="BB57" i="2" s="1"/>
  <c r="BH57" i="2" s="1"/>
  <c r="BL57" i="2" s="1"/>
  <c r="BP57" i="2" s="1"/>
  <c r="BS57" i="2" s="1"/>
  <c r="T60" i="2"/>
  <c r="X34" i="2"/>
  <c r="AD34" i="2" s="1"/>
  <c r="AH34" i="2" s="1"/>
  <c r="AN34" i="2" s="1"/>
  <c r="AR34" i="2" s="1"/>
  <c r="AX34" i="2" s="1"/>
  <c r="BB34" i="2" s="1"/>
  <c r="BH34" i="2" s="1"/>
  <c r="BL34" i="2" s="1"/>
  <c r="BP34" i="2" s="1"/>
  <c r="AD77" i="2"/>
  <c r="AN25" i="2"/>
  <c r="AG43" i="2"/>
  <c r="U71" i="2"/>
  <c r="AZ43" i="2"/>
  <c r="AY43" i="2"/>
  <c r="W43" i="2"/>
  <c r="AZ71" i="2"/>
  <c r="AX37" i="2"/>
  <c r="U43" i="2"/>
  <c r="G17" i="13" l="1"/>
  <c r="H17" i="13"/>
  <c r="BT52" i="2"/>
  <c r="BV73" i="2"/>
  <c r="E201" i="14"/>
  <c r="N65" i="2"/>
  <c r="N71" i="2" s="1"/>
  <c r="L54" i="13"/>
  <c r="D6" i="16"/>
  <c r="BS49" i="2"/>
  <c r="D12" i="16"/>
  <c r="BS74" i="2"/>
  <c r="D10" i="16"/>
  <c r="BS52" i="2"/>
  <c r="D9" i="16"/>
  <c r="BS51" i="2"/>
  <c r="E38" i="11"/>
  <c r="D11" i="16"/>
  <c r="BS73" i="2"/>
  <c r="BT36" i="2"/>
  <c r="D15" i="13" s="1"/>
  <c r="I65" i="2"/>
  <c r="I71" i="2" s="1"/>
  <c r="I43" i="2"/>
  <c r="F189" i="14"/>
  <c r="D161" i="14"/>
  <c r="F188" i="14"/>
  <c r="D160" i="14"/>
  <c r="G34" i="16"/>
  <c r="G33" i="16"/>
  <c r="G19" i="16"/>
  <c r="G35" i="16"/>
  <c r="F199" i="14"/>
  <c r="F198" i="14"/>
  <c r="F191" i="14"/>
  <c r="F190" i="14"/>
  <c r="F187" i="14"/>
  <c r="D159" i="14"/>
  <c r="BV52" i="2"/>
  <c r="J10" i="16" s="1"/>
  <c r="F186" i="14"/>
  <c r="D158" i="14"/>
  <c r="F185" i="14"/>
  <c r="D157" i="14"/>
  <c r="F184" i="14"/>
  <c r="D156" i="14"/>
  <c r="F183" i="14"/>
  <c r="D155" i="14"/>
  <c r="F182" i="14"/>
  <c r="D154" i="14"/>
  <c r="O22" i="13"/>
  <c r="I22" i="13"/>
  <c r="BO82" i="2"/>
  <c r="BT82" i="2" s="1"/>
  <c r="BV82" i="2"/>
  <c r="E67" i="11" s="1"/>
  <c r="BO37" i="2"/>
  <c r="BQ37" i="2" s="1"/>
  <c r="BO31" i="2"/>
  <c r="BV31" i="2"/>
  <c r="E31" i="11" s="1"/>
  <c r="BO79" i="2"/>
  <c r="BT79" i="2" s="1"/>
  <c r="BV79" i="2"/>
  <c r="BO29" i="2"/>
  <c r="BV29" i="2"/>
  <c r="BO81" i="2"/>
  <c r="BT81" i="2" s="1"/>
  <c r="BV81" i="2"/>
  <c r="BO30" i="2"/>
  <c r="BV30" i="2"/>
  <c r="J34" i="16" s="1"/>
  <c r="BO50" i="2"/>
  <c r="BV50" i="2"/>
  <c r="BO35" i="2"/>
  <c r="BQ35" i="2" s="1"/>
  <c r="BS35" i="2" s="1"/>
  <c r="BV35" i="2"/>
  <c r="BO56" i="2"/>
  <c r="C28" i="16" s="1"/>
  <c r="BV56" i="2"/>
  <c r="J11" i="16"/>
  <c r="BO33" i="2"/>
  <c r="BQ33" i="2" s="1"/>
  <c r="BS33" i="2" s="1"/>
  <c r="BV33" i="2"/>
  <c r="E33" i="11" s="1"/>
  <c r="BO80" i="2"/>
  <c r="BT80" i="2" s="1"/>
  <c r="BV80" i="2"/>
  <c r="BO34" i="2"/>
  <c r="BQ34" i="2" s="1"/>
  <c r="BS34" i="2" s="1"/>
  <c r="BV34" i="2"/>
  <c r="BO77" i="2"/>
  <c r="C15" i="16" s="1"/>
  <c r="BO68" i="2"/>
  <c r="BT68" i="2" s="1"/>
  <c r="BV68" i="2"/>
  <c r="J26" i="16" s="1"/>
  <c r="BV49" i="2"/>
  <c r="J6" i="16" s="1"/>
  <c r="BV57" i="2"/>
  <c r="E52" i="11" s="1"/>
  <c r="BV74" i="2"/>
  <c r="E58" i="11" s="1"/>
  <c r="BO58" i="2"/>
  <c r="BV58" i="2"/>
  <c r="J44" i="16" s="1"/>
  <c r="BT49" i="2"/>
  <c r="D23" i="13" s="1"/>
  <c r="I23" i="13" s="1"/>
  <c r="BU71" i="2"/>
  <c r="BO63" i="2"/>
  <c r="C38" i="16" s="1"/>
  <c r="BO78" i="2"/>
  <c r="C16" i="16" s="1"/>
  <c r="BV78" i="2"/>
  <c r="J16" i="16" s="1"/>
  <c r="BO25" i="2"/>
  <c r="BV51" i="2"/>
  <c r="J9" i="16" s="1"/>
  <c r="G54" i="13"/>
  <c r="J54" i="13"/>
  <c r="K54" i="13"/>
  <c r="H54" i="13"/>
  <c r="F54" i="13"/>
  <c r="I54" i="13"/>
  <c r="O42" i="2"/>
  <c r="O65" i="2" s="1"/>
  <c r="E20" i="16"/>
  <c r="H20" i="16" s="1"/>
  <c r="BH60" i="2"/>
  <c r="BL47" i="2"/>
  <c r="N22" i="13"/>
  <c r="S62" i="2"/>
  <c r="D22" i="16"/>
  <c r="E22" i="16" s="1"/>
  <c r="H22" i="16" s="1"/>
  <c r="K22" i="13"/>
  <c r="L22" i="13"/>
  <c r="M22" i="13"/>
  <c r="S24" i="2"/>
  <c r="Y24" i="2" s="1"/>
  <c r="J22" i="13"/>
  <c r="K23" i="13"/>
  <c r="BC44" i="2"/>
  <c r="BG32" i="2"/>
  <c r="T42" i="2"/>
  <c r="T65" i="2" s="1"/>
  <c r="P56" i="13"/>
  <c r="W56" i="13"/>
  <c r="Y56" i="13"/>
  <c r="U56" i="13"/>
  <c r="S56" i="13"/>
  <c r="X56" i="13"/>
  <c r="V56" i="13"/>
  <c r="R47" i="13"/>
  <c r="V47" i="13"/>
  <c r="R19" i="13"/>
  <c r="V19" i="13"/>
  <c r="S19" i="13"/>
  <c r="T19" i="13"/>
  <c r="U19" i="13"/>
  <c r="W19" i="13"/>
  <c r="X19" i="13"/>
  <c r="Y19" i="13"/>
  <c r="Q56" i="13"/>
  <c r="R46" i="13"/>
  <c r="V46" i="13"/>
  <c r="S46" i="13"/>
  <c r="T46" i="13"/>
  <c r="U46" i="13"/>
  <c r="W46" i="13"/>
  <c r="X46" i="13"/>
  <c r="Y46" i="13"/>
  <c r="T47" i="13"/>
  <c r="X47" i="13"/>
  <c r="S47" i="13"/>
  <c r="U47" i="13"/>
  <c r="W47" i="13"/>
  <c r="Y47" i="13"/>
  <c r="F22" i="13"/>
  <c r="H22" i="13"/>
  <c r="G22" i="13"/>
  <c r="H23" i="13"/>
  <c r="R56" i="13"/>
  <c r="T56" i="13"/>
  <c r="W37" i="13"/>
  <c r="W52" i="13" s="1"/>
  <c r="T37" i="13"/>
  <c r="T52" i="13" s="1"/>
  <c r="Y37" i="13"/>
  <c r="Y52" i="13" s="1"/>
  <c r="X37" i="13"/>
  <c r="X52" i="13" s="1"/>
  <c r="V37" i="13"/>
  <c r="V52" i="13" s="1"/>
  <c r="S33" i="13"/>
  <c r="S37" i="13"/>
  <c r="S52" i="13" s="1"/>
  <c r="T33" i="13"/>
  <c r="U37" i="13"/>
  <c r="U52" i="13" s="1"/>
  <c r="R37" i="13"/>
  <c r="R52" i="13" s="1"/>
  <c r="X33" i="13"/>
  <c r="V33" i="13"/>
  <c r="Y33" i="13"/>
  <c r="U33" i="13"/>
  <c r="W33" i="13"/>
  <c r="R33" i="13"/>
  <c r="X63" i="2"/>
  <c r="E23" i="16"/>
  <c r="H23" i="16" s="1"/>
  <c r="C6" i="16"/>
  <c r="E6" i="16" s="1"/>
  <c r="H6" i="16" s="1"/>
  <c r="X44" i="2"/>
  <c r="N43" i="2"/>
  <c r="X26" i="2"/>
  <c r="AH32" i="2"/>
  <c r="AN32" i="2" s="1"/>
  <c r="AD44" i="2"/>
  <c r="C9" i="16"/>
  <c r="BT51" i="2"/>
  <c r="D25" i="13" s="1"/>
  <c r="C5" i="16"/>
  <c r="E5" i="16" s="1"/>
  <c r="H5" i="16" s="1"/>
  <c r="X60" i="2"/>
  <c r="C7" i="16"/>
  <c r="E7" i="16" s="1"/>
  <c r="H7" i="16" s="1"/>
  <c r="C12" i="16"/>
  <c r="BT74" i="2"/>
  <c r="D43" i="13" s="1"/>
  <c r="J7" i="16"/>
  <c r="J14" i="16"/>
  <c r="D30" i="16"/>
  <c r="E30" i="16" s="1"/>
  <c r="H30" i="16" s="1"/>
  <c r="D55" i="13"/>
  <c r="BT73" i="2"/>
  <c r="C11" i="16"/>
  <c r="J20" i="16"/>
  <c r="Y47" i="2"/>
  <c r="S60" i="2"/>
  <c r="E43" i="11"/>
  <c r="J5" i="16"/>
  <c r="D14" i="16"/>
  <c r="E14" i="16" s="1"/>
  <c r="H14" i="16" s="1"/>
  <c r="BT76" i="2"/>
  <c r="J30" i="16"/>
  <c r="E49" i="11"/>
  <c r="D8" i="16"/>
  <c r="E50" i="11"/>
  <c r="D26" i="13"/>
  <c r="C10" i="16"/>
  <c r="J22" i="16"/>
  <c r="D16" i="16"/>
  <c r="E60" i="11"/>
  <c r="D27" i="16"/>
  <c r="E27" i="16" s="1"/>
  <c r="H27" i="16" s="1"/>
  <c r="BT55" i="2"/>
  <c r="D29" i="13" s="1"/>
  <c r="D24" i="16"/>
  <c r="E24" i="16" s="1"/>
  <c r="H24" i="16" s="1"/>
  <c r="BT75" i="2"/>
  <c r="D13" i="16"/>
  <c r="E13" i="16" s="1"/>
  <c r="H13" i="16" s="1"/>
  <c r="BT53" i="2"/>
  <c r="D27" i="13" s="1"/>
  <c r="D17" i="16"/>
  <c r="E17" i="16" s="1"/>
  <c r="H17" i="16" s="1"/>
  <c r="J27" i="16"/>
  <c r="D35" i="16"/>
  <c r="AR25" i="2"/>
  <c r="J24" i="16"/>
  <c r="J13" i="16"/>
  <c r="J17" i="16"/>
  <c r="J25" i="16"/>
  <c r="D28" i="16"/>
  <c r="D34" i="16"/>
  <c r="D37" i="16"/>
  <c r="E68" i="11"/>
  <c r="J23" i="16"/>
  <c r="E66" i="11"/>
  <c r="J21" i="16"/>
  <c r="D44" i="16"/>
  <c r="BT54" i="2"/>
  <c r="D28" i="13" s="1"/>
  <c r="D25" i="16"/>
  <c r="E25" i="16" s="1"/>
  <c r="H25" i="16" s="1"/>
  <c r="D26" i="16"/>
  <c r="AH77" i="2"/>
  <c r="AD60" i="2"/>
  <c r="C43" i="16"/>
  <c r="BB37" i="2"/>
  <c r="BH37" i="2" s="1"/>
  <c r="BL37" i="2" s="1"/>
  <c r="BP37" i="2" s="1"/>
  <c r="BS37" i="2" s="1"/>
  <c r="C19" i="16" l="1"/>
  <c r="BQ25" i="2"/>
  <c r="F19" i="16" s="1"/>
  <c r="C34" i="16"/>
  <c r="E34" i="16" s="1"/>
  <c r="BQ30" i="2"/>
  <c r="BT30" i="2" s="1"/>
  <c r="D9" i="13" s="1"/>
  <c r="I9" i="13" s="1"/>
  <c r="C33" i="16"/>
  <c r="BQ29" i="2"/>
  <c r="C35" i="16"/>
  <c r="E35" i="16" s="1"/>
  <c r="BQ31" i="2"/>
  <c r="G15" i="13"/>
  <c r="H15" i="13"/>
  <c r="I15" i="13"/>
  <c r="F15" i="13"/>
  <c r="K15" i="13"/>
  <c r="J15" i="13"/>
  <c r="E64" i="11"/>
  <c r="E63" i="11"/>
  <c r="E46" i="11"/>
  <c r="M43" i="13"/>
  <c r="K43" i="13"/>
  <c r="I43" i="13"/>
  <c r="G43" i="13"/>
  <c r="L43" i="13"/>
  <c r="H43" i="13"/>
  <c r="J43" i="13"/>
  <c r="F43" i="13"/>
  <c r="C44" i="16"/>
  <c r="E44" i="16" s="1"/>
  <c r="H44" i="16" s="1"/>
  <c r="BT58" i="2"/>
  <c r="D32" i="13" s="1"/>
  <c r="C8" i="16"/>
  <c r="E8" i="16" s="1"/>
  <c r="H8" i="16" s="1"/>
  <c r="BT50" i="2"/>
  <c r="D24" i="13" s="1"/>
  <c r="L24" i="13" s="1"/>
  <c r="E11" i="16"/>
  <c r="H11" i="16" s="1"/>
  <c r="M23" i="13"/>
  <c r="G23" i="13"/>
  <c r="L23" i="13"/>
  <c r="J23" i="13"/>
  <c r="E48" i="11"/>
  <c r="F23" i="13"/>
  <c r="O43" i="2"/>
  <c r="E30" i="11"/>
  <c r="E9" i="16"/>
  <c r="H9" i="16" s="1"/>
  <c r="E12" i="16"/>
  <c r="H12" i="16" s="1"/>
  <c r="E10" i="16"/>
  <c r="H10" i="16" s="1"/>
  <c r="BT35" i="2"/>
  <c r="D14" i="13" s="1"/>
  <c r="E51" i="11"/>
  <c r="BT37" i="2"/>
  <c r="BT33" i="2"/>
  <c r="D12" i="13" s="1"/>
  <c r="BT34" i="2"/>
  <c r="D13" i="13" s="1"/>
  <c r="E35" i="11"/>
  <c r="E36" i="11"/>
  <c r="BT78" i="2"/>
  <c r="T43" i="2"/>
  <c r="C26" i="16"/>
  <c r="E26" i="16" s="1"/>
  <c r="Q27" i="13"/>
  <c r="N27" i="13"/>
  <c r="O27" i="13"/>
  <c r="M27" i="13"/>
  <c r="P27" i="13"/>
  <c r="Q31" i="13"/>
  <c r="P31" i="13"/>
  <c r="Q28" i="13"/>
  <c r="P28" i="13"/>
  <c r="P29" i="13"/>
  <c r="Q29" i="13"/>
  <c r="P30" i="13"/>
  <c r="Q30" i="13"/>
  <c r="Q26" i="13"/>
  <c r="P26" i="13"/>
  <c r="Q25" i="13"/>
  <c r="P25" i="13"/>
  <c r="O23" i="13"/>
  <c r="P23" i="13"/>
  <c r="N23" i="13"/>
  <c r="Q23" i="13"/>
  <c r="P24" i="13"/>
  <c r="Q24" i="13"/>
  <c r="L27" i="13"/>
  <c r="G27" i="13"/>
  <c r="I27" i="13"/>
  <c r="K27" i="13"/>
  <c r="J27" i="13"/>
  <c r="H27" i="13"/>
  <c r="F27" i="13"/>
  <c r="J28" i="16"/>
  <c r="J12" i="16"/>
  <c r="J8" i="16"/>
  <c r="BT56" i="2"/>
  <c r="D30" i="13" s="1"/>
  <c r="I30" i="13" s="1"/>
  <c r="E47" i="11"/>
  <c r="E16" i="16"/>
  <c r="H16" i="16" s="1"/>
  <c r="F181" i="14"/>
  <c r="E28" i="16"/>
  <c r="H28" i="16" s="1"/>
  <c r="E44" i="11"/>
  <c r="J35" i="16"/>
  <c r="BV37" i="2"/>
  <c r="E39" i="11" s="1"/>
  <c r="BL60" i="2"/>
  <c r="BP47" i="2"/>
  <c r="BG44" i="2"/>
  <c r="BO32" i="2"/>
  <c r="BQ32" i="2" s="1"/>
  <c r="O9" i="13"/>
  <c r="N31" i="13"/>
  <c r="O31" i="13"/>
  <c r="L55" i="13"/>
  <c r="L56" i="13" s="1"/>
  <c r="M55" i="13"/>
  <c r="M56" i="13" s="1"/>
  <c r="N55" i="13"/>
  <c r="N56" i="13" s="1"/>
  <c r="O55" i="13"/>
  <c r="O56" i="13" s="1"/>
  <c r="J55" i="13"/>
  <c r="J56" i="13" s="1"/>
  <c r="K55" i="13"/>
  <c r="K56" i="13" s="1"/>
  <c r="I55" i="13"/>
  <c r="I56" i="13" s="1"/>
  <c r="M29" i="13"/>
  <c r="N29" i="13"/>
  <c r="K29" i="13"/>
  <c r="O29" i="13"/>
  <c r="J29" i="13"/>
  <c r="I29" i="13"/>
  <c r="L29" i="13"/>
  <c r="S42" i="2"/>
  <c r="S65" i="2" s="1"/>
  <c r="N28" i="13"/>
  <c r="M28" i="13"/>
  <c r="L28" i="13"/>
  <c r="O28" i="13"/>
  <c r="J28" i="13"/>
  <c r="I28" i="13"/>
  <c r="K28" i="13"/>
  <c r="O10" i="13"/>
  <c r="J30" i="13"/>
  <c r="O30" i="13"/>
  <c r="N30" i="13"/>
  <c r="N24" i="13"/>
  <c r="O24" i="13"/>
  <c r="J25" i="13"/>
  <c r="I25" i="13"/>
  <c r="O25" i="13"/>
  <c r="L25" i="13"/>
  <c r="N25" i="13"/>
  <c r="M25" i="13"/>
  <c r="K25" i="13"/>
  <c r="AD24" i="2"/>
  <c r="AH24" i="2" s="1"/>
  <c r="X42" i="2"/>
  <c r="X65" i="2" s="1"/>
  <c r="X71" i="2" s="1"/>
  <c r="Y62" i="2"/>
  <c r="O26" i="13"/>
  <c r="M26" i="13"/>
  <c r="K26" i="13"/>
  <c r="J26" i="13"/>
  <c r="I26" i="13"/>
  <c r="L26" i="13"/>
  <c r="N26" i="13"/>
  <c r="N9" i="13"/>
  <c r="N10" i="13"/>
  <c r="G25" i="13"/>
  <c r="H25" i="13"/>
  <c r="G26" i="13"/>
  <c r="H26" i="13"/>
  <c r="G28" i="13"/>
  <c r="H28" i="13"/>
  <c r="G29" i="13"/>
  <c r="H29" i="13"/>
  <c r="F28" i="13"/>
  <c r="D56" i="13"/>
  <c r="H55" i="13"/>
  <c r="H56" i="13" s="1"/>
  <c r="F55" i="13"/>
  <c r="F56" i="13" s="1"/>
  <c r="E153" i="14" s="1"/>
  <c r="G55" i="13"/>
  <c r="G56" i="13" s="1"/>
  <c r="F29" i="13"/>
  <c r="F25" i="13"/>
  <c r="F26" i="13"/>
  <c r="AD63" i="2"/>
  <c r="AH44" i="2"/>
  <c r="T71" i="2"/>
  <c r="O71" i="2"/>
  <c r="Y26" i="2"/>
  <c r="Y42" i="2" s="1"/>
  <c r="AD26" i="2"/>
  <c r="AC47" i="2"/>
  <c r="Y60" i="2"/>
  <c r="AC24" i="2"/>
  <c r="D32" i="16"/>
  <c r="E32" i="16" s="1"/>
  <c r="H32" i="16" s="1"/>
  <c r="BT57" i="2"/>
  <c r="D31" i="13" s="1"/>
  <c r="I31" i="13" s="1"/>
  <c r="D33" i="16"/>
  <c r="BT29" i="2"/>
  <c r="J32" i="16"/>
  <c r="AN44" i="2"/>
  <c r="AR32" i="2"/>
  <c r="AX25" i="2"/>
  <c r="AN77" i="2"/>
  <c r="AH60" i="2"/>
  <c r="E29" i="11"/>
  <c r="J33" i="16"/>
  <c r="E33" i="16" l="1"/>
  <c r="BS29" i="2"/>
  <c r="F33" i="16"/>
  <c r="BS31" i="2"/>
  <c r="F35" i="16"/>
  <c r="H35" i="16" s="1"/>
  <c r="BS30" i="2"/>
  <c r="F34" i="16"/>
  <c r="H34" i="16" s="1"/>
  <c r="BT31" i="2"/>
  <c r="K10" i="13" s="1"/>
  <c r="G31" i="13"/>
  <c r="F13" i="13"/>
  <c r="G13" i="13"/>
  <c r="K13" i="13"/>
  <c r="I13" i="13"/>
  <c r="H13" i="13"/>
  <c r="J13" i="13"/>
  <c r="K14" i="13"/>
  <c r="G14" i="13"/>
  <c r="J14" i="13"/>
  <c r="F14" i="13"/>
  <c r="I14" i="13"/>
  <c r="H14" i="13"/>
  <c r="F12" i="13"/>
  <c r="G12" i="13"/>
  <c r="K12" i="13"/>
  <c r="H12" i="13"/>
  <c r="I12" i="13"/>
  <c r="J12" i="13"/>
  <c r="F10" i="13"/>
  <c r="K30" i="13"/>
  <c r="G30" i="13"/>
  <c r="K31" i="13"/>
  <c r="E154" i="14"/>
  <c r="E155" i="14"/>
  <c r="E157" i="14"/>
  <c r="E156" i="14"/>
  <c r="E158" i="14"/>
  <c r="E159" i="14"/>
  <c r="F159" i="14" s="1"/>
  <c r="E163" i="14"/>
  <c r="F163" i="14" s="1"/>
  <c r="E166" i="14"/>
  <c r="F166" i="14" s="1"/>
  <c r="E162" i="14"/>
  <c r="F162" i="14" s="1"/>
  <c r="E164" i="14"/>
  <c r="F164" i="14" s="1"/>
  <c r="E168" i="14"/>
  <c r="F168" i="14" s="1"/>
  <c r="E161" i="14"/>
  <c r="F161" i="14" s="1"/>
  <c r="E170" i="14"/>
  <c r="F170" i="14" s="1"/>
  <c r="E172" i="14"/>
  <c r="F172" i="14" s="1"/>
  <c r="E167" i="14"/>
  <c r="F167" i="14" s="1"/>
  <c r="E171" i="14"/>
  <c r="F171" i="14" s="1"/>
  <c r="E160" i="14"/>
  <c r="F160" i="14" s="1"/>
  <c r="E169" i="14"/>
  <c r="F169" i="14" s="1"/>
  <c r="E165" i="14"/>
  <c r="F165" i="14" s="1"/>
  <c r="H30" i="13"/>
  <c r="F31" i="13"/>
  <c r="F30" i="13"/>
  <c r="L30" i="13"/>
  <c r="L31" i="13"/>
  <c r="M31" i="13"/>
  <c r="M30" i="13"/>
  <c r="J31" i="13"/>
  <c r="J24" i="13"/>
  <c r="H31" i="13"/>
  <c r="K24" i="13"/>
  <c r="F24" i="13"/>
  <c r="M24" i="13"/>
  <c r="H24" i="13"/>
  <c r="I24" i="13"/>
  <c r="L10" i="13"/>
  <c r="M10" i="13"/>
  <c r="G24" i="13"/>
  <c r="M9" i="13"/>
  <c r="K9" i="13"/>
  <c r="F9" i="13"/>
  <c r="H9" i="13"/>
  <c r="J9" i="13"/>
  <c r="L9" i="13"/>
  <c r="D4" i="16"/>
  <c r="BS47" i="2"/>
  <c r="BS60" i="2" s="1"/>
  <c r="F26" i="16"/>
  <c r="H26" i="16" s="1"/>
  <c r="BS68" i="2"/>
  <c r="D8" i="13"/>
  <c r="H8" i="13" s="1"/>
  <c r="X43" i="2"/>
  <c r="Q10" i="13"/>
  <c r="P10" i="13"/>
  <c r="Q8" i="13"/>
  <c r="P8" i="13"/>
  <c r="G9" i="13"/>
  <c r="Q9" i="13"/>
  <c r="P9" i="13"/>
  <c r="F36" i="16"/>
  <c r="BQ44" i="2"/>
  <c r="G36" i="16"/>
  <c r="S43" i="2"/>
  <c r="C36" i="16"/>
  <c r="BO44" i="2"/>
  <c r="O8" i="13"/>
  <c r="AD42" i="2"/>
  <c r="AD65" i="2" s="1"/>
  <c r="AC62" i="2"/>
  <c r="Y65" i="2"/>
  <c r="N8" i="13"/>
  <c r="AH63" i="2"/>
  <c r="S71" i="2"/>
  <c r="AC26" i="2"/>
  <c r="AI26" i="2" s="1"/>
  <c r="AM26" i="2" s="1"/>
  <c r="AS26" i="2" s="1"/>
  <c r="AW26" i="2" s="1"/>
  <c r="Y43" i="2"/>
  <c r="AH26" i="2"/>
  <c r="AI24" i="2"/>
  <c r="AM24" i="2" s="1"/>
  <c r="AI47" i="2"/>
  <c r="AC60" i="2"/>
  <c r="BB25" i="2"/>
  <c r="BH25" i="2" s="1"/>
  <c r="BL25" i="2" s="1"/>
  <c r="AR77" i="2"/>
  <c r="AN60" i="2"/>
  <c r="AX32" i="2"/>
  <c r="AR44" i="2"/>
  <c r="D43" i="16"/>
  <c r="E43" i="16" s="1"/>
  <c r="H43" i="16" s="1"/>
  <c r="J43" i="16"/>
  <c r="E37" i="11"/>
  <c r="H33" i="16" l="1"/>
  <c r="I10" i="13"/>
  <c r="J10" i="13"/>
  <c r="G10" i="13"/>
  <c r="H10" i="13"/>
  <c r="E173" i="14"/>
  <c r="D39" i="13"/>
  <c r="D41" i="13" s="1"/>
  <c r="M8" i="13"/>
  <c r="J8" i="13"/>
  <c r="G8" i="13"/>
  <c r="I8" i="13"/>
  <c r="K8" i="13"/>
  <c r="L8" i="13"/>
  <c r="F8" i="13"/>
  <c r="F156" i="14"/>
  <c r="F155" i="14"/>
  <c r="F157" i="14"/>
  <c r="F158" i="14"/>
  <c r="F153" i="14"/>
  <c r="F154" i="14"/>
  <c r="BP25" i="2"/>
  <c r="BS25" i="2" s="1"/>
  <c r="BV25" i="2"/>
  <c r="AI42" i="2"/>
  <c r="AI43" i="2" s="1"/>
  <c r="AC42" i="2"/>
  <c r="AC65" i="2" s="1"/>
  <c r="BC26" i="2"/>
  <c r="BG26" i="2" s="1"/>
  <c r="AI62" i="2"/>
  <c r="AH42" i="2"/>
  <c r="AH65" i="2" s="1"/>
  <c r="AN24" i="2"/>
  <c r="AN63" i="2"/>
  <c r="Y71" i="2"/>
  <c r="AD43" i="2"/>
  <c r="AD71" i="2"/>
  <c r="AN26" i="2"/>
  <c r="AM42" i="2"/>
  <c r="AM47" i="2"/>
  <c r="AI60" i="2"/>
  <c r="AX77" i="2"/>
  <c r="AR60" i="2"/>
  <c r="BB32" i="2"/>
  <c r="BH32" i="2" s="1"/>
  <c r="AX44" i="2"/>
  <c r="D16" i="13"/>
  <c r="K16" i="13" l="1"/>
  <c r="I16" i="13"/>
  <c r="G16" i="13"/>
  <c r="J16" i="13"/>
  <c r="H16" i="13"/>
  <c r="F16" i="13"/>
  <c r="G31" i="16"/>
  <c r="F31" i="16"/>
  <c r="BO26" i="2"/>
  <c r="BQ26" i="2" s="1"/>
  <c r="AC43" i="2"/>
  <c r="BL32" i="2"/>
  <c r="BV32" i="2" s="1"/>
  <c r="E34" i="11" s="1"/>
  <c r="BH44" i="2"/>
  <c r="AM62" i="2"/>
  <c r="AI65" i="2"/>
  <c r="AI71" i="2" s="1"/>
  <c r="AN42" i="2"/>
  <c r="AN65" i="2" s="1"/>
  <c r="AR24" i="2"/>
  <c r="AR63" i="2"/>
  <c r="AC71" i="2"/>
  <c r="AH43" i="2"/>
  <c r="AH71" i="2"/>
  <c r="AR26" i="2"/>
  <c r="AM60" i="2"/>
  <c r="AS47" i="2"/>
  <c r="AS24" i="2"/>
  <c r="AS42" i="2" s="1"/>
  <c r="AM43" i="2"/>
  <c r="BB77" i="2"/>
  <c r="BH77" i="2" s="1"/>
  <c r="BL77" i="2" s="1"/>
  <c r="AX60" i="2"/>
  <c r="BB44" i="2"/>
  <c r="BT25" i="2"/>
  <c r="D6" i="13" s="1"/>
  <c r="D19" i="16"/>
  <c r="E19" i="16" s="1"/>
  <c r="H19" i="16" s="1"/>
  <c r="E25" i="11"/>
  <c r="J19" i="16"/>
  <c r="G6" i="13" l="1"/>
  <c r="F6" i="13"/>
  <c r="C31" i="16"/>
  <c r="BP77" i="2"/>
  <c r="BS77" i="2" s="1"/>
  <c r="BV77" i="2"/>
  <c r="E62" i="11" s="1"/>
  <c r="BL44" i="2"/>
  <c r="BV44" i="2" s="1"/>
  <c r="BP32" i="2"/>
  <c r="BT32" i="2" s="1"/>
  <c r="C27" i="18" s="1"/>
  <c r="C28" i="18" s="1"/>
  <c r="C29" i="18" s="1"/>
  <c r="AR42" i="2"/>
  <c r="AR65" i="2" s="1"/>
  <c r="AX24" i="2"/>
  <c r="BB24" i="2" s="1"/>
  <c r="AS62" i="2"/>
  <c r="AM65" i="2"/>
  <c r="AM71" i="2" s="1"/>
  <c r="AX63" i="2"/>
  <c r="AN43" i="2"/>
  <c r="AN71" i="2"/>
  <c r="AX26" i="2"/>
  <c r="AW24" i="2"/>
  <c r="AS43" i="2"/>
  <c r="AW47" i="2"/>
  <c r="BC47" i="2" s="1"/>
  <c r="AS60" i="2"/>
  <c r="BB60" i="2"/>
  <c r="J36" i="16"/>
  <c r="E32" i="11"/>
  <c r="E61" i="11" l="1"/>
  <c r="E65" i="11"/>
  <c r="BP44" i="2"/>
  <c r="BS32" i="2"/>
  <c r="BS44" i="2" s="1"/>
  <c r="D36" i="16"/>
  <c r="E36" i="16" s="1"/>
  <c r="H36" i="16" s="1"/>
  <c r="AW42" i="2"/>
  <c r="BC24" i="2"/>
  <c r="BG24" i="2" s="1"/>
  <c r="AW62" i="2"/>
  <c r="AS65" i="2"/>
  <c r="AS71" i="2" s="1"/>
  <c r="BC60" i="2"/>
  <c r="BG47" i="2"/>
  <c r="AX42" i="2"/>
  <c r="AX65" i="2" s="1"/>
  <c r="BB63" i="2"/>
  <c r="AR43" i="2"/>
  <c r="AR71" i="2"/>
  <c r="BB26" i="2"/>
  <c r="AW60" i="2"/>
  <c r="J15" i="16"/>
  <c r="E53" i="11"/>
  <c r="D15" i="16"/>
  <c r="E15" i="16" s="1"/>
  <c r="H15" i="16" s="1"/>
  <c r="BT77" i="2"/>
  <c r="BP60" i="2"/>
  <c r="BT44" i="2" l="1"/>
  <c r="P50" i="13" s="1"/>
  <c r="P32" i="13"/>
  <c r="Q32" i="13"/>
  <c r="BV47" i="2"/>
  <c r="BG60" i="2"/>
  <c r="BV60" i="2" s="1"/>
  <c r="BO47" i="2"/>
  <c r="N32" i="13"/>
  <c r="K32" i="13"/>
  <c r="O32" i="13"/>
  <c r="M32" i="13"/>
  <c r="L32" i="13"/>
  <c r="J32" i="13"/>
  <c r="I32" i="13"/>
  <c r="BH24" i="2"/>
  <c r="AW65" i="2"/>
  <c r="AW71" i="2" s="1"/>
  <c r="BC62" i="2"/>
  <c r="BC42" i="2"/>
  <c r="BC43" i="2" s="1"/>
  <c r="H32" i="13"/>
  <c r="G32" i="13"/>
  <c r="F32" i="13"/>
  <c r="BH26" i="2"/>
  <c r="BB42" i="2"/>
  <c r="BB65" i="2" s="1"/>
  <c r="BB71" i="2" s="1"/>
  <c r="BH63" i="2"/>
  <c r="AX43" i="2"/>
  <c r="AX71" i="2"/>
  <c r="AW43" i="2"/>
  <c r="F11" i="13" l="1"/>
  <c r="H11" i="13"/>
  <c r="G11" i="13"/>
  <c r="K11" i="13"/>
  <c r="J11" i="13"/>
  <c r="J48" i="13" s="1"/>
  <c r="I11" i="13"/>
  <c r="C60" i="13"/>
  <c r="J50" i="13"/>
  <c r="W50" i="13"/>
  <c r="K50" i="13"/>
  <c r="N50" i="13"/>
  <c r="C59" i="13"/>
  <c r="R50" i="13"/>
  <c r="F50" i="13"/>
  <c r="I50" i="13"/>
  <c r="M50" i="13"/>
  <c r="X50" i="13"/>
  <c r="V50" i="13"/>
  <c r="Y50" i="13"/>
  <c r="T50" i="13"/>
  <c r="S50" i="13"/>
  <c r="H50" i="13"/>
  <c r="BL24" i="2"/>
  <c r="BV24" i="2" s="1"/>
  <c r="G50" i="13"/>
  <c r="Q50" i="13"/>
  <c r="U50" i="13"/>
  <c r="L50" i="13"/>
  <c r="O50" i="13"/>
  <c r="BO60" i="2"/>
  <c r="BT47" i="2"/>
  <c r="BT60" i="2" s="1"/>
  <c r="J4" i="16"/>
  <c r="E45" i="11"/>
  <c r="E42" i="11"/>
  <c r="N48" i="13"/>
  <c r="O48" i="13"/>
  <c r="F4" i="16"/>
  <c r="G4" i="16"/>
  <c r="C4" i="16"/>
  <c r="E4" i="16" s="1"/>
  <c r="BO24" i="2"/>
  <c r="O21" i="13"/>
  <c r="N21" i="13"/>
  <c r="BC65" i="2"/>
  <c r="BC71" i="2" s="1"/>
  <c r="BG62" i="2"/>
  <c r="BG42" i="2"/>
  <c r="BH42" i="2"/>
  <c r="BH43" i="2" s="1"/>
  <c r="BL26" i="2"/>
  <c r="BV26" i="2" s="1"/>
  <c r="J31" i="16" s="1"/>
  <c r="E57" i="11"/>
  <c r="BL63" i="2"/>
  <c r="BB43" i="2"/>
  <c r="BO42" i="2" l="1"/>
  <c r="BO43" i="2" s="1"/>
  <c r="BQ24" i="2"/>
  <c r="I48" i="13"/>
  <c r="G48" i="13"/>
  <c r="K48" i="13"/>
  <c r="L48" i="13"/>
  <c r="F48" i="13"/>
  <c r="E72" i="14" s="1"/>
  <c r="M48" i="13"/>
  <c r="D21" i="13"/>
  <c r="M21" i="13" s="1"/>
  <c r="M33" i="13" s="1"/>
  <c r="D50" i="13"/>
  <c r="BP24" i="2"/>
  <c r="H48" i="13"/>
  <c r="Q48" i="13"/>
  <c r="P48" i="13"/>
  <c r="Q21" i="13"/>
  <c r="P21" i="13"/>
  <c r="H4" i="16"/>
  <c r="BQ42" i="2"/>
  <c r="BQ43" i="2" s="1"/>
  <c r="F18" i="16"/>
  <c r="G18" i="16"/>
  <c r="E26" i="11"/>
  <c r="BH65" i="2"/>
  <c r="BH71" i="2" s="1"/>
  <c r="BP63" i="2"/>
  <c r="D38" i="16" s="1"/>
  <c r="E38" i="16" s="1"/>
  <c r="H38" i="16" s="1"/>
  <c r="BV63" i="2"/>
  <c r="E56" i="11" s="1"/>
  <c r="BG43" i="2"/>
  <c r="BO62" i="2"/>
  <c r="BV62" i="2"/>
  <c r="C18" i="16"/>
  <c r="E24" i="11"/>
  <c r="J18" i="16"/>
  <c r="BL42" i="2"/>
  <c r="BL43" i="2" s="1"/>
  <c r="BP26" i="2"/>
  <c r="BG65" i="2"/>
  <c r="N33" i="13"/>
  <c r="O33" i="13"/>
  <c r="E74" i="14" l="1"/>
  <c r="E87" i="14"/>
  <c r="E82" i="14"/>
  <c r="E85" i="14"/>
  <c r="E91" i="14"/>
  <c r="E89" i="14"/>
  <c r="E83" i="14"/>
  <c r="I21" i="13"/>
  <c r="I33" i="13" s="1"/>
  <c r="G21" i="13"/>
  <c r="G33" i="13" s="1"/>
  <c r="J21" i="13"/>
  <c r="J33" i="13" s="1"/>
  <c r="L21" i="13"/>
  <c r="L33" i="13" s="1"/>
  <c r="H21" i="13"/>
  <c r="H33" i="13" s="1"/>
  <c r="K21" i="13"/>
  <c r="K33" i="13" s="1"/>
  <c r="F21" i="13"/>
  <c r="F33" i="13" s="1"/>
  <c r="E88" i="14"/>
  <c r="E90" i="14"/>
  <c r="E79" i="14"/>
  <c r="E84" i="14"/>
  <c r="E80" i="14"/>
  <c r="E77" i="14"/>
  <c r="E75" i="14"/>
  <c r="E81" i="14"/>
  <c r="E86" i="14"/>
  <c r="E76" i="14"/>
  <c r="E78" i="14"/>
  <c r="E73" i="14"/>
  <c r="BS24" i="2"/>
  <c r="D18" i="16"/>
  <c r="E18" i="16" s="1"/>
  <c r="H18" i="16" s="1"/>
  <c r="BT24" i="2"/>
  <c r="D5" i="13" s="1"/>
  <c r="G5" i="13" s="1"/>
  <c r="G46" i="13" s="1"/>
  <c r="D48" i="13"/>
  <c r="BT63" i="2"/>
  <c r="F36" i="13" s="1"/>
  <c r="BS63" i="2"/>
  <c r="BS26" i="2"/>
  <c r="BT26" i="2"/>
  <c r="D7" i="13" s="1"/>
  <c r="P5" i="13"/>
  <c r="Q5" i="13"/>
  <c r="N5" i="13"/>
  <c r="N46" i="13" s="1"/>
  <c r="O5" i="13"/>
  <c r="O46" i="13" s="1"/>
  <c r="Q36" i="13"/>
  <c r="P36" i="13"/>
  <c r="P33" i="13"/>
  <c r="Q33" i="13"/>
  <c r="BR65" i="2"/>
  <c r="BR71" i="2" s="1"/>
  <c r="BQ65" i="2"/>
  <c r="BQ71" i="2" s="1"/>
  <c r="BV42" i="2"/>
  <c r="BL65" i="2"/>
  <c r="BL71" i="2" s="1"/>
  <c r="J37" i="16"/>
  <c r="E54" i="11"/>
  <c r="BV43" i="2"/>
  <c r="BO65" i="2"/>
  <c r="BO71" i="2" s="1"/>
  <c r="C37" i="16"/>
  <c r="E37" i="16" s="1"/>
  <c r="H37" i="16" s="1"/>
  <c r="BT62" i="2"/>
  <c r="D35" i="13" s="1"/>
  <c r="E55" i="11"/>
  <c r="J38" i="16"/>
  <c r="BG71" i="2"/>
  <c r="BP42" i="2"/>
  <c r="D31" i="16"/>
  <c r="E31" i="16" s="1"/>
  <c r="H31" i="16" s="1"/>
  <c r="O36" i="13"/>
  <c r="N36" i="13"/>
  <c r="BT42" i="2" l="1"/>
  <c r="BT43" i="2" s="1"/>
  <c r="BS42" i="2"/>
  <c r="BS43" i="2" s="1"/>
  <c r="BV65" i="2"/>
  <c r="L36" i="13"/>
  <c r="I36" i="13"/>
  <c r="J36" i="13"/>
  <c r="H36" i="13"/>
  <c r="M36" i="13"/>
  <c r="G36" i="13"/>
  <c r="K36" i="13"/>
  <c r="L5" i="13"/>
  <c r="L46" i="13" s="1"/>
  <c r="K5" i="13"/>
  <c r="K46" i="13" s="1"/>
  <c r="F5" i="13"/>
  <c r="M5" i="13"/>
  <c r="M46" i="13" s="1"/>
  <c r="J5" i="13"/>
  <c r="J46" i="13" s="1"/>
  <c r="I5" i="13"/>
  <c r="I46" i="13" s="1"/>
  <c r="H5" i="13"/>
  <c r="H46" i="13" s="1"/>
  <c r="Q46" i="13"/>
  <c r="P46" i="13"/>
  <c r="L35" i="13"/>
  <c r="P35" i="13"/>
  <c r="P37" i="13" s="1"/>
  <c r="P52" i="13" s="1"/>
  <c r="Q35" i="13"/>
  <c r="Q37" i="13" s="1"/>
  <c r="Q52" i="13" s="1"/>
  <c r="N35" i="13"/>
  <c r="N37" i="13" s="1"/>
  <c r="O35" i="13"/>
  <c r="O37" i="13" s="1"/>
  <c r="O52" i="13" s="1"/>
  <c r="M35" i="13"/>
  <c r="BV71" i="2"/>
  <c r="E59" i="11" s="1"/>
  <c r="K35" i="13"/>
  <c r="F35" i="13"/>
  <c r="F37" i="13" s="1"/>
  <c r="F52" i="13" s="1"/>
  <c r="E125" i="14" s="1"/>
  <c r="G35" i="13"/>
  <c r="J35" i="13"/>
  <c r="H35" i="13"/>
  <c r="I35" i="13"/>
  <c r="D37" i="13"/>
  <c r="BP65" i="2"/>
  <c r="BP71" i="2" s="1"/>
  <c r="BP43" i="2"/>
  <c r="BT65" i="2" l="1"/>
  <c r="BT71" i="2" s="1"/>
  <c r="F125" i="14"/>
  <c r="BS65" i="2"/>
  <c r="BS71" i="2" s="1"/>
  <c r="F46" i="13"/>
  <c r="D46" i="13" s="1"/>
  <c r="N52" i="13"/>
  <c r="J37" i="13"/>
  <c r="L37" i="13"/>
  <c r="I37" i="13"/>
  <c r="H37" i="13"/>
  <c r="M37" i="13"/>
  <c r="G37" i="13"/>
  <c r="K37" i="13"/>
  <c r="L7" i="13"/>
  <c r="L19" i="13" s="1"/>
  <c r="Q7" i="13"/>
  <c r="P7" i="13"/>
  <c r="M7" i="13"/>
  <c r="N7" i="13"/>
  <c r="O7" i="13"/>
  <c r="D19" i="13"/>
  <c r="F7" i="13"/>
  <c r="F19" i="13" s="1"/>
  <c r="I7" i="13"/>
  <c r="J7" i="13"/>
  <c r="G7" i="13"/>
  <c r="K7" i="13"/>
  <c r="H7" i="13"/>
  <c r="M52" i="13" l="1"/>
  <c r="J52" i="13"/>
  <c r="H52" i="13"/>
  <c r="K52" i="13"/>
  <c r="I52" i="13"/>
  <c r="G52" i="13"/>
  <c r="E126" i="14" s="1"/>
  <c r="L52" i="13"/>
  <c r="L47" i="13"/>
  <c r="E26" i="14" s="1"/>
  <c r="M47" i="13"/>
  <c r="E27" i="14" s="1"/>
  <c r="M19" i="13"/>
  <c r="P47" i="13"/>
  <c r="P19" i="13"/>
  <c r="O47" i="13"/>
  <c r="O19" i="13"/>
  <c r="Q47" i="13"/>
  <c r="Q19" i="13"/>
  <c r="N47" i="13"/>
  <c r="E28" i="14" s="1"/>
  <c r="N19" i="13"/>
  <c r="J19" i="13"/>
  <c r="J47" i="13"/>
  <c r="E24" i="14" s="1"/>
  <c r="H47" i="13"/>
  <c r="E22" i="14" s="1"/>
  <c r="H19" i="13"/>
  <c r="I47" i="13"/>
  <c r="E23" i="14" s="1"/>
  <c r="I19" i="13"/>
  <c r="K47" i="13"/>
  <c r="E25" i="14" s="1"/>
  <c r="K19" i="13"/>
  <c r="F47" i="13"/>
  <c r="E46" i="14" s="1"/>
  <c r="G47" i="13"/>
  <c r="E21" i="14" s="1"/>
  <c r="G19" i="13"/>
  <c r="E128" i="14" l="1"/>
  <c r="F128" i="14" s="1"/>
  <c r="E132" i="14"/>
  <c r="F132" i="14" s="1"/>
  <c r="E130" i="14"/>
  <c r="F130" i="14" s="1"/>
  <c r="E135" i="14"/>
  <c r="F135" i="14" s="1"/>
  <c r="E144" i="14"/>
  <c r="F144" i="14" s="1"/>
  <c r="E131" i="14"/>
  <c r="F131" i="14" s="1"/>
  <c r="E127" i="14"/>
  <c r="F127" i="14" s="1"/>
  <c r="E137" i="14"/>
  <c r="F137" i="14" s="1"/>
  <c r="E141" i="14"/>
  <c r="F141" i="14" s="1"/>
  <c r="E134" i="14"/>
  <c r="F134" i="14" s="1"/>
  <c r="E138" i="14"/>
  <c r="F138" i="14" s="1"/>
  <c r="E129" i="14"/>
  <c r="F129" i="14" s="1"/>
  <c r="E143" i="14"/>
  <c r="F143" i="14" s="1"/>
  <c r="E139" i="14"/>
  <c r="F139" i="14" s="1"/>
  <c r="E133" i="14"/>
  <c r="F133" i="14" s="1"/>
  <c r="E140" i="14"/>
  <c r="F140" i="14" s="1"/>
  <c r="E142" i="14"/>
  <c r="F142" i="14" s="1"/>
  <c r="E136" i="14"/>
  <c r="F136" i="14" s="1"/>
  <c r="F126" i="14"/>
  <c r="D52" i="13"/>
  <c r="E38" i="14"/>
  <c r="F38" i="14" s="1"/>
  <c r="E36" i="14"/>
  <c r="F36" i="14" s="1"/>
  <c r="E30" i="14"/>
  <c r="F30" i="14" s="1"/>
  <c r="E32" i="14"/>
  <c r="F32" i="14" s="1"/>
  <c r="E29" i="14"/>
  <c r="F29" i="14" s="1"/>
  <c r="E33" i="14"/>
  <c r="F33" i="14" s="1"/>
  <c r="E37" i="14"/>
  <c r="F37" i="14" s="1"/>
  <c r="E39" i="14"/>
  <c r="F39" i="14" s="1"/>
  <c r="E31" i="14"/>
  <c r="F31" i="14" s="1"/>
  <c r="E35" i="14"/>
  <c r="F35" i="14" s="1"/>
  <c r="E34" i="14"/>
  <c r="F34" i="14" s="1"/>
  <c r="E20" i="14"/>
  <c r="F20" i="14" s="1"/>
  <c r="E49" i="14"/>
  <c r="F49" i="14" s="1"/>
  <c r="E47" i="14"/>
  <c r="F47" i="14" s="1"/>
  <c r="E50" i="14"/>
  <c r="F50" i="14" s="1"/>
  <c r="E52" i="14"/>
  <c r="F52" i="14" s="1"/>
  <c r="E48" i="14"/>
  <c r="E51" i="14"/>
  <c r="F51" i="14" s="1"/>
  <c r="E56" i="14"/>
  <c r="F56" i="14" s="1"/>
  <c r="E65" i="14"/>
  <c r="F65" i="14" s="1"/>
  <c r="E57" i="14"/>
  <c r="F57" i="14" s="1"/>
  <c r="E55" i="14"/>
  <c r="F55" i="14" s="1"/>
  <c r="E63" i="14"/>
  <c r="F63" i="14" s="1"/>
  <c r="E54" i="14"/>
  <c r="F54" i="14" s="1"/>
  <c r="E53" i="14"/>
  <c r="F53" i="14" s="1"/>
  <c r="E59" i="14"/>
  <c r="F59" i="14" s="1"/>
  <c r="E64" i="14"/>
  <c r="F64" i="14" s="1"/>
  <c r="E60" i="14"/>
  <c r="F60" i="14" s="1"/>
  <c r="E58" i="14"/>
  <c r="F58" i="14" s="1"/>
  <c r="E62" i="14"/>
  <c r="F62" i="14" s="1"/>
  <c r="E61" i="14"/>
  <c r="F61" i="14" s="1"/>
  <c r="F72" i="14"/>
  <c r="F23" i="14"/>
  <c r="F75" i="14"/>
  <c r="F26" i="14"/>
  <c r="F78" i="14"/>
  <c r="F21" i="14"/>
  <c r="F73" i="14"/>
  <c r="F25" i="14"/>
  <c r="F77" i="14"/>
  <c r="F22" i="14"/>
  <c r="F74" i="14"/>
  <c r="F24" i="14"/>
  <c r="F76" i="14"/>
  <c r="F84" i="14"/>
  <c r="F87" i="14"/>
  <c r="F90" i="14"/>
  <c r="F91" i="14"/>
  <c r="F83" i="14"/>
  <c r="F86" i="14"/>
  <c r="F89" i="14"/>
  <c r="F80" i="14"/>
  <c r="F81" i="14"/>
  <c r="F85" i="14"/>
  <c r="F82" i="14"/>
  <c r="F88" i="14"/>
  <c r="F27" i="14"/>
  <c r="F79" i="14"/>
  <c r="F28" i="14"/>
  <c r="D47" i="13"/>
  <c r="E145" i="14" l="1"/>
  <c r="E40" i="14"/>
  <c r="E92" i="14"/>
  <c r="F48" i="14"/>
  <c r="F46" i="14"/>
  <c r="E66" i="14"/>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1" authorId="1" shapeId="0">
      <text>
        <r>
          <rPr>
            <b/>
            <sz val="9"/>
            <color indexed="81"/>
            <rFont val="Tahoma"/>
            <family val="2"/>
          </rPr>
          <t xml:space="preserve">OEB Staff: 
</t>
        </r>
        <r>
          <rPr>
            <sz val="9"/>
            <color indexed="81"/>
            <rFont val="Tahoma"/>
            <family val="2"/>
          </rPr>
          <t>1589 balance is allocated based on Non RPP-kWh for all classes</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comments2.xml><?xml version="1.0" encoding="utf-8"?>
<comments xmlns="http://schemas.openxmlformats.org/spreadsheetml/2006/main">
  <authors>
    <author>Donna Kwan</author>
  </authors>
  <commentList>
    <comment ref="B21" authorId="0" shapeId="0">
      <text>
        <r>
          <rPr>
            <b/>
            <sz val="9"/>
            <color indexed="81"/>
            <rFont val="Tahoma"/>
            <family val="2"/>
          </rPr>
          <t>OEB Staff:</t>
        </r>
        <r>
          <rPr>
            <sz val="9"/>
            <color indexed="81"/>
            <rFont val="Tahoma"/>
            <family val="2"/>
          </rPr>
          <t xml:space="preserve">
Input the number of former Class B customers in cell C32.  Total consumption for Class A customers in the period prior to becoming Class A inputted in the table populated under "Allocation of GA Balances to Former Class B Customers" below will be automatically  transferred to this row.  </t>
        </r>
      </text>
    </comment>
  </commentList>
</comments>
</file>

<file path=xl/sharedStrings.xml><?xml version="1.0" encoding="utf-8"?>
<sst xmlns="http://schemas.openxmlformats.org/spreadsheetml/2006/main" count="591" uniqueCount="397">
  <si>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</si>
  <si>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</si>
  <si>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</si>
  <si>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</si>
  <si>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</si>
  <si>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</si>
  <si>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</si>
  <si>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</si>
  <si>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</si>
  <si>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</si>
  <si>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</si>
  <si>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Please describe "other" components of 1508 and add more component lines if necessary.</t>
  </si>
  <si>
    <t>Claim before Forecasted Transactions</t>
  </si>
  <si>
    <t>Smart Grid Capital Deferral Account</t>
  </si>
  <si>
    <t>Smart Grid OM&amp;A Deferral Account</t>
  </si>
  <si>
    <t>Group 2 Sub-Total</t>
  </si>
  <si>
    <t>Closing Principal Balance as of Dec-31-10</t>
  </si>
  <si>
    <t>Opening Interest Amounts as of Jan-1-10</t>
  </si>
  <si>
    <t>Closing Interest Amounts as of Dec-31-10</t>
  </si>
  <si>
    <t>Smart Grid Funding Adder Deferral Account</t>
  </si>
  <si>
    <t>Account Descriptions</t>
  </si>
  <si>
    <t xml:space="preserve">Renewable Generation Connection Funding Adder Deferral Account </t>
  </si>
  <si>
    <t>Interest Jan-1 to Dec-31-10</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</si>
  <si>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</si>
  <si>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</si>
  <si>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</si>
  <si>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</si>
  <si>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</si>
  <si>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</si>
  <si>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</si>
  <si>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</si>
  <si>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</si>
  <si>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</si>
  <si>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</si>
  <si>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</si>
  <si>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</si>
  <si>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</si>
  <si>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Opening Principal Amounts as of Jan-1-10</t>
  </si>
  <si>
    <t>Opening Principal Amounts as of Jan-1-11</t>
  </si>
  <si>
    <t>Closing Principal Balance as of Dec-31-11</t>
  </si>
  <si>
    <t>Opening Interest Amounts as of Jan-1-11</t>
  </si>
  <si>
    <t>Closing Interest Amounts as of Dec-31-11</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</si>
  <si>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</si>
  <si>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</si>
  <si>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</si>
  <si>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</si>
  <si>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</si>
  <si>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</si>
  <si>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</si>
  <si>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Version</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</si>
  <si>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</si>
  <si>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</si>
  <si>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</si>
  <si>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</si>
  <si>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</si>
  <si>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</si>
  <si>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</si>
  <si>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</si>
  <si>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</si>
  <si>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</si>
  <si>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</si>
  <si>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</si>
  <si>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</si>
  <si>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</si>
  <si>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</si>
  <si>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</si>
  <si>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</si>
  <si>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</si>
  <si>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PILs and Tax Variance for 2006 and Subsequent Years -
      Sub-Account HST/OVAT Input Tax Credits (ITCs)</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</si>
  <si>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</si>
  <si>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</si>
  <si>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</si>
  <si>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</si>
  <si>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</si>
  <si>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</si>
  <si>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</si>
  <si>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</si>
  <si>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</si>
  <si>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 xml:space="preserve"> Please indicate the Rate Rider Recovery Period (in years)</t>
  </si>
  <si>
    <t>kW / kWh / # of Customers</t>
  </si>
  <si>
    <t>Rate Rider Calculation for Deferral / Variance Accounts Balances (excluding Global Adj.)</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</si>
  <si>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</si>
  <si>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</si>
  <si>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</si>
  <si>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</si>
  <si>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t>Opening Principal Amounts as of Jan-1-12</t>
  </si>
  <si>
    <t>Closing Principal Balance as of Dec-31-12</t>
  </si>
  <si>
    <t>Opening Interest Amounts as of Jan-1-12</t>
  </si>
  <si>
    <t>Interest Jan-1 to Dec-31-12</t>
  </si>
  <si>
    <t>Closing Interest Amounts as of Dec-31-12</t>
  </si>
  <si>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</si>
  <si>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</si>
  <si>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</si>
  <si>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</si>
  <si>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</si>
  <si>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Total of Group 1 Accounts (excluding 1589)</t>
  </si>
  <si>
    <t>Allocated Balance (excluding 1589)</t>
  </si>
  <si>
    <t>Total Balance Allocated to each class for Accounts 1575 and 1576</t>
  </si>
  <si>
    <t>Rate Rider Calculation for Accounts 1575 and 1576</t>
  </si>
  <si>
    <t>Balance of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</si>
  <si>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</si>
  <si>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</si>
  <si>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</si>
  <si>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</si>
  <si>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</si>
  <si>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</si>
  <si>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</si>
  <si>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</si>
  <si>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</si>
  <si>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</si>
  <si>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</si>
  <si>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</si>
  <si>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Entegrus Powerlines Inc.</t>
  </si>
  <si>
    <t>Erie Thames Powerlines Corporation</t>
  </si>
  <si>
    <t>Espanola Regional Hydro Distribution Corporation</t>
  </si>
  <si>
    <t>Essex Powerlines Corporation</t>
  </si>
  <si>
    <t>Festival Hydro Inc.</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</si>
  <si>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</si>
  <si>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</si>
  <si>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</si>
  <si>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</si>
  <si>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</si>
  <si>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</si>
  <si>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</si>
  <si>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</si>
  <si>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</si>
  <si>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</si>
  <si>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</si>
  <si>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</si>
  <si>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</si>
  <si>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Kenora Hydro Electric Corporation Ltd.</t>
  </si>
  <si>
    <t>Kingston Hydro Corporation</t>
  </si>
  <si>
    <t>Kitchener-Wilmot Hydro Inc.</t>
  </si>
  <si>
    <t>Lakefront Utilities Inc.</t>
  </si>
  <si>
    <t>Lakeland Power Distribution Ltd.</t>
  </si>
  <si>
    <t>London Hydro Inc.</t>
  </si>
  <si>
    <t>Midland Power Utility Corporation</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</si>
  <si>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</si>
  <si>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</si>
  <si>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</si>
  <si>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</si>
  <si>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</si>
  <si>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</si>
  <si>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</si>
  <si>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</si>
  <si>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</si>
  <si>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</si>
  <si>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</si>
  <si>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</si>
  <si>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</si>
  <si>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</si>
  <si>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</si>
  <si>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</si>
  <si>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</si>
  <si>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</si>
  <si>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</si>
  <si>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</si>
  <si>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</si>
  <si>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</si>
  <si>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Wellington North Power Inc.</t>
  </si>
  <si>
    <t>West Coast Huron Energy Inc.</t>
  </si>
  <si>
    <t>Westario Power Inc.</t>
  </si>
  <si>
    <t>Whitby Hydro Electric Corporation</t>
  </si>
  <si>
    <t>Woodstock Hydro Services Inc.</t>
  </si>
  <si>
    <t>Disposition and Recovery/Refund of Regulatory Balances (2011)</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</si>
  <si>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</si>
  <si>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</si>
  <si>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</si>
  <si>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</si>
  <si>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</si>
  <si>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</si>
  <si>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</si>
  <si>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</si>
  <si>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</si>
  <si>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</si>
  <si>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</si>
  <si>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Opening Principal Amounts as of Jan-1-13</t>
  </si>
  <si>
    <t>Closing Principal Balance as of Dec-31-13</t>
  </si>
  <si>
    <t>Opening Interest Amounts as of Jan-1-13</t>
  </si>
  <si>
    <t>Interest Jan-1 to Dec-31-13</t>
  </si>
  <si>
    <t>Closing Interest Amounts as of Dec-31-13</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</si>
  <si>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</si>
  <si>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</si>
  <si>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</si>
  <si>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</si>
  <si>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</si>
  <si>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</si>
  <si>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</si>
  <si>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Disposition and Recovery/Refund of Regulatory Balances (2012)</t>
  </si>
  <si>
    <t>kWh</t>
  </si>
  <si>
    <t>Rate Rider Calculation for Accounts 1568</t>
  </si>
  <si>
    <t>Balance of 
Account 1568</t>
  </si>
  <si>
    <t>Rate Rider for Account 1568</t>
  </si>
  <si>
    <t>Attawapiskat Power Corporation</t>
  </si>
  <si>
    <t>COLLUS PowerStream Corp.</t>
  </si>
  <si>
    <t>EnWin Utilities Ltd.</t>
  </si>
  <si>
    <t>Fort Albany Power Corporation</t>
  </si>
  <si>
    <t>Hydro One Remote Communities Inc.</t>
  </si>
  <si>
    <t>Innpower Corporation</t>
  </si>
  <si>
    <t>Kashechewan Power Corporation</t>
  </si>
  <si>
    <t>Newmarket-Tay Power Distribution Ltd.</t>
  </si>
  <si>
    <t>Disposition and Recovery/Refund of Regulatory Balances (2013)</t>
  </si>
  <si>
    <t>Disposition and Recovery/Refund of Regulatory Balances (2014)</t>
  </si>
  <si>
    <t>Opening Principal Amounts as of Jan-1-14</t>
  </si>
  <si>
    <t>Closing Principal Balance as of Dec-31-14</t>
  </si>
  <si>
    <t>Opening Interest Amounts as of Jan-1-14</t>
  </si>
  <si>
    <t>Interest Jan-1 to Dec-31-14</t>
  </si>
  <si>
    <t>Closing Interest Amounts as of Dec-31-14</t>
  </si>
  <si>
    <r>
      <t xml:space="preserve">Total 
Metered </t>
    </r>
    <r>
      <rPr>
        <b/>
        <sz val="10"/>
        <color rgb="FFFF0000"/>
        <rFont val="Arial"/>
        <family val="2"/>
      </rPr>
      <t>kWh</t>
    </r>
  </si>
  <si>
    <r>
      <t xml:space="preserve">Total 
Metered </t>
    </r>
    <r>
      <rPr>
        <b/>
        <sz val="10"/>
        <color rgb="FFFF0000"/>
        <rFont val="Arial"/>
        <family val="2"/>
      </rPr>
      <t>kW</t>
    </r>
  </si>
  <si>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</si>
  <si>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</si>
  <si>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</si>
  <si>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</si>
  <si>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</si>
  <si>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</si>
  <si>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</si>
  <si>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</si>
  <si>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</si>
  <si>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</si>
  <si>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</si>
  <si>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</si>
  <si>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</si>
  <si>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</si>
  <si>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t>Rate Rider Calculation for Deferral / Variance Accounts Balances (excluding Global Adj.) - NON-WMP</t>
  </si>
  <si>
    <t>1550, 1551, 1584, 1586, 1595</t>
  </si>
  <si>
    <t>Balance of Group 2 Accounts</t>
  </si>
  <si>
    <t>Please provide explanations for the nature of the adjustments.  If the adjustment relates to previously OEB Approved disposed balances, please provide amounts for adjustments and include supporting documentations.</t>
  </si>
  <si>
    <r>
      <t>Smart Meter Capital and Recovery Offset Variance - Sub-Account - Capital</t>
    </r>
    <r>
      <rPr>
        <vertAlign val="superscript"/>
        <sz val="11"/>
        <rFont val="Arial"/>
        <family val="2"/>
      </rPr>
      <t>5</t>
    </r>
  </si>
  <si>
    <r>
      <t>Smart Meter Capital and Recovery Offset Variance - Sub-Account - Stranded Meter Costs</t>
    </r>
    <r>
      <rPr>
        <vertAlign val="superscript"/>
        <sz val="11"/>
        <rFont val="Arial"/>
        <family val="2"/>
      </rPr>
      <t>5</t>
    </r>
  </si>
  <si>
    <r>
      <t>Smart Meter Capital and Recovery Offset Variance - Sub-Account - Recoveries</t>
    </r>
    <r>
      <rPr>
        <vertAlign val="superscript"/>
        <sz val="11"/>
        <rFont val="Arial"/>
        <family val="2"/>
      </rPr>
      <t>5</t>
    </r>
  </si>
  <si>
    <r>
      <t>Smart Meter OM&amp;A Variance</t>
    </r>
    <r>
      <rPr>
        <vertAlign val="superscript"/>
        <sz val="11"/>
        <rFont val="Arial"/>
        <family val="2"/>
      </rPr>
      <t>5</t>
    </r>
  </si>
  <si>
    <r>
      <t>IFRS-CGAAP Transition PP&amp;E Amounts Balance + Return Component</t>
    </r>
    <r>
      <rPr>
        <vertAlign val="superscript"/>
        <sz val="11"/>
        <rFont val="Arial"/>
        <family val="2"/>
      </rPr>
      <t>6</t>
    </r>
  </si>
  <si>
    <r>
      <t>Accounting Changes Under CGAAP Balance + Return Component</t>
    </r>
    <r>
      <rPr>
        <vertAlign val="superscript"/>
        <sz val="11"/>
        <rFont val="Arial"/>
        <family val="2"/>
      </rPr>
      <t>6</t>
    </r>
  </si>
  <si>
    <r>
      <t>Principal Adjustments</t>
    </r>
    <r>
      <rPr>
        <b/>
        <vertAlign val="superscript"/>
        <sz val="10"/>
        <rFont val="Book Antiqua"/>
        <family val="1"/>
      </rPr>
      <t>2</t>
    </r>
    <r>
      <rPr>
        <b/>
        <sz val="10"/>
        <rFont val="Book Antiqua"/>
        <family val="1"/>
      </rPr>
      <t xml:space="preserve"> during 2013</t>
    </r>
  </si>
  <si>
    <r>
      <t>Principal Adjustments</t>
    </r>
    <r>
      <rPr>
        <b/>
        <vertAlign val="superscript"/>
        <sz val="10"/>
        <rFont val="Book Antiqua"/>
        <family val="1"/>
      </rPr>
      <t>2</t>
    </r>
    <r>
      <rPr>
        <b/>
        <sz val="10"/>
        <rFont val="Book Antiqua"/>
        <family val="1"/>
      </rPr>
      <t xml:space="preserve"> during 2012</t>
    </r>
  </si>
  <si>
    <r>
      <t>Interest Adjustments</t>
    </r>
    <r>
      <rPr>
        <b/>
        <vertAlign val="superscript"/>
        <sz val="8"/>
        <rFont val="Book Antiqua"/>
        <family val="1"/>
      </rPr>
      <t>1</t>
    </r>
    <r>
      <rPr>
        <b/>
        <sz val="10"/>
        <rFont val="Book Antiqua"/>
        <family val="1"/>
      </rPr>
      <t xml:space="preserve"> during 2010</t>
    </r>
  </si>
  <si>
    <r>
      <t xml:space="preserve">In the green shaded cells, enter the data related to the </t>
    </r>
    <r>
      <rPr>
        <b/>
        <sz val="10"/>
        <rFont val="Arial"/>
        <family val="2"/>
      </rPr>
      <t>proposed</t>
    </r>
    <r>
      <rPr>
        <sz val="10"/>
        <rFont val="Arial"/>
        <family val="2"/>
      </rPr>
      <t xml:space="preserve"> load forecast.  Do not enter data for the MicroFit class.</t>
    </r>
  </si>
  <si>
    <t xml:space="preserve">For RSVA accounts only, report the net variance to the account during the year.  For all other accounts, record the transactions during the year.  Do not include interest, adjustments, or OEB approved dispositions in this column.  </t>
  </si>
  <si>
    <r>
      <t>Other Regulatory Assets - Sub-Account - Financial Assistance Payment and Recovery Variance - Ontario Clean Energy Benefit Act</t>
    </r>
    <r>
      <rPr>
        <vertAlign val="superscript"/>
        <sz val="11"/>
        <rFont val="Arial"/>
        <family val="2"/>
      </rPr>
      <t>3</t>
    </r>
  </si>
  <si>
    <t>If the LDC’s rate year begins on January 1, 2017, the projected interest is recorded from January 1, 2016 to December 31, 2016 on the December 31, 2015 balances adjusted for the disposed balances approved by the OEB in the 2016 rate decision.  If the LDC’s rate year begins on May 1, 2017, the projected interest is recorded from January 1, 2016 to April 30, 2017 on the December 31, 2015 balances adjusted for the disposed interest balances approved by the OEB in the 2016 rate decision.</t>
  </si>
  <si>
    <r>
      <t>Disposition and Recovery/Refund of Regulatory Balances (2009)</t>
    </r>
    <r>
      <rPr>
        <vertAlign val="superscript"/>
        <sz val="11"/>
        <rFont val="Arial"/>
        <family val="2"/>
      </rPr>
      <t>8</t>
    </r>
  </si>
  <si>
    <r>
      <t>Disposition and Recovery/Refund of Regulatory Balances (2010)</t>
    </r>
    <r>
      <rPr>
        <vertAlign val="superscript"/>
        <sz val="11"/>
        <rFont val="Arial"/>
        <family val="2"/>
      </rPr>
      <t>8</t>
    </r>
  </si>
  <si>
    <r>
      <t>Disposition and Recovery/Refund of Regulatory Balances (2011)</t>
    </r>
    <r>
      <rPr>
        <vertAlign val="superscript"/>
        <sz val="11"/>
        <rFont val="Arial"/>
        <family val="2"/>
      </rPr>
      <t>8</t>
    </r>
  </si>
  <si>
    <r>
      <t>Disposition and Recovery/Refund of Regulatory Balances (2012)</t>
    </r>
    <r>
      <rPr>
        <vertAlign val="superscript"/>
        <sz val="11"/>
        <rFont val="Arial"/>
        <family val="2"/>
      </rPr>
      <t>8</t>
    </r>
  </si>
  <si>
    <r>
      <t>Disposition and Recovery/Refund of Regulatory Balances (2013)</t>
    </r>
    <r>
      <rPr>
        <vertAlign val="superscript"/>
        <sz val="11"/>
        <rFont val="Arial"/>
        <family val="2"/>
      </rPr>
      <t>8</t>
    </r>
  </si>
  <si>
    <r>
      <t>Disposition and Recovery/Refund of Regulatory Balances (2014)</t>
    </r>
    <r>
      <rPr>
        <vertAlign val="superscript"/>
        <sz val="11"/>
        <rFont val="Arial"/>
        <family val="2"/>
      </rPr>
      <t>8</t>
    </r>
  </si>
  <si>
    <t>As of Dec 31-15</t>
  </si>
  <si>
    <r>
      <t xml:space="preserve">Variance                           RRR vs. 2015 Balance                        </t>
    </r>
    <r>
      <rPr>
        <b/>
        <i/>
        <sz val="10"/>
        <rFont val="Book Antiqua"/>
        <family val="1"/>
      </rPr>
      <t>(Principal + Interest)</t>
    </r>
  </si>
  <si>
    <t>Projected Interest on Dec-31-15 Balances</t>
  </si>
  <si>
    <r>
      <t>Transactions</t>
    </r>
    <r>
      <rPr>
        <b/>
        <vertAlign val="superscript"/>
        <sz val="8"/>
        <rFont val="Book Antiqua"/>
        <family val="1"/>
      </rPr>
      <t xml:space="preserve">1 </t>
    </r>
    <r>
      <rPr>
        <b/>
        <sz val="10"/>
        <rFont val="Book Antiqua"/>
        <family val="1"/>
      </rPr>
      <t xml:space="preserve">Debit / (Credit) during 2010 </t>
    </r>
  </si>
  <si>
    <r>
      <t>Principal Adjustments</t>
    </r>
    <r>
      <rPr>
        <b/>
        <vertAlign val="superscript"/>
        <sz val="8"/>
        <rFont val="Book Antiqua"/>
        <family val="1"/>
      </rPr>
      <t>2</t>
    </r>
    <r>
      <rPr>
        <b/>
        <sz val="10"/>
        <rFont val="Book Antiqua"/>
        <family val="1"/>
      </rPr>
      <t xml:space="preserve"> during 2010</t>
    </r>
  </si>
  <si>
    <r>
      <t>Principal Adjustments</t>
    </r>
    <r>
      <rPr>
        <b/>
        <vertAlign val="superscript"/>
        <sz val="10"/>
        <rFont val="Book Antiqua"/>
        <family val="1"/>
      </rPr>
      <t>2</t>
    </r>
    <r>
      <rPr>
        <b/>
        <sz val="10"/>
        <rFont val="Book Antiqua"/>
        <family val="1"/>
      </rPr>
      <t xml:space="preserve"> during 2011 </t>
    </r>
  </si>
  <si>
    <r>
      <t>Transactions</t>
    </r>
    <r>
      <rPr>
        <b/>
        <vertAlign val="superscript"/>
        <sz val="8"/>
        <rFont val="Book Antiqua"/>
        <family val="1"/>
      </rPr>
      <t>1</t>
    </r>
    <r>
      <rPr>
        <b/>
        <sz val="10"/>
        <rFont val="Book Antiqua"/>
        <family val="1"/>
      </rPr>
      <t xml:space="preserve"> Debit / (Credit) during 2011 </t>
    </r>
  </si>
  <si>
    <r>
      <t>Interest Adjustments</t>
    </r>
    <r>
      <rPr>
        <b/>
        <vertAlign val="superscript"/>
        <sz val="8"/>
        <rFont val="Book Antiqua"/>
        <family val="1"/>
      </rPr>
      <t>2</t>
    </r>
    <r>
      <rPr>
        <b/>
        <sz val="10"/>
        <rFont val="Book Antiqua"/>
        <family val="1"/>
      </rPr>
      <t xml:space="preserve"> during 2011</t>
    </r>
  </si>
  <si>
    <r>
      <t>Principal Adjustments</t>
    </r>
    <r>
      <rPr>
        <b/>
        <vertAlign val="superscript"/>
        <sz val="10"/>
        <rFont val="Book Antiqua"/>
        <family val="1"/>
      </rPr>
      <t>2</t>
    </r>
    <r>
      <rPr>
        <b/>
        <sz val="10"/>
        <rFont val="Book Antiqua"/>
        <family val="1"/>
      </rPr>
      <t xml:space="preserve"> during 2014</t>
    </r>
  </si>
  <si>
    <t>Opening Principal Amounts as of Jan-1-15</t>
  </si>
  <si>
    <r>
      <t>Principal Adjustments</t>
    </r>
    <r>
      <rPr>
        <b/>
        <vertAlign val="superscript"/>
        <sz val="10"/>
        <rFont val="Book Antiqua"/>
        <family val="1"/>
      </rPr>
      <t>2</t>
    </r>
    <r>
      <rPr>
        <b/>
        <sz val="10"/>
        <rFont val="Book Antiqua"/>
        <family val="1"/>
      </rPr>
      <t xml:space="preserve"> during 2015 </t>
    </r>
  </si>
  <si>
    <t>Closing Principal Balance as of Dec-31-15</t>
  </si>
  <si>
    <t>Opening Interest Amounts as of Jan-1-15</t>
  </si>
  <si>
    <t>Interest Jan-1 to Dec-31-15</t>
  </si>
  <si>
    <t>Closing Interest Amounts as of Dec-31-15</t>
  </si>
  <si>
    <t>Closing Principal Balances as of Dec 31-15 Adjusted for Dispositions during 2016</t>
  </si>
  <si>
    <t>Closing Interest Balances as of Dec 31-15 Adjusted for Dispositions during 2016</t>
  </si>
  <si>
    <r>
      <t xml:space="preserve">Projected Interest  from Jan 1, 2016 to December 31, 2016 on  Dec 31 -15 balance adjusted for disposition during 2016 </t>
    </r>
    <r>
      <rPr>
        <b/>
        <vertAlign val="superscript"/>
        <sz val="10"/>
        <rFont val="Book Antiqua"/>
        <family val="1"/>
      </rPr>
      <t>7</t>
    </r>
  </si>
  <si>
    <r>
      <t>Transactions</t>
    </r>
    <r>
      <rPr>
        <b/>
        <vertAlign val="superscript"/>
        <sz val="8"/>
        <rFont val="Book Antiqua"/>
        <family val="1"/>
      </rPr>
      <t>1</t>
    </r>
    <r>
      <rPr>
        <b/>
        <sz val="10"/>
        <rFont val="Book Antiqua"/>
        <family val="1"/>
      </rPr>
      <t xml:space="preserve"> Debit / (Credit) during 2012</t>
    </r>
  </si>
  <si>
    <r>
      <t>Interest Adjustments</t>
    </r>
    <r>
      <rPr>
        <b/>
        <vertAlign val="superscript"/>
        <sz val="8"/>
        <rFont val="Book Antiqua"/>
        <family val="1"/>
      </rPr>
      <t>2</t>
    </r>
    <r>
      <rPr>
        <b/>
        <sz val="10"/>
        <rFont val="Book Antiqua"/>
        <family val="1"/>
      </rPr>
      <t xml:space="preserve"> during 2012</t>
    </r>
  </si>
  <si>
    <r>
      <t>Transactions</t>
    </r>
    <r>
      <rPr>
        <b/>
        <vertAlign val="superscript"/>
        <sz val="8"/>
        <rFont val="Book Antiqua"/>
        <family val="1"/>
      </rPr>
      <t>1</t>
    </r>
    <r>
      <rPr>
        <b/>
        <sz val="10"/>
        <rFont val="Book Antiqua"/>
        <family val="1"/>
      </rPr>
      <t xml:space="preserve"> Debit / (Credit) during 2013</t>
    </r>
  </si>
  <si>
    <r>
      <t>Interest Adjustments</t>
    </r>
    <r>
      <rPr>
        <b/>
        <vertAlign val="superscript"/>
        <sz val="8"/>
        <rFont val="Book Antiqua"/>
        <family val="1"/>
      </rPr>
      <t>2</t>
    </r>
    <r>
      <rPr>
        <b/>
        <sz val="10"/>
        <rFont val="Book Antiqua"/>
        <family val="1"/>
      </rPr>
      <t xml:space="preserve"> during 2013</t>
    </r>
  </si>
  <si>
    <r>
      <t>Transactions</t>
    </r>
    <r>
      <rPr>
        <b/>
        <vertAlign val="superscript"/>
        <sz val="8"/>
        <rFont val="Book Antiqua"/>
        <family val="1"/>
      </rPr>
      <t>1</t>
    </r>
    <r>
      <rPr>
        <b/>
        <sz val="10"/>
        <rFont val="Book Antiqua"/>
        <family val="1"/>
      </rPr>
      <t xml:space="preserve"> Debit / (Credit) during 2014</t>
    </r>
  </si>
  <si>
    <r>
      <t>Interest Adjustments</t>
    </r>
    <r>
      <rPr>
        <b/>
        <vertAlign val="superscript"/>
        <sz val="8"/>
        <rFont val="Book Antiqua"/>
        <family val="1"/>
      </rPr>
      <t>2</t>
    </r>
    <r>
      <rPr>
        <b/>
        <sz val="10"/>
        <rFont val="Book Antiqua"/>
        <family val="1"/>
      </rPr>
      <t xml:space="preserve"> during 2014</t>
    </r>
  </si>
  <si>
    <r>
      <t>Transactions</t>
    </r>
    <r>
      <rPr>
        <b/>
        <vertAlign val="superscript"/>
        <sz val="8"/>
        <rFont val="Book Antiqua"/>
        <family val="1"/>
      </rPr>
      <t>1</t>
    </r>
    <r>
      <rPr>
        <b/>
        <sz val="10"/>
        <rFont val="Book Antiqua"/>
        <family val="1"/>
      </rPr>
      <t xml:space="preserve"> Debit / (Credit) during 2015</t>
    </r>
  </si>
  <si>
    <r>
      <t>Interest Adjustments</t>
    </r>
    <r>
      <rPr>
        <b/>
        <vertAlign val="superscript"/>
        <sz val="8"/>
        <rFont val="Book Antiqua"/>
        <family val="1"/>
      </rPr>
      <t>2</t>
    </r>
    <r>
      <rPr>
        <b/>
        <sz val="10"/>
        <rFont val="Book Antiqua"/>
        <family val="1"/>
      </rPr>
      <t xml:space="preserve"> during 2015</t>
    </r>
  </si>
  <si>
    <t>Total Interest</t>
  </si>
  <si>
    <t>OEB-Approved Disposition during 2010</t>
  </si>
  <si>
    <t>As per the January 6, 2011 Letter from the OEB regarding the implementation of the Ontario Clean Energy Benefit:</t>
  </si>
  <si>
    <t>Deferral accounts related to Smart Meter deployment are not to be recovered/refunded through the Deferral and Variance Account rate rider. For details on how to dispose of balances in Smart Meter accounts see the OEB's  Guideline: Smart Meter Disposition and Cost Recovery (G-2011-0001)</t>
  </si>
  <si>
    <t>The OEB requires that disposition of Account 1575 and Account 1576 shall require the use of separate rate riders. In the "Adjustments during 2015" column of the continuity schedule, please enter the amounts to be included in the Account 1575 and 1576 rate rider calculation from the applicable Chapter 2 appendices. For Account 1575, please provide the value in cell F39 from Chapter 2 Appendix 2-EA. For Account 1576, please provide the value in cell H39 and G39 from the relevant Chapter 2 Appendix 2-EB or 2-EC, respectively.</t>
  </si>
  <si>
    <t>OEB-Approved Disposition during 2011</t>
  </si>
  <si>
    <t>OEB-Approved Disposition during 2012</t>
  </si>
  <si>
    <t>OEB-Approved Disposition during 2013</t>
  </si>
  <si>
    <t>OEB-Approved Disposition during 2014</t>
  </si>
  <si>
    <t>OEB-Approved Disposition during 2015</t>
  </si>
  <si>
    <t>Principal Disposition during 2016 - instructed by  OEB</t>
  </si>
  <si>
    <t>Interest Disposition during 2016 - instructed by  OEB</t>
  </si>
  <si>
    <t>For all OEB-Approved dispositions, please ensure that the disposition amount has the same sign (e.g: debit balances are to have a positive figure and credit balance are to have a negative figure) as per the related OEB decision.</t>
  </si>
  <si>
    <t>"By way of exception... The Board does anticipate that licensed distributors that cannot adapt their invoices as of January 1, 2011 will require a variance account for OCEB purposes... The Board expects that any principal balances in "Sub account Financial Assistance Payment and Recovery Variance - Ontario Clean Energy Benefit Act" will be addressed through the monthly settlement process with the IESO or the host distributor, as applicable."</t>
  </si>
  <si>
    <t>1580 CBDR A</t>
  </si>
  <si>
    <t>1580 CBDR B</t>
  </si>
  <si>
    <t>1595 (2009)</t>
  </si>
  <si>
    <t>1595 (2010)</t>
  </si>
  <si>
    <t>1595 (2011)</t>
  </si>
  <si>
    <t>1595 (2012)</t>
  </si>
  <si>
    <t>1595 (2013)</t>
  </si>
  <si>
    <t>1595 (2015)</t>
  </si>
  <si>
    <t>1595 (2014)</t>
  </si>
  <si>
    <t>Depending on the disposition period, balances may exist in Account 1575 and Account 1576 even if the accounts have been approved for disposition in a previous decision.  Report these account balances in the continuity schedule if this is the case and leave the checkbox "Check to Dispose of Account" in the Total Claim column unchecked.</t>
  </si>
  <si>
    <t>Include Account 1595 as part of Group 1 accounts for review and disposition if the recovery (or refund) period has been completed.  Check the "Check to Dispose Account" checkbox if disposition is requested. If the recovery (or refund) period has not been completed, do not include the respective balance in Account 1595 for disposition at this time.</t>
  </si>
  <si>
    <t>kW</t>
  </si>
  <si>
    <t xml:space="preserve">Distribution Revenue </t>
  </si>
  <si>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</si>
  <si>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</si>
  <si>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</si>
  <si>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</si>
  <si>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</si>
  <si>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</si>
  <si>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Number of Customers for Residential and GS&lt;50 classes</t>
    </r>
    <r>
      <rPr>
        <b/>
        <vertAlign val="superscript"/>
        <sz val="11"/>
        <color theme="1"/>
        <rFont val="Calibri"/>
        <family val="2"/>
        <scheme val="minor"/>
      </rPr>
      <t>2</t>
    </r>
  </si>
  <si>
    <r>
      <t>1</t>
    </r>
    <r>
      <rPr>
        <sz val="10"/>
        <rFont val="Arial"/>
        <family val="2"/>
      </rPr>
      <t xml:space="preserve"> Residual Account balance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</si>
  <si>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</si>
  <si>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</si>
  <si>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Other Regulatory Assets - Sub-Account - Financial Assistance Payment and Recovery Variance - Ontario Clean Energy Benefit Act</t>
  </si>
  <si>
    <t xml:space="preserve">Other Regulatory Assets - Sub-Account - Other </t>
  </si>
  <si>
    <t>Allocation of Total GA Balance $</t>
  </si>
  <si>
    <t>Total GA Balance</t>
  </si>
  <si>
    <t>Allocation of GA Balances to Former Class B Customers</t>
  </si>
  <si>
    <r>
      <t xml:space="preserve">1595 Recovery Share Proportion (2015) </t>
    </r>
    <r>
      <rPr>
        <b/>
        <vertAlign val="superscript"/>
        <sz val="10"/>
        <rFont val="Arial"/>
        <family val="2"/>
      </rPr>
      <t>1</t>
    </r>
  </si>
  <si>
    <t>Not to be disposed of unless rate rider has expired and balance has been audited</t>
  </si>
  <si>
    <t>Total of Group 1 and Group 2 Accounts (including 1592)</t>
  </si>
  <si>
    <r>
      <t>Disposition and Recovery/Refund of Regulatory Balances (2015)</t>
    </r>
    <r>
      <rPr>
        <vertAlign val="superscript"/>
        <sz val="11"/>
        <rFont val="Arial"/>
        <family val="2"/>
      </rPr>
      <t>8</t>
    </r>
  </si>
  <si>
    <t>PILs and Tax Variance for 2006 and Subsequent Years - Sub-Account HST/OVAT Input Tax Credits (ITCs)</t>
  </si>
  <si>
    <r>
      <t>Renewable Generation Connection Capital Deferral Account</t>
    </r>
    <r>
      <rPr>
        <vertAlign val="superscript"/>
        <sz val="11"/>
        <rFont val="Arial"/>
        <family val="2"/>
      </rPr>
      <t>9</t>
    </r>
  </si>
  <si>
    <r>
      <t>Renewable Generation Connection OM&amp;A Deferral Account</t>
    </r>
    <r>
      <rPr>
        <vertAlign val="superscript"/>
        <sz val="11"/>
        <rFont val="Arial"/>
        <family val="2"/>
      </rPr>
      <t>9</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</si>
  <si>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</si>
  <si>
    <r>
      <t xml:space="preserve">Estimated 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</si>
  <si>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</si>
  <si>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</si>
  <si>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</si>
  <si>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</si>
  <si>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</si>
  <si>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</si>
  <si>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RSVA - Wholesale Market Service Charge</t>
    </r>
    <r>
      <rPr>
        <vertAlign val="superscript"/>
        <sz val="11"/>
        <rFont val="Arial"/>
        <family val="2"/>
      </rPr>
      <t>10</t>
    </r>
  </si>
  <si>
    <r>
      <t>Meter Cost Deferral Account (MIST Meters)</t>
    </r>
    <r>
      <rPr>
        <vertAlign val="superscript"/>
        <sz val="11"/>
        <rFont val="Arial"/>
        <family val="2"/>
      </rPr>
      <t>11</t>
    </r>
  </si>
  <si>
    <t>Group 2 Accounts  (including 1592, 1532)</t>
  </si>
  <si>
    <t>Energy + Inc.</t>
  </si>
  <si>
    <t>Welland Hydro Electric System Corp.</t>
  </si>
  <si>
    <r>
      <t>LRAM Variance Account</t>
    </r>
    <r>
      <rPr>
        <b/>
        <vertAlign val="superscript"/>
        <sz val="11"/>
        <color indexed="12"/>
        <rFont val="Arial"/>
        <family val="2"/>
      </rPr>
      <t>12</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</si>
  <si>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</si>
  <si>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</si>
  <si>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Account 1557 is to be recovered in a manner similar to the Smart Meter accounts.  Distributors should request for disposition upon completion of the MIST meter deployment.  A prudence review and disposition should be done in the application, outside of this continuity schedule.</t>
  </si>
  <si>
    <t xml:space="preserve">Accounts that produced a variance on the  continuity schedule are listed below.  
Please provide a detailed explanation for each variance below.
</t>
  </si>
  <si>
    <t>Per the APH March 2015 Guidance, the Direct Benefits portion of Account 1531 should be transferred to rate base.  The Direct Benefits portion of Account 1532 should be included in the DVA continuity schedule to be requested for disposition.  In this continuity schedule, Account 1531 is listed for reference only.  Account 1532 is included in the Group 2 allocation of balances that are used to calculate the rate riders.  Only input the Direct Benefits portion of the account balances in this continuity schedule.</t>
  </si>
  <si>
    <t>Input the LRAMVA balance in the continuity schedule as calculated from the LRAMVA model.  The associated rate riders will be calculated in the DVA continuity schedule.</t>
  </si>
  <si>
    <r>
      <t>Variance WMS – Sub-account CBR Class A</t>
    </r>
    <r>
      <rPr>
        <vertAlign val="superscript"/>
        <sz val="11"/>
        <rFont val="Arial"/>
        <family val="2"/>
      </rPr>
      <t>10</t>
    </r>
  </si>
  <si>
    <r>
      <t>Variance WMS – Sub-account CBR Class B</t>
    </r>
    <r>
      <rPr>
        <vertAlign val="superscript"/>
        <sz val="11"/>
        <rFont val="Arial"/>
        <family val="2"/>
      </rPr>
      <t>10</t>
    </r>
  </si>
  <si>
    <t>When inputting balances in the continuity schedule, Account 1580 RSVA - Wholesale Market Service Charge is to exclude any amounts relating to CBR.  The CBR amounts are to be entered separately in the Class A and Class B 1580 sub-accounts.  Only Class B amounts are to be disposed.  Class A amounts are not to be disposed.</t>
  </si>
  <si>
    <r>
      <t xml:space="preserve">Metered </t>
    </r>
    <r>
      <rPr>
        <b/>
        <sz val="10"/>
        <color rgb="FFFF0000"/>
        <rFont val="Arial"/>
        <family val="2"/>
      </rPr>
      <t>kW</t>
    </r>
    <r>
      <rPr>
        <b/>
        <sz val="10"/>
        <rFont val="Arial"/>
        <family val="2"/>
      </rPr>
      <t xml:space="preserve"> for any Class A Customers in 2015 (partial or full year)
(if applicable)</t>
    </r>
  </si>
  <si>
    <t>(e.g. If in the 2015 EDR process, you received approval to dispose the GA variance account balance as of December 31, 2013, please enter 2013 in cell B16.)</t>
  </si>
  <si>
    <t>Allocation of total Non-RPP consumption (kWh) between Class B and New Class A (Former Class B) customers</t>
  </si>
  <si>
    <t>Total Class B Consumption for Years Since Last Dispposition (Non-RPP consumption LESS WMP and Class A)</t>
  </si>
  <si>
    <t>A</t>
  </si>
  <si>
    <t>New Class A Customer(s)' Former Class B Consumption</t>
  </si>
  <si>
    <t>B</t>
  </si>
  <si>
    <t>Portion of Consumption of Former Class B Customers</t>
  </si>
  <si>
    <t>C=B/A</t>
  </si>
  <si>
    <t>D</t>
  </si>
  <si>
    <t>New Class A Customer(s)' Former Class B Portion of GA Balance</t>
  </si>
  <si>
    <t>E=C*D</t>
  </si>
  <si>
    <t>GA Balance to be disposed to Current Class B Customers</t>
  </si>
  <si>
    <t>F=D-E</t>
  </si>
  <si>
    <t># of Former Class B customer(s)</t>
  </si>
  <si>
    <t>Customer</t>
  </si>
  <si>
    <t>Total Metered kWh Consumption for each new Class A customer for the period prior to becoming Class A</t>
  </si>
  <si>
    <t>Metered kWh Consumption for each new Class A customer for the period prior to becoming Class A in 2015</t>
  </si>
  <si>
    <t>Metered kWh Consumption for each new Class A customer for the period prior to becoming Class A in 2014</t>
  </si>
  <si>
    <t>Metered kWh Consumption for each new Class A customer for the period prior to becoming Class A in 2013</t>
  </si>
  <si>
    <t>Metered kWh Consumption for each new Class A customer for the period prior to becoming Class A in 2012</t>
  </si>
  <si>
    <t>% of kWh</t>
  </si>
  <si>
    <t>Customer specific GA allocation for the period prior to becoming Class A</t>
  </si>
  <si>
    <t>Monthly Equal Payments</t>
  </si>
  <si>
    <r>
      <t xml:space="preserve"> Metered </t>
    </r>
    <r>
      <rPr>
        <b/>
        <sz val="10"/>
        <color rgb="FFFF0000"/>
        <rFont val="Arial"/>
        <family val="2"/>
      </rPr>
      <t>kWh</t>
    </r>
    <r>
      <rPr>
        <b/>
        <sz val="10"/>
        <rFont val="Arial"/>
        <family val="2"/>
      </rPr>
      <t xml:space="preserve"> Consumption for New Class A customer(s) in the period prior to becoming Class A (i.e. Jan. 1 - June 30, 2015) </t>
    </r>
  </si>
  <si>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</si>
  <si>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r>
      <t xml:space="preserve">Metered </t>
    </r>
    <r>
      <rPr>
        <b/>
        <sz val="10"/>
        <color rgb="FFFF0000"/>
        <rFont val="Arial"/>
        <family val="2"/>
      </rPr>
      <t>kWh</t>
    </r>
    <r>
      <rPr>
        <b/>
        <sz val="10"/>
        <rFont val="Arial"/>
        <family val="2"/>
      </rPr>
      <t xml:space="preserve"> for any Class A Customers in 2015 (partial or full year)
(if applicable)*</t>
    </r>
  </si>
  <si>
    <t>*For new Class A customers (who became Class A in 2015), add their consumption only related to July to December period.</t>
  </si>
  <si>
    <t>.</t>
  </si>
  <si>
    <t>Year of Group 1 Account Balance Last Disposed</t>
  </si>
  <si>
    <r>
      <t xml:space="preserve">Metered Consumption </t>
    </r>
    <r>
      <rPr>
        <b/>
        <sz val="10"/>
        <color rgb="FFFF0000"/>
        <rFont val="Arial"/>
        <family val="2"/>
      </rPr>
      <t xml:space="preserve">kWh </t>
    </r>
    <r>
      <rPr>
        <b/>
        <sz val="10"/>
        <rFont val="Arial"/>
        <family val="2"/>
      </rPr>
      <t>for Current Class B Customers (Non-RPP consumption LESS WMP, Class A and new Class A's former Class B consumption, if applicable)</t>
    </r>
  </si>
  <si>
    <t>C</t>
  </si>
  <si>
    <t>D=A-C</t>
  </si>
  <si>
    <t>E</t>
  </si>
  <si>
    <t>F =B-C-E</t>
  </si>
  <si>
    <t>This tab allocates the GA balance to former Class B customers who contributed to the current GA balance but are now Class A customers. The tables below calculate specific amounts for each customer who made the change. Consistent with both decisions for 2016 rates and EDDVAR, distributors are generally expected to settle the amount through 12 equal adjustments to bills. A one-time settlement is acceptable if the affected customer has expressed a clear preference for this approach. (see Filing Requirements section 2.9.5.1)</t>
  </si>
  <si>
    <t>InnPower Corporation</t>
  </si>
  <si>
    <t>EB-2016-0085</t>
  </si>
  <si>
    <t>Brenda L Pinke</t>
  </si>
  <si>
    <t>705-431-6870 Ext 262</t>
  </si>
  <si>
    <t>brendap@innpower.ca</t>
  </si>
  <si>
    <t>RESIDENTIAL</t>
  </si>
  <si>
    <t>GENERAL SERVICE &lt; 50 KW</t>
  </si>
  <si>
    <t>GENERAL SERVICE &gt; 50 KW TO 4,999 KW</t>
  </si>
  <si>
    <t>SENTINEL LIGHTING</t>
  </si>
  <si>
    <t>STREET LIGHTING</t>
  </si>
  <si>
    <t>UNMETERED SCATTERED LOAD</t>
  </si>
  <si>
    <t>Rounding</t>
  </si>
  <si>
    <t>RPP 2016 1st quarter reconcilation adjustment for 2015 balances</t>
  </si>
  <si>
    <t>Energy East contract pursuant to EB-2013-0398 dated June 13, 2014.</t>
  </si>
  <si>
    <t>due to breakout accounts for 1580</t>
  </si>
  <si>
    <r>
      <t xml:space="preserve">Projected Interest from January 1, 2017 to December 31, 2017 on Dec 31 -15 balance adjusted for disposition during 2016  </t>
    </r>
    <r>
      <rPr>
        <b/>
        <vertAlign val="superscript"/>
        <sz val="11"/>
        <rFont val="Book Antiqua"/>
        <family val="1"/>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</si>
</sst>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8" formatCode="&quot;$&quot;#,##0.00_);[Red]\(&quot;$&quot;#,##0.00\)"/>
    <numFmt numFmtId="44" formatCode="_(&quot;$&quot;* #,##0.00_);_(&quot;$&quot;* \(#,##0.00\);_(&quot;$&quot;*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b/>
      <vertAlign val="superscript"/>
      <sz val="11"/>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b/>
      <sz val="8"/>
      <name val="Book Antiqua"/>
      <family val="1"/>
    </font>
    <font>
      <sz val="8"/>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b/>
      <vertAlign val="superscript"/>
      <sz val="8"/>
      <name val="Book Antiqua"/>
      <family val="1"/>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9"/>
      </top>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65">
    <xf numFmtId="0" fontId="0" fillId="0" borderId="0"/>
    <xf numFmtId="168" fontId="7" fillId="0" borderId="0"/>
    <xf numFmtId="171" fontId="7" fillId="0" borderId="0"/>
    <xf numFmtId="173" fontId="7" fillId="0" borderId="0"/>
    <xf numFmtId="174" fontId="7"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0" fontId="29" fillId="0" borderId="0" applyNumberFormat="0" applyFill="0" applyBorder="0" applyAlignment="0" applyProtection="0"/>
    <xf numFmtId="2" fontId="7" fillId="0" borderId="0" applyFont="0" applyFill="0" applyBorder="0" applyAlignment="0" applyProtection="0"/>
    <xf numFmtId="0" fontId="30" fillId="4" borderId="0" applyNumberFormat="0" applyBorder="0" applyAlignment="0" applyProtection="0"/>
    <xf numFmtId="38" fontId="11" fillId="22" borderId="0" applyNumberFormat="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10" fontId="11" fillId="23" borderId="4" applyNumberFormat="0" applyBorder="0" applyAlignment="0" applyProtection="0"/>
    <xf numFmtId="0" fontId="33" fillId="0" borderId="5" applyNumberFormat="0" applyFill="0" applyAlignment="0" applyProtection="0"/>
    <xf numFmtId="172" fontId="7" fillId="0" borderId="0"/>
    <xf numFmtId="169" fontId="7" fillId="0" borderId="0"/>
    <xf numFmtId="0" fontId="34" fillId="24" borderId="0" applyNumberFormat="0" applyBorder="0" applyAlignment="0" applyProtection="0"/>
    <xf numFmtId="170" fontId="7" fillId="0" borderId="0"/>
    <xf numFmtId="0" fontId="15" fillId="25" borderId="6" applyNumberFormat="0" applyFont="0" applyAlignment="0" applyProtection="0"/>
    <xf numFmtId="0" fontId="35" fillId="20" borderId="7" applyNumberFormat="0" applyAlignment="0" applyProtection="0"/>
    <xf numFmtId="10" fontId="7" fillId="0" borderId="0" applyFont="0" applyFill="0" applyBorder="0" applyAlignment="0" applyProtection="0"/>
    <xf numFmtId="0" fontId="36" fillId="0" borderId="0" applyNumberFormat="0" applyFill="0" applyBorder="0" applyAlignment="0" applyProtection="0"/>
    <xf numFmtId="0" fontId="7" fillId="0" borderId="8" applyNumberFormat="0" applyFont="0" applyBorder="0" applyAlignment="0" applyProtection="0"/>
    <xf numFmtId="0" fontId="37" fillId="0" borderId="0" applyNumberForma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0" fontId="6" fillId="0" borderId="0"/>
    <xf numFmtId="168" fontId="7" fillId="0" borderId="0"/>
    <xf numFmtId="168" fontId="7" fillId="0" borderId="0"/>
    <xf numFmtId="168" fontId="7" fillId="0" borderId="0"/>
    <xf numFmtId="168" fontId="7" fillId="0" borderId="0"/>
    <xf numFmtId="173" fontId="7" fillId="0" borderId="0"/>
    <xf numFmtId="172" fontId="7" fillId="0" borderId="0"/>
    <xf numFmtId="172" fontId="7" fillId="0" borderId="0"/>
    <xf numFmtId="172" fontId="7" fillId="0" borderId="0"/>
    <xf numFmtId="172" fontId="7" fillId="0" borderId="0"/>
    <xf numFmtId="0" fontId="7" fillId="0" borderId="0"/>
    <xf numFmtId="0" fontId="7" fillId="0" borderId="0"/>
    <xf numFmtId="168" fontId="7" fillId="0" borderId="0"/>
    <xf numFmtId="168" fontId="7" fillId="0" borderId="0"/>
    <xf numFmtId="168" fontId="7"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7" borderId="0" applyNumberFormat="0" applyBorder="0" applyAlignment="0" applyProtection="0"/>
    <xf numFmtId="0" fontId="65" fillId="58" borderId="0" applyNumberFormat="0" applyBorder="0" applyAlignment="0" applyProtection="0"/>
    <xf numFmtId="0" fontId="66" fillId="59" borderId="52" applyNumberFormat="0" applyAlignment="0" applyProtection="0"/>
    <xf numFmtId="0" fontId="67" fillId="60" borderId="53"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8" fillId="0" borderId="0" applyNumberFormat="0" applyFill="0" applyBorder="0" applyAlignment="0" applyProtection="0"/>
    <xf numFmtId="0" fontId="69" fillId="61" borderId="0" applyNumberFormat="0" applyBorder="0" applyAlignment="0" applyProtection="0"/>
    <xf numFmtId="0" fontId="70" fillId="0" borderId="54" applyNumberFormat="0" applyFill="0" applyAlignment="0" applyProtection="0"/>
    <xf numFmtId="0" fontId="71" fillId="0" borderId="55" applyNumberFormat="0" applyFill="0" applyAlignment="0" applyProtection="0"/>
    <xf numFmtId="0" fontId="44" fillId="0" borderId="56" applyNumberFormat="0" applyFill="0" applyAlignment="0" applyProtection="0"/>
    <xf numFmtId="0" fontId="44" fillId="0" borderId="0" applyNumberFormat="0" applyFill="0" applyBorder="0" applyAlignment="0" applyProtection="0"/>
    <xf numFmtId="0" fontId="72" fillId="62" borderId="52" applyNumberFormat="0" applyAlignment="0" applyProtection="0"/>
    <xf numFmtId="0" fontId="73" fillId="0" borderId="57" applyNumberFormat="0" applyFill="0" applyAlignment="0" applyProtection="0"/>
    <xf numFmtId="172" fontId="7" fillId="0" borderId="0"/>
    <xf numFmtId="172" fontId="7" fillId="0" borderId="0"/>
    <xf numFmtId="172" fontId="7" fillId="0" borderId="0"/>
    <xf numFmtId="0" fontId="74" fillId="63" borderId="0" applyNumberFormat="0" applyBorder="0" applyAlignment="0" applyProtection="0"/>
    <xf numFmtId="0" fontId="5" fillId="0" borderId="0"/>
    <xf numFmtId="0" fontId="5" fillId="0" borderId="0"/>
    <xf numFmtId="0" fontId="5" fillId="0" borderId="0"/>
    <xf numFmtId="0" fontId="5" fillId="64" borderId="58" applyNumberFormat="0" applyFont="0" applyAlignment="0" applyProtection="0"/>
    <xf numFmtId="0" fontId="75" fillId="59" borderId="59" applyNumberFormat="0" applyAlignment="0" applyProtection="0"/>
    <xf numFmtId="9" fontId="7" fillId="0" borderId="0" applyFont="0" applyFill="0" applyBorder="0" applyAlignment="0" applyProtection="0"/>
    <xf numFmtId="9" fontId="5" fillId="0" borderId="0" applyFont="0" applyFill="0" applyBorder="0" applyAlignment="0" applyProtection="0"/>
    <xf numFmtId="0" fontId="76" fillId="0" borderId="0" applyNumberFormat="0" applyFill="0" applyBorder="0" applyAlignment="0" applyProtection="0"/>
    <xf numFmtId="0" fontId="43" fillId="0" borderId="60" applyNumberFormat="0" applyFill="0" applyAlignment="0" applyProtection="0"/>
    <xf numFmtId="0" fontId="7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4" applyNumberFormat="0" applyFill="0" applyAlignment="0" applyProtection="0"/>
    <xf numFmtId="0" fontId="7" fillId="25" borderId="6" applyNumberFormat="0" applyFont="0" applyAlignment="0" applyProtection="0"/>
    <xf numFmtId="9" fontId="7" fillId="0" borderId="0" applyFont="0" applyFill="0" applyBorder="0" applyAlignment="0" applyProtection="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9" fontId="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6" applyNumberFormat="0" applyFill="0" applyAlignment="0" applyProtection="0"/>
    <xf numFmtId="0" fontId="31" fillId="0" borderId="63" applyNumberFormat="0" applyFill="0" applyAlignment="0" applyProtection="0"/>
    <xf numFmtId="0" fontId="4" fillId="0" borderId="0"/>
    <xf numFmtId="0" fontId="4" fillId="0" borderId="0"/>
    <xf numFmtId="0" fontId="4" fillId="0" borderId="0"/>
    <xf numFmtId="0" fontId="4" fillId="64" borderId="58" applyNumberFormat="0" applyFont="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25" borderId="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7"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1" applyNumberFormat="0" applyFill="0" applyAlignment="0" applyProtection="0"/>
    <xf numFmtId="0" fontId="31" fillId="0" borderId="65"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8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506">
    <xf numFmtId="0" fontId="0" fillId="0" borderId="0" xfId="0"/>
    <xf numFmtId="0" fontId="0" fillId="0" borderId="0" xfId="0" applyProtection="1"/>
    <xf numFmtId="0" fontId="10" fillId="0" borderId="0" xfId="0" applyFont="1" applyProtection="1"/>
    <xf numFmtId="0" fontId="21" fillId="0" borderId="0" xfId="0" applyFont="1" applyProtection="1"/>
    <xf numFmtId="0" fontId="8" fillId="0" borderId="0" xfId="0" applyFont="1" applyProtection="1"/>
    <xf numFmtId="0" fontId="8" fillId="0" borderId="0" xfId="0" applyFont="1" applyBorder="1" applyProtection="1"/>
    <xf numFmtId="0" fontId="0" fillId="0" borderId="10" xfId="0" applyBorder="1" applyProtection="1"/>
    <xf numFmtId="0" fontId="8" fillId="0" borderId="0" xfId="0" applyFont="1" applyAlignment="1" applyProtection="1">
      <alignment horizontal="center"/>
    </xf>
    <xf numFmtId="0" fontId="9" fillId="0" borderId="0" xfId="0" applyFont="1" applyAlignment="1" applyProtection="1"/>
    <xf numFmtId="0" fontId="9" fillId="0" borderId="0" xfId="0" applyFont="1" applyAlignment="1" applyProtection="1">
      <alignment horizontal="left"/>
    </xf>
    <xf numFmtId="0" fontId="9" fillId="0" borderId="0" xfId="0" applyFont="1" applyAlignment="1" applyProtection="1">
      <alignment horizontal="center"/>
    </xf>
    <xf numFmtId="0" fontId="9" fillId="0" borderId="0" xfId="0" applyFont="1" applyBorder="1" applyProtection="1"/>
    <xf numFmtId="0" fontId="8" fillId="0" borderId="0" xfId="0" applyFont="1" applyFill="1" applyBorder="1" applyProtection="1"/>
    <xf numFmtId="0" fontId="9" fillId="0" borderId="0" xfId="0" applyFont="1" applyFill="1" applyBorder="1" applyProtection="1"/>
    <xf numFmtId="0" fontId="38" fillId="0" borderId="0" xfId="0" applyFont="1" applyAlignment="1" applyProtection="1">
      <alignment vertical="center"/>
    </xf>
    <xf numFmtId="0" fontId="8" fillId="0" borderId="10" xfId="0" applyFont="1" applyBorder="1" applyProtection="1"/>
    <xf numFmtId="0" fontId="20" fillId="0" borderId="13" xfId="0" applyFont="1" applyBorder="1" applyAlignment="1" applyProtection="1"/>
    <xf numFmtId="0" fontId="20" fillId="0" borderId="14" xfId="0" applyFont="1" applyBorder="1" applyAlignment="1" applyProtection="1"/>
    <xf numFmtId="0" fontId="20" fillId="0" borderId="17" xfId="0" applyFont="1" applyBorder="1" applyAlignment="1" applyProtection="1"/>
    <xf numFmtId="0" fontId="6" fillId="0" borderId="0" xfId="59" applyProtection="1"/>
    <xf numFmtId="0" fontId="6" fillId="0" borderId="0" xfId="59" applyFill="1" applyProtection="1"/>
    <xf numFmtId="0" fontId="6" fillId="28" borderId="0" xfId="59" applyFill="1" applyAlignment="1" applyProtection="1">
      <alignment horizontal="left"/>
    </xf>
    <xf numFmtId="0" fontId="43" fillId="0" borderId="0" xfId="59" applyFont="1" applyProtection="1"/>
    <xf numFmtId="176" fontId="44" fillId="0" borderId="0" xfId="59" applyNumberFormat="1" applyFont="1" applyAlignment="1" applyProtection="1">
      <alignment horizontal="left"/>
    </xf>
    <xf numFmtId="0" fontId="45" fillId="0" borderId="0" xfId="59" applyFont="1" applyAlignment="1" applyProtection="1">
      <alignment horizontal="right" vertical="center"/>
    </xf>
    <xf numFmtId="0" fontId="6" fillId="0" borderId="0" xfId="59" applyAlignment="1" applyProtection="1">
      <alignment horizontal="right" vertical="center"/>
    </xf>
    <xf numFmtId="0" fontId="6" fillId="0" borderId="0" xfId="59" applyAlignment="1" applyProtection="1">
      <alignment vertical="center"/>
    </xf>
    <xf numFmtId="0" fontId="6" fillId="0" borderId="0" xfId="59" applyFill="1" applyAlignment="1" applyProtection="1">
      <alignment vertical="center"/>
    </xf>
    <xf numFmtId="0" fontId="45" fillId="0" borderId="0" xfId="59" applyFont="1" applyAlignment="1" applyProtection="1">
      <alignment horizontal="right" vertical="center" indent="1"/>
    </xf>
    <xf numFmtId="0" fontId="46" fillId="0" borderId="0" xfId="59" applyFont="1" applyProtection="1"/>
    <xf numFmtId="0" fontId="46" fillId="0" borderId="0" xfId="59" applyFont="1" applyAlignment="1" applyProtection="1">
      <alignment horizontal="right" vertical="center"/>
    </xf>
    <xf numFmtId="0" fontId="48" fillId="0" borderId="0" xfId="59" applyFont="1"/>
    <xf numFmtId="0" fontId="6" fillId="0" borderId="0" xfId="59"/>
    <xf numFmtId="0" fontId="6" fillId="30" borderId="14" xfId="59" applyFill="1" applyBorder="1"/>
    <xf numFmtId="0" fontId="6" fillId="29" borderId="14" xfId="59" applyFill="1" applyBorder="1"/>
    <xf numFmtId="0" fontId="6" fillId="0" borderId="0" xfId="59" applyAlignment="1">
      <alignment wrapText="1"/>
    </xf>
    <xf numFmtId="0" fontId="6" fillId="0" borderId="14" xfId="59" applyBorder="1"/>
    <xf numFmtId="0" fontId="12" fillId="0" borderId="0" xfId="0" applyFont="1" applyAlignment="1" applyProtection="1">
      <alignment vertical="center"/>
    </xf>
    <xf numFmtId="0" fontId="16" fillId="0" borderId="0" xfId="59" applyFont="1" applyBorder="1" applyProtection="1"/>
    <xf numFmtId="0" fontId="16" fillId="0" borderId="0" xfId="59" applyFont="1" applyBorder="1" applyAlignment="1" applyProtection="1">
      <alignment horizontal="center"/>
    </xf>
    <xf numFmtId="0" fontId="7" fillId="0" borderId="4" xfId="0" applyFont="1" applyBorder="1" applyProtection="1"/>
    <xf numFmtId="0" fontId="7" fillId="0" borderId="4" xfId="0" applyFont="1" applyBorder="1" applyAlignment="1" applyProtection="1">
      <alignment horizontal="center"/>
    </xf>
    <xf numFmtId="177" fontId="7" fillId="0" borderId="4" xfId="57" applyNumberFormat="1" applyFont="1" applyBorder="1" applyAlignment="1" applyProtection="1">
      <alignment horizontal="center" vertical="center"/>
    </xf>
    <xf numFmtId="0" fontId="7" fillId="0" borderId="4" xfId="0" applyFont="1" applyBorder="1" applyAlignment="1" applyProtection="1"/>
    <xf numFmtId="0" fontId="7" fillId="0" borderId="4" xfId="0" applyFont="1" applyBorder="1" applyAlignment="1" applyProtection="1">
      <alignment horizontal="left"/>
    </xf>
    <xf numFmtId="0" fontId="10" fillId="0" borderId="0" xfId="0" applyFont="1" applyAlignment="1" applyProtection="1"/>
    <xf numFmtId="175" fontId="10" fillId="0" borderId="0" xfId="57" applyNumberFormat="1" applyFont="1" applyAlignment="1" applyProtection="1"/>
    <xf numFmtId="0" fontId="7" fillId="0" borderId="4" xfId="0" applyFont="1" applyBorder="1" applyAlignment="1" applyProtection="1">
      <alignment wrapText="1"/>
    </xf>
    <xf numFmtId="0" fontId="10" fillId="0" borderId="0" xfId="0" applyFont="1" applyBorder="1" applyProtection="1"/>
    <xf numFmtId="0" fontId="7" fillId="0" borderId="0" xfId="0" applyFont="1" applyBorder="1" applyAlignment="1" applyProtection="1">
      <alignment horizontal="center"/>
    </xf>
    <xf numFmtId="177" fontId="7" fillId="0" borderId="0" xfId="57" applyNumberFormat="1" applyFont="1" applyBorder="1" applyAlignment="1" applyProtection="1">
      <alignment horizontal="center" vertical="center"/>
    </xf>
    <xf numFmtId="0" fontId="7" fillId="0" borderId="0" xfId="0" applyFont="1" applyBorder="1" applyProtection="1"/>
    <xf numFmtId="175" fontId="7" fillId="0" borderId="0" xfId="57" applyNumberFormat="1" applyFont="1" applyBorder="1" applyProtection="1"/>
    <xf numFmtId="0" fontId="7" fillId="0" borderId="4" xfId="0" applyFont="1" applyBorder="1" applyAlignment="1" applyProtection="1">
      <alignment horizontal="center" vertical="center"/>
    </xf>
    <xf numFmtId="0" fontId="7" fillId="0" borderId="4" xfId="0" applyFont="1" applyBorder="1" applyAlignment="1" applyProtection="1">
      <alignment horizontal="left" vertical="center" wrapText="1"/>
    </xf>
    <xf numFmtId="0" fontId="10" fillId="31" borderId="4" xfId="0" applyFont="1" applyFill="1" applyBorder="1" applyProtection="1"/>
    <xf numFmtId="177" fontId="10" fillId="31" borderId="4" xfId="57" applyNumberFormat="1" applyFont="1" applyFill="1" applyBorder="1" applyAlignment="1" applyProtection="1">
      <alignment horizontal="center" vertical="center"/>
    </xf>
    <xf numFmtId="0" fontId="10" fillId="31" borderId="4" xfId="0" applyFont="1" applyFill="1" applyBorder="1" applyAlignment="1" applyProtection="1">
      <alignment horizontal="center" vertical="center"/>
    </xf>
    <xf numFmtId="0" fontId="7" fillId="28" borderId="0" xfId="0" applyFont="1" applyFill="1" applyBorder="1" applyAlignment="1" applyProtection="1">
      <alignment horizontal="center" vertical="center"/>
    </xf>
    <xf numFmtId="0" fontId="7" fillId="28" borderId="4" xfId="0" applyFont="1" applyFill="1" applyBorder="1" applyAlignment="1" applyProtection="1">
      <alignment horizontal="center" vertical="center"/>
    </xf>
    <xf numFmtId="175" fontId="0" fillId="0" borderId="4" xfId="57" applyNumberFormat="1" applyFont="1" applyBorder="1"/>
    <xf numFmtId="177" fontId="10" fillId="28" borderId="4" xfId="57" applyNumberFormat="1" applyFont="1" applyFill="1" applyBorder="1" applyAlignment="1" applyProtection="1">
      <alignment horizontal="center" vertical="center"/>
    </xf>
    <xf numFmtId="0" fontId="10" fillId="28" borderId="4" xfId="0" applyFont="1" applyFill="1" applyBorder="1" applyAlignment="1" applyProtection="1">
      <alignment horizontal="center" vertical="center"/>
    </xf>
    <xf numFmtId="0" fontId="10" fillId="0" borderId="0" xfId="70" applyFont="1" applyAlignment="1" applyProtection="1">
      <alignment vertical="top"/>
    </xf>
    <xf numFmtId="0" fontId="10" fillId="0" borderId="0" xfId="70" applyFont="1" applyAlignment="1" applyProtection="1">
      <alignment vertical="top" wrapText="1"/>
    </xf>
    <xf numFmtId="0" fontId="10" fillId="29" borderId="4" xfId="70" applyFont="1" applyFill="1" applyBorder="1" applyAlignment="1" applyProtection="1">
      <alignment horizontal="center"/>
      <protection locked="0"/>
    </xf>
    <xf numFmtId="0" fontId="14" fillId="0" borderId="0" xfId="0" applyFont="1" applyAlignment="1" applyProtection="1">
      <alignment vertical="top"/>
    </xf>
    <xf numFmtId="165" fontId="0" fillId="0" borderId="0" xfId="0" applyNumberFormat="1" applyProtection="1"/>
    <xf numFmtId="165" fontId="8" fillId="0" borderId="0" xfId="0" applyNumberFormat="1" applyFont="1" applyFill="1" applyBorder="1" applyProtection="1"/>
    <xf numFmtId="0" fontId="0" fillId="0" borderId="0" xfId="0" applyNumberFormat="1" applyProtection="1"/>
    <xf numFmtId="0" fontId="9" fillId="0" borderId="0" xfId="0" applyNumberFormat="1" applyFont="1" applyProtection="1"/>
    <xf numFmtId="0" fontId="9" fillId="0" borderId="0" xfId="0" applyNumberFormat="1" applyFont="1" applyAlignment="1" applyProtection="1">
      <alignment wrapText="1"/>
    </xf>
    <xf numFmtId="0" fontId="20" fillId="0" borderId="14" xfId="0" applyNumberFormat="1" applyFont="1" applyBorder="1" applyAlignment="1" applyProtection="1">
      <alignment horizontal="center"/>
    </xf>
    <xf numFmtId="0" fontId="20" fillId="0" borderId="13" xfId="0" applyNumberFormat="1" applyFont="1" applyBorder="1" applyAlignment="1" applyProtection="1"/>
    <xf numFmtId="0" fontId="7" fillId="29" borderId="4" xfId="0" applyFont="1" applyFill="1" applyBorder="1" applyAlignment="1" applyProtection="1">
      <alignment horizontal="center" vertical="center"/>
      <protection locked="0"/>
    </xf>
    <xf numFmtId="178" fontId="7" fillId="30" borderId="4" xfId="56" applyNumberFormat="1" applyFont="1" applyFill="1" applyBorder="1" applyProtection="1">
      <protection locked="0"/>
    </xf>
    <xf numFmtId="9" fontId="7" fillId="30" borderId="4" xfId="58" applyFont="1" applyFill="1" applyBorder="1" applyProtection="1">
      <protection locked="0"/>
    </xf>
    <xf numFmtId="164" fontId="8" fillId="0" borderId="9" xfId="0" applyNumberFormat="1" applyFont="1" applyBorder="1" applyProtection="1"/>
    <xf numFmtId="164" fontId="8" fillId="0" borderId="0" xfId="0" applyNumberFormat="1" applyFont="1" applyBorder="1" applyProtection="1"/>
    <xf numFmtId="164" fontId="0" fillId="0" borderId="0" xfId="0" applyNumberFormat="1" applyBorder="1" applyAlignment="1" applyProtection="1">
      <alignment wrapText="1"/>
    </xf>
    <xf numFmtId="164" fontId="9" fillId="0" borderId="10" xfId="0" applyNumberFormat="1" applyFont="1" applyBorder="1" applyAlignment="1" applyProtection="1">
      <alignment horizontal="center" vertical="center" wrapText="1"/>
    </xf>
    <xf numFmtId="164" fontId="0" fillId="0" borderId="12" xfId="0" applyNumberFormat="1" applyBorder="1" applyAlignment="1" applyProtection="1">
      <alignment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5" xfId="0" applyNumberFormat="1" applyBorder="1" applyProtection="1"/>
    <xf numFmtId="164" fontId="0" fillId="0" borderId="11" xfId="0" applyNumberFormat="1" applyBorder="1" applyProtection="1"/>
    <xf numFmtId="164" fontId="0" fillId="0" borderId="0" xfId="0" applyNumberFormat="1" applyProtection="1"/>
    <xf numFmtId="164" fontId="8" fillId="30" borderId="19" xfId="0" applyNumberFormat="1" applyFont="1" applyFill="1" applyBorder="1" applyProtection="1">
      <protection locked="0"/>
    </xf>
    <xf numFmtId="164" fontId="8" fillId="30" borderId="20" xfId="0" applyNumberFormat="1" applyFont="1" applyFill="1" applyBorder="1" applyProtection="1">
      <protection locked="0"/>
    </xf>
    <xf numFmtId="164" fontId="8" fillId="0" borderId="0" xfId="0" applyNumberFormat="1" applyFont="1" applyFill="1" applyBorder="1" applyProtection="1"/>
    <xf numFmtId="164" fontId="8" fillId="0" borderId="10" xfId="0" applyNumberFormat="1" applyFont="1" applyFill="1" applyBorder="1" applyProtection="1"/>
    <xf numFmtId="164" fontId="8" fillId="26" borderId="19" xfId="0" applyNumberFormat="1" applyFont="1" applyFill="1" applyBorder="1" applyProtection="1"/>
    <xf numFmtId="164" fontId="8" fillId="26" borderId="20" xfId="0" applyNumberFormat="1" applyFont="1" applyFill="1" applyBorder="1" applyProtection="1"/>
    <xf numFmtId="164" fontId="8" fillId="26" borderId="29" xfId="0" applyNumberFormat="1" applyFont="1" applyFill="1" applyBorder="1" applyProtection="1"/>
    <xf numFmtId="164" fontId="8" fillId="30" borderId="21" xfId="0" applyNumberFormat="1" applyFont="1" applyFill="1" applyBorder="1" applyProtection="1">
      <protection locked="0"/>
    </xf>
    <xf numFmtId="164" fontId="8" fillId="30" borderId="22" xfId="0" applyNumberFormat="1" applyFont="1" applyFill="1" applyBorder="1" applyProtection="1">
      <protection locked="0"/>
    </xf>
    <xf numFmtId="164" fontId="8" fillId="0" borderId="9" xfId="0" applyNumberFormat="1" applyFont="1" applyFill="1" applyBorder="1" applyProtection="1"/>
    <xf numFmtId="164" fontId="8" fillId="0" borderId="15" xfId="0" applyNumberFormat="1" applyFont="1" applyFill="1" applyBorder="1" applyProtection="1"/>
    <xf numFmtId="164" fontId="8" fillId="22" borderId="20" xfId="0" applyNumberFormat="1" applyFont="1" applyFill="1" applyBorder="1" applyProtection="1"/>
    <xf numFmtId="164" fontId="8" fillId="30" borderId="23" xfId="0" applyNumberFormat="1" applyFont="1" applyFill="1" applyBorder="1" applyProtection="1">
      <protection locked="0"/>
    </xf>
    <xf numFmtId="164" fontId="8" fillId="30" borderId="24" xfId="0" applyNumberFormat="1" applyFont="1" applyFill="1" applyBorder="1" applyProtection="1">
      <protection locked="0"/>
    </xf>
    <xf numFmtId="164" fontId="8" fillId="30" borderId="25" xfId="0" applyNumberFormat="1" applyFont="1" applyFill="1" applyBorder="1" applyProtection="1">
      <protection locked="0"/>
    </xf>
    <xf numFmtId="164" fontId="8" fillId="30" borderId="26" xfId="0" applyNumberFormat="1" applyFont="1" applyFill="1" applyBorder="1" applyProtection="1">
      <protection locked="0"/>
    </xf>
    <xf numFmtId="164" fontId="8" fillId="30" borderId="15" xfId="0" applyNumberFormat="1" applyFont="1" applyFill="1" applyBorder="1" applyProtection="1">
      <protection locked="0"/>
    </xf>
    <xf numFmtId="164" fontId="8" fillId="26" borderId="23" xfId="0" applyNumberFormat="1" applyFont="1" applyFill="1" applyBorder="1" applyProtection="1"/>
    <xf numFmtId="164" fontId="8" fillId="26" borderId="24" xfId="0" applyNumberFormat="1" applyFont="1" applyFill="1" applyBorder="1" applyProtection="1"/>
    <xf numFmtId="164" fontId="8" fillId="30" borderId="44" xfId="0" applyNumberFormat="1" applyFont="1" applyFill="1" applyBorder="1" applyProtection="1">
      <protection locked="0"/>
    </xf>
    <xf numFmtId="164" fontId="8" fillId="0" borderId="45" xfId="0" applyNumberFormat="1" applyFont="1" applyBorder="1" applyProtection="1"/>
    <xf numFmtId="164" fontId="8" fillId="30" borderId="46" xfId="0" applyNumberFormat="1" applyFont="1" applyFill="1" applyBorder="1" applyProtection="1">
      <protection locked="0"/>
    </xf>
    <xf numFmtId="164" fontId="8" fillId="0" borderId="47" xfId="0" applyNumberFormat="1" applyFont="1" applyFill="1" applyBorder="1" applyProtection="1"/>
    <xf numFmtId="164" fontId="8" fillId="26" borderId="46" xfId="0" applyNumberFormat="1" applyFont="1" applyFill="1" applyBorder="1" applyProtection="1"/>
    <xf numFmtId="164" fontId="8" fillId="0" borderId="49" xfId="0" applyNumberFormat="1" applyFont="1" applyFill="1" applyBorder="1" applyProtection="1"/>
    <xf numFmtId="164" fontId="8" fillId="0" borderId="50" xfId="0" applyNumberFormat="1" applyFont="1" applyFill="1" applyBorder="1" applyProtection="1"/>
    <xf numFmtId="0" fontId="0" fillId="0" borderId="0" xfId="0" applyAlignment="1" applyProtection="1">
      <alignment vertical="top"/>
    </xf>
    <xf numFmtId="165" fontId="0" fillId="0" borderId="0" xfId="0" applyNumberFormat="1" applyAlignment="1" applyProtection="1">
      <alignment vertical="top"/>
    </xf>
    <xf numFmtId="165" fontId="7" fillId="0" borderId="0" xfId="0" applyNumberFormat="1" applyFont="1" applyProtection="1"/>
    <xf numFmtId="0" fontId="8" fillId="0" borderId="4" xfId="0" applyFont="1" applyBorder="1" applyProtection="1"/>
    <xf numFmtId="0" fontId="8" fillId="0" borderId="4" xfId="0" applyFont="1" applyBorder="1" applyAlignment="1" applyProtection="1">
      <alignment horizontal="center"/>
    </xf>
    <xf numFmtId="0" fontId="8" fillId="0" borderId="4" xfId="0" applyFont="1" applyBorder="1" applyAlignment="1" applyProtection="1">
      <alignment wrapText="1"/>
    </xf>
    <xf numFmtId="0" fontId="8" fillId="0" borderId="4" xfId="0" applyFont="1" applyBorder="1" applyAlignment="1" applyProtection="1"/>
    <xf numFmtId="0" fontId="8" fillId="0" borderId="4" xfId="0" applyFont="1" applyBorder="1" applyAlignment="1" applyProtection="1">
      <alignment vertical="center" wrapText="1"/>
    </xf>
    <xf numFmtId="0" fontId="8" fillId="0" borderId="4" xfId="0" applyFont="1" applyBorder="1" applyAlignment="1" applyProtection="1">
      <alignment horizontal="center" vertical="center"/>
    </xf>
    <xf numFmtId="0" fontId="8" fillId="0" borderId="4" xfId="0" applyFont="1" applyBorder="1" applyAlignment="1" applyProtection="1">
      <alignment horizontal="left"/>
    </xf>
    <xf numFmtId="0" fontId="0" fillId="0" borderId="27" xfId="0" applyBorder="1" applyProtection="1">
      <protection locked="0"/>
    </xf>
    <xf numFmtId="0" fontId="7" fillId="0" borderId="4" xfId="0" applyFont="1" applyBorder="1" applyAlignment="1" applyProtection="1">
      <alignment horizontal="left" vertical="top" wrapText="1"/>
    </xf>
    <xf numFmtId="0" fontId="55" fillId="0" borderId="4" xfId="0" applyFont="1" applyBorder="1" applyAlignment="1">
      <alignment vertical="top"/>
    </xf>
    <xf numFmtId="0" fontId="55" fillId="0" borderId="4" xfId="0" applyFont="1" applyBorder="1" applyAlignment="1">
      <alignment vertical="center"/>
    </xf>
    <xf numFmtId="0" fontId="0" fillId="0" borderId="0" xfId="0" applyAlignment="1" applyProtection="1">
      <alignment vertical="center"/>
    </xf>
    <xf numFmtId="0" fontId="7" fillId="30" borderId="4" xfId="0" applyFont="1" applyFill="1" applyBorder="1" applyAlignment="1" applyProtection="1">
      <alignment horizontal="left" vertical="center"/>
      <protection locked="0"/>
    </xf>
    <xf numFmtId="177" fontId="7" fillId="0" borderId="4" xfId="56" applyNumberFormat="1" applyFont="1" applyBorder="1" applyAlignment="1" applyProtection="1">
      <alignment horizontal="center" vertical="center"/>
    </xf>
    <xf numFmtId="177" fontId="10" fillId="0" borderId="4" xfId="57" applyNumberFormat="1" applyFont="1" applyBorder="1" applyAlignment="1" applyProtection="1">
      <alignment horizontal="center" vertical="center"/>
    </xf>
    <xf numFmtId="0" fontId="7" fillId="0" borderId="0" xfId="0" applyFont="1" applyAlignment="1" applyProtection="1">
      <alignment horizontal="left" vertical="top" wrapText="1"/>
    </xf>
    <xf numFmtId="0" fontId="0" fillId="0" borderId="0" xfId="0" applyAlignment="1" applyProtection="1">
      <alignment horizontal="center" vertical="center"/>
    </xf>
    <xf numFmtId="0" fontId="7" fillId="30" borderId="4" xfId="0" applyFont="1" applyFill="1" applyBorder="1" applyAlignment="1" applyProtection="1">
      <alignment horizontal="left" vertical="center"/>
    </xf>
    <xf numFmtId="0" fontId="7" fillId="29" borderId="4" xfId="0" applyFont="1" applyFill="1" applyBorder="1" applyAlignment="1" applyProtection="1">
      <alignment horizontal="center" vertical="center"/>
    </xf>
    <xf numFmtId="178" fontId="7" fillId="28" borderId="4" xfId="0" applyNumberFormat="1" applyFont="1" applyFill="1" applyBorder="1" applyAlignment="1" applyProtection="1">
      <alignment horizontal="right" vertical="center"/>
    </xf>
    <xf numFmtId="178" fontId="7" fillId="28" borderId="4" xfId="56" applyNumberFormat="1" applyFont="1" applyFill="1" applyBorder="1" applyProtection="1"/>
    <xf numFmtId="0" fontId="0" fillId="33" borderId="0" xfId="0" applyFill="1" applyProtection="1"/>
    <xf numFmtId="0" fontId="10" fillId="0" borderId="4" xfId="0" applyFont="1" applyBorder="1" applyProtection="1"/>
    <xf numFmtId="0" fontId="0" fillId="0" borderId="4" xfId="0" applyBorder="1" applyProtection="1"/>
    <xf numFmtId="3" fontId="10" fillId="0" borderId="4" xfId="0" applyNumberFormat="1" applyFont="1" applyBorder="1" applyProtection="1"/>
    <xf numFmtId="175" fontId="10" fillId="0" borderId="4" xfId="57" applyNumberFormat="1" applyFont="1" applyBorder="1" applyProtection="1"/>
    <xf numFmtId="178" fontId="10" fillId="0" borderId="4" xfId="56" applyNumberFormat="1" applyFont="1" applyBorder="1" applyProtection="1"/>
    <xf numFmtId="9" fontId="10" fillId="0" borderId="4" xfId="58" applyFont="1" applyBorder="1" applyProtection="1"/>
    <xf numFmtId="0" fontId="7" fillId="0" borderId="0" xfId="0" applyFont="1" applyProtection="1"/>
    <xf numFmtId="0" fontId="11" fillId="0" borderId="0" xfId="0" applyFont="1" applyAlignment="1" applyProtection="1">
      <alignment horizontal="right" indent="1"/>
    </xf>
    <xf numFmtId="175" fontId="11" fillId="0" borderId="0" xfId="57" applyNumberFormat="1" applyFont="1" applyAlignment="1" applyProtection="1">
      <alignment horizontal="right" indent="1"/>
    </xf>
    <xf numFmtId="175" fontId="11" fillId="0" borderId="0" xfId="0" applyNumberFormat="1" applyFont="1" applyAlignment="1" applyProtection="1">
      <alignment horizontal="right" indent="1"/>
    </xf>
    <xf numFmtId="180" fontId="7" fillId="30" borderId="4" xfId="58" applyNumberFormat="1" applyFont="1" applyFill="1" applyBorder="1" applyProtection="1">
      <protection locked="0"/>
    </xf>
    <xf numFmtId="0" fontId="54" fillId="0" borderId="0" xfId="0" applyFont="1" applyProtection="1"/>
    <xf numFmtId="0" fontId="59" fillId="0" borderId="0" xfId="0" applyFont="1" applyProtection="1"/>
    <xf numFmtId="0" fontId="7" fillId="28"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10" fillId="0" borderId="4" xfId="56" applyNumberFormat="1" applyFont="1" applyBorder="1" applyAlignment="1" applyProtection="1">
      <alignment horizontal="center" vertical="center"/>
    </xf>
    <xf numFmtId="0" fontId="60" fillId="0" borderId="0" xfId="0" applyFont="1" applyProtection="1"/>
    <xf numFmtId="178" fontId="0" fillId="0" borderId="0" xfId="0" applyNumberFormat="1" applyProtection="1"/>
    <xf numFmtId="0" fontId="10" fillId="32" borderId="4" xfId="0" applyFont="1" applyFill="1" applyBorder="1" applyProtection="1"/>
    <xf numFmtId="0" fontId="10" fillId="32" borderId="4" xfId="0" applyFont="1" applyFill="1" applyBorder="1" applyAlignment="1" applyProtection="1">
      <alignment horizontal="center" vertical="center"/>
    </xf>
    <xf numFmtId="178" fontId="10" fillId="32" borderId="4" xfId="56" applyNumberFormat="1" applyFont="1" applyFill="1" applyBorder="1" applyAlignment="1" applyProtection="1">
      <alignment horizontal="center" vertical="center"/>
    </xf>
    <xf numFmtId="175" fontId="10" fillId="32" borderId="4" xfId="57" applyNumberFormat="1" applyFont="1" applyFill="1" applyBorder="1" applyProtection="1"/>
    <xf numFmtId="0" fontId="13" fillId="0" borderId="0" xfId="0" applyFont="1" applyProtection="1"/>
    <xf numFmtId="0" fontId="10" fillId="28" borderId="0" xfId="0" applyFont="1" applyFill="1" applyBorder="1" applyAlignment="1" applyProtection="1">
      <alignment vertical="center" wrapText="1"/>
    </xf>
    <xf numFmtId="166" fontId="10" fillId="0" borderId="4" xfId="57" applyFont="1" applyBorder="1" applyAlignment="1" applyProtection="1">
      <alignment horizontal="center" vertical="center"/>
    </xf>
    <xf numFmtId="0" fontId="10" fillId="0" borderId="42" xfId="0" applyFont="1" applyBorder="1" applyAlignment="1" applyProtection="1">
      <alignment horizontal="center" vertical="center" wrapText="1"/>
    </xf>
    <xf numFmtId="0" fontId="10" fillId="0" borderId="42" xfId="0" applyFont="1" applyBorder="1" applyAlignment="1" applyProtection="1">
      <alignment horizontal="center" vertical="center"/>
    </xf>
    <xf numFmtId="177" fontId="7" fillId="0" borderId="4" xfId="0" applyNumberFormat="1" applyFont="1" applyBorder="1" applyAlignment="1" applyProtection="1">
      <alignment horizontal="center" vertical="center"/>
    </xf>
    <xf numFmtId="0" fontId="7" fillId="28" borderId="0" xfId="0" applyFont="1" applyFill="1" applyBorder="1" applyProtection="1"/>
    <xf numFmtId="0" fontId="7" fillId="28" borderId="0" xfId="0" applyFont="1" applyFill="1" applyProtection="1"/>
    <xf numFmtId="0" fontId="10" fillId="33" borderId="4" xfId="0" applyFont="1" applyFill="1" applyBorder="1" applyAlignment="1" applyProtection="1">
      <alignment vertical="center"/>
    </xf>
    <xf numFmtId="0" fontId="10" fillId="28" borderId="4" xfId="0" applyFont="1" applyFill="1" applyBorder="1" applyAlignment="1" applyProtection="1">
      <alignment horizontal="right" indent="2"/>
    </xf>
    <xf numFmtId="8" fontId="7" fillId="28" borderId="4" xfId="57" applyNumberFormat="1" applyFont="1" applyFill="1" applyBorder="1" applyProtection="1"/>
    <xf numFmtId="181" fontId="7" fillId="28" borderId="4" xfId="57" applyNumberFormat="1" applyFont="1" applyFill="1" applyBorder="1" applyProtection="1"/>
    <xf numFmtId="177" fontId="10" fillId="31" borderId="4" xfId="0" applyNumberFormat="1"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31" borderId="4"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Alignment="1" applyProtection="1">
      <alignment vertical="top"/>
    </xf>
    <xf numFmtId="0" fontId="7" fillId="0" borderId="0" xfId="0" applyFont="1" applyAlignment="1" applyProtection="1">
      <alignment vertical="top" wrapText="1"/>
    </xf>
    <xf numFmtId="0" fontId="0" fillId="30" borderId="28" xfId="0" applyFill="1" applyBorder="1" applyAlignment="1" applyProtection="1">
      <alignment horizontal="left" vertical="top" wrapText="1"/>
      <protection locked="0"/>
    </xf>
    <xf numFmtId="0" fontId="0" fillId="30" borderId="10" xfId="0" applyFill="1" applyBorder="1" applyAlignment="1" applyProtection="1">
      <alignment horizontal="left" vertical="top" wrapText="1"/>
      <protection locked="0"/>
    </xf>
    <xf numFmtId="164" fontId="8" fillId="30" borderId="48" xfId="0" applyNumberFormat="1" applyFont="1" applyFill="1" applyBorder="1" applyProtection="1">
      <protection locked="0"/>
    </xf>
    <xf numFmtId="164" fontId="8" fillId="30" borderId="46"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4"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2" xfId="0" applyNumberFormat="1" applyFont="1" applyFill="1" applyBorder="1" applyProtection="1">
      <protection locked="0"/>
    </xf>
    <xf numFmtId="0" fontId="7" fillId="30" borderId="4" xfId="0" applyFont="1" applyFill="1" applyBorder="1" applyProtection="1">
      <protection locked="0"/>
    </xf>
    <xf numFmtId="0" fontId="7" fillId="29" borderId="4" xfId="0" applyFont="1" applyFill="1" applyBorder="1" applyProtection="1">
      <protection locked="0"/>
    </xf>
    <xf numFmtId="178" fontId="7" fillId="30" borderId="4" xfId="0" applyNumberFormat="1" applyFont="1" applyFill="1" applyBorder="1" applyAlignment="1" applyProtection="1">
      <alignment horizontal="right" vertical="center"/>
      <protection locked="0"/>
    </xf>
    <xf numFmtId="178" fontId="7" fillId="30" borderId="4" xfId="103" applyNumberFormat="1" applyFont="1" applyFill="1" applyBorder="1" applyProtection="1">
      <protection locked="0"/>
    </xf>
    <xf numFmtId="9" fontId="7" fillId="30" borderId="4" xfId="130" applyFont="1" applyFill="1" applyBorder="1" applyProtection="1">
      <protection locked="0"/>
    </xf>
    <xf numFmtId="164" fontId="8" fillId="26" borderId="68" xfId="0" applyNumberFormat="1" applyFont="1" applyFill="1" applyBorder="1" applyProtection="1"/>
    <xf numFmtId="164" fontId="8" fillId="26" borderId="62" xfId="0" applyNumberFormat="1" applyFont="1" applyFill="1" applyBorder="1" applyProtection="1"/>
    <xf numFmtId="164" fontId="8" fillId="26" borderId="69" xfId="0" applyNumberFormat="1" applyFont="1" applyFill="1" applyBorder="1" applyProtection="1"/>
    <xf numFmtId="164" fontId="0" fillId="0" borderId="70" xfId="0" applyNumberFormat="1" applyBorder="1" applyProtection="1"/>
    <xf numFmtId="177" fontId="7" fillId="0" borderId="4" xfId="104" applyNumberFormat="1" applyFont="1" applyBorder="1" applyAlignment="1" applyProtection="1">
      <alignment horizontal="center" vertical="center"/>
    </xf>
    <xf numFmtId="182" fontId="10" fillId="0" borderId="4" xfId="57" applyNumberFormat="1" applyFont="1" applyBorder="1" applyAlignment="1" applyProtection="1">
      <alignment horizontal="center" vertical="center"/>
    </xf>
    <xf numFmtId="9" fontId="0" fillId="0" borderId="0" xfId="58" applyFont="1" applyProtection="1"/>
    <xf numFmtId="164" fontId="8" fillId="30" borderId="46" xfId="201" applyNumberFormat="1" applyFont="1" applyFill="1" applyBorder="1" applyProtection="1">
      <protection locked="0"/>
    </xf>
    <xf numFmtId="164" fontId="8" fillId="30" borderId="20" xfId="202" applyNumberFormat="1" applyFont="1" applyFill="1" applyBorder="1" applyProtection="1">
      <protection locked="0"/>
    </xf>
    <xf numFmtId="164" fontId="8" fillId="30" borderId="20" xfId="203" applyNumberFormat="1" applyFont="1" applyFill="1" applyBorder="1" applyProtection="1">
      <protection locked="0"/>
    </xf>
    <xf numFmtId="164" fontId="8" fillId="30" borderId="20" xfId="204" applyNumberFormat="1" applyFont="1" applyFill="1" applyBorder="1" applyProtection="1">
      <protection locked="0"/>
    </xf>
    <xf numFmtId="164" fontId="8" fillId="30" borderId="20" xfId="205" applyNumberFormat="1" applyFont="1" applyFill="1" applyBorder="1" applyProtection="1">
      <protection locked="0"/>
    </xf>
    <xf numFmtId="164" fontId="8" fillId="30" borderId="20" xfId="206" applyNumberFormat="1" applyFont="1" applyFill="1" applyBorder="1" applyProtection="1">
      <protection locked="0"/>
    </xf>
    <xf numFmtId="164" fontId="8" fillId="30" borderId="46" xfId="207" applyNumberFormat="1" applyFont="1" applyFill="1" applyBorder="1" applyProtection="1">
      <protection locked="0"/>
    </xf>
    <xf numFmtId="164" fontId="8" fillId="30" borderId="20" xfId="208" applyNumberFormat="1" applyFont="1" applyFill="1" applyBorder="1" applyProtection="1">
      <protection locked="0"/>
    </xf>
    <xf numFmtId="164" fontId="8" fillId="30" borderId="46" xfId="209" applyNumberFormat="1" applyFont="1" applyFill="1" applyBorder="1" applyProtection="1">
      <protection locked="0"/>
    </xf>
    <xf numFmtId="164" fontId="8" fillId="30" borderId="20" xfId="210" applyNumberFormat="1" applyFont="1" applyFill="1" applyBorder="1" applyProtection="1">
      <protection locked="0"/>
    </xf>
    <xf numFmtId="164" fontId="8" fillId="30" borderId="46" xfId="211" applyNumberFormat="1" applyFont="1" applyFill="1" applyBorder="1" applyProtection="1">
      <protection locked="0"/>
    </xf>
    <xf numFmtId="164" fontId="8" fillId="30" borderId="24" xfId="212" applyNumberFormat="1" applyFont="1" applyFill="1" applyBorder="1" applyProtection="1">
      <protection locked="0"/>
    </xf>
    <xf numFmtId="164" fontId="8" fillId="30" borderId="48" xfId="213" applyNumberFormat="1" applyFont="1" applyFill="1" applyBorder="1" applyProtection="1">
      <protection locked="0"/>
    </xf>
    <xf numFmtId="164" fontId="8" fillId="30" borderId="24" xfId="214" applyNumberFormat="1" applyFont="1" applyFill="1" applyBorder="1" applyProtection="1">
      <protection locked="0"/>
    </xf>
    <xf numFmtId="164" fontId="8" fillId="30" borderId="48" xfId="215" applyNumberFormat="1" applyFont="1" applyFill="1" applyBorder="1" applyProtection="1">
      <protection locked="0"/>
    </xf>
    <xf numFmtId="164" fontId="8" fillId="30" borderId="73" xfId="0" applyNumberFormat="1" applyFont="1" applyFill="1" applyBorder="1" applyProtection="1">
      <protection locked="0"/>
    </xf>
    <xf numFmtId="164" fontId="8" fillId="30" borderId="20" xfId="216" applyNumberFormat="1" applyFont="1" applyFill="1" applyBorder="1" applyProtection="1">
      <protection locked="0"/>
    </xf>
    <xf numFmtId="164" fontId="8" fillId="30" borderId="20" xfId="217" applyNumberFormat="1" applyFont="1" applyFill="1" applyBorder="1" applyProtection="1">
      <protection locked="0"/>
    </xf>
    <xf numFmtId="164" fontId="8" fillId="30" borderId="24" xfId="218" applyNumberFormat="1" applyFont="1" applyFill="1" applyBorder="1" applyProtection="1">
      <protection locked="0"/>
    </xf>
    <xf numFmtId="164" fontId="8" fillId="30" borderId="24" xfId="219" applyNumberFormat="1" applyFont="1" applyFill="1" applyBorder="1" applyProtection="1">
      <protection locked="0"/>
    </xf>
    <xf numFmtId="164" fontId="8" fillId="30" borderId="24" xfId="220" applyNumberFormat="1" applyFont="1" applyFill="1" applyBorder="1" applyProtection="1">
      <protection locked="0"/>
    </xf>
    <xf numFmtId="164" fontId="8" fillId="30" borderId="20" xfId="221" applyNumberFormat="1" applyFont="1" applyFill="1" applyBorder="1" applyProtection="1">
      <protection locked="0"/>
    </xf>
    <xf numFmtId="164" fontId="8" fillId="30" borderId="20" xfId="222" applyNumberFormat="1" applyFont="1" applyFill="1" applyBorder="1" applyProtection="1">
      <protection locked="0"/>
    </xf>
    <xf numFmtId="164" fontId="8" fillId="30" borderId="20" xfId="223" applyNumberFormat="1" applyFont="1" applyFill="1" applyBorder="1" applyProtection="1">
      <protection locked="0"/>
    </xf>
    <xf numFmtId="164" fontId="8" fillId="30" borderId="20" xfId="224" applyNumberFormat="1" applyFont="1" applyFill="1" applyBorder="1" applyProtection="1">
      <protection locked="0"/>
    </xf>
    <xf numFmtId="164" fontId="8" fillId="30" borderId="24" xfId="223" applyNumberFormat="1" applyFont="1" applyFill="1" applyBorder="1" applyProtection="1">
      <protection locked="0"/>
    </xf>
    <xf numFmtId="164" fontId="8" fillId="30" borderId="24" xfId="225" applyNumberFormat="1" applyFont="1" applyFill="1" applyBorder="1" applyProtection="1">
      <protection locked="0"/>
    </xf>
    <xf numFmtId="164" fontId="8" fillId="30" borderId="20" xfId="226" applyNumberFormat="1" applyFont="1" applyFill="1" applyBorder="1" applyProtection="1">
      <protection locked="0"/>
    </xf>
    <xf numFmtId="164" fontId="8" fillId="30" borderId="20" xfId="227" applyNumberFormat="1" applyFont="1" applyFill="1" applyBorder="1" applyProtection="1">
      <protection locked="0"/>
    </xf>
    <xf numFmtId="164" fontId="8" fillId="30" borderId="20" xfId="228" applyNumberFormat="1" applyFont="1" applyFill="1" applyBorder="1" applyProtection="1">
      <protection locked="0"/>
    </xf>
    <xf numFmtId="164" fontId="8" fillId="30" borderId="20" xfId="229" applyNumberFormat="1" applyFont="1" applyFill="1" applyBorder="1" applyProtection="1">
      <protection locked="0"/>
    </xf>
    <xf numFmtId="164" fontId="8" fillId="30" borderId="20" xfId="230" applyNumberFormat="1" applyFont="1" applyFill="1" applyBorder="1" applyProtection="1">
      <protection locked="0"/>
    </xf>
    <xf numFmtId="164" fontId="8" fillId="30" borderId="20" xfId="231" applyNumberFormat="1" applyFont="1" applyFill="1" applyBorder="1" applyProtection="1">
      <protection locked="0"/>
    </xf>
    <xf numFmtId="164" fontId="8" fillId="30" borderId="20" xfId="232" applyNumberFormat="1" applyFont="1" applyFill="1" applyBorder="1" applyProtection="1">
      <protection locked="0"/>
    </xf>
    <xf numFmtId="164" fontId="8" fillId="30" borderId="20" xfId="233" applyNumberFormat="1" applyFont="1" applyFill="1" applyBorder="1" applyProtection="1">
      <protection locked="0"/>
    </xf>
    <xf numFmtId="164" fontId="8" fillId="30" borderId="20" xfId="234" applyNumberFormat="1" applyFont="1" applyFill="1" applyBorder="1" applyProtection="1">
      <protection locked="0"/>
    </xf>
    <xf numFmtId="164" fontId="8" fillId="30" borderId="20" xfId="235" applyNumberFormat="1" applyFont="1" applyFill="1" applyBorder="1" applyProtection="1">
      <protection locked="0"/>
    </xf>
    <xf numFmtId="164" fontId="8" fillId="30" borderId="20" xfId="236" applyNumberFormat="1" applyFont="1" applyFill="1" applyBorder="1" applyProtection="1">
      <protection locked="0"/>
    </xf>
    <xf numFmtId="164" fontId="8" fillId="30" borderId="24" xfId="237" applyNumberFormat="1" applyFont="1" applyFill="1" applyBorder="1" applyProtection="1">
      <protection locked="0"/>
    </xf>
    <xf numFmtId="164" fontId="8" fillId="30" borderId="20" xfId="238" applyNumberFormat="1" applyFont="1" applyFill="1" applyBorder="1" applyProtection="1">
      <protection locked="0"/>
    </xf>
    <xf numFmtId="164" fontId="8" fillId="30" borderId="20" xfId="239" applyNumberFormat="1" applyFont="1" applyFill="1" applyBorder="1" applyProtection="1">
      <protection locked="0"/>
    </xf>
    <xf numFmtId="164" fontId="8" fillId="30" borderId="20" xfId="240" applyNumberFormat="1" applyFont="1" applyFill="1" applyBorder="1" applyProtection="1">
      <protection locked="0"/>
    </xf>
    <xf numFmtId="164" fontId="8" fillId="30" borderId="24" xfId="241" applyNumberFormat="1" applyFont="1" applyFill="1" applyBorder="1" applyProtection="1">
      <protection locked="0"/>
    </xf>
    <xf numFmtId="164" fontId="8" fillId="30" borderId="20" xfId="242" applyNumberFormat="1" applyFont="1" applyFill="1" applyBorder="1" applyProtection="1">
      <protection locked="0"/>
    </xf>
    <xf numFmtId="164" fontId="8" fillId="30" borderId="20" xfId="243" applyNumberFormat="1" applyFont="1" applyFill="1" applyBorder="1" applyProtection="1">
      <protection locked="0"/>
    </xf>
    <xf numFmtId="164" fontId="8" fillId="30" borderId="20" xfId="244" applyNumberFormat="1" applyFont="1" applyFill="1" applyBorder="1" applyProtection="1">
      <protection locked="0"/>
    </xf>
    <xf numFmtId="164" fontId="8" fillId="30" borderId="20" xfId="245" applyNumberFormat="1" applyFont="1" applyFill="1" applyBorder="1" applyProtection="1">
      <protection locked="0"/>
    </xf>
    <xf numFmtId="164" fontId="8" fillId="30" borderId="74" xfId="0" applyNumberFormat="1" applyFont="1" applyFill="1" applyBorder="1" applyProtection="1">
      <protection locked="0"/>
    </xf>
    <xf numFmtId="178" fontId="7" fillId="30" borderId="4" xfId="246" applyNumberFormat="1" applyFont="1" applyFill="1" applyBorder="1" applyProtection="1">
      <protection locked="0"/>
    </xf>
    <xf numFmtId="178" fontId="7" fillId="30" borderId="4" xfId="247" applyNumberFormat="1" applyFont="1" applyFill="1" applyBorder="1" applyProtection="1">
      <protection locked="0"/>
    </xf>
    <xf numFmtId="178" fontId="7" fillId="30" borderId="4" xfId="248" applyNumberFormat="1" applyFont="1" applyFill="1" applyBorder="1" applyProtection="1">
      <protection locked="0"/>
    </xf>
    <xf numFmtId="178" fontId="7" fillId="30" borderId="4" xfId="249" applyNumberFormat="1" applyFont="1" applyFill="1" applyBorder="1" applyProtection="1">
      <protection locked="0"/>
    </xf>
    <xf numFmtId="178" fontId="7" fillId="30" borderId="4" xfId="250" applyNumberFormat="1" applyFont="1" applyFill="1" applyBorder="1" applyProtection="1">
      <protection locked="0"/>
    </xf>
    <xf numFmtId="177" fontId="7" fillId="30" borderId="4" xfId="246" applyNumberFormat="1" applyFont="1" applyFill="1" applyBorder="1" applyProtection="1">
      <protection locked="0"/>
    </xf>
    <xf numFmtId="0" fontId="8" fillId="0" borderId="47" xfId="0" applyFont="1" applyBorder="1" applyAlignment="1" applyProtection="1"/>
    <xf numFmtId="0" fontId="8" fillId="0" borderId="10" xfId="0" applyFont="1" applyBorder="1" applyAlignment="1" applyProtection="1">
      <alignment horizontal="center"/>
    </xf>
    <xf numFmtId="0" fontId="8" fillId="0" borderId="47" xfId="0" applyFont="1" applyBorder="1" applyAlignment="1" applyProtection="1">
      <alignment horizontal="left"/>
    </xf>
    <xf numFmtId="0" fontId="8" fillId="0" borderId="47" xfId="59" applyFont="1" applyBorder="1" applyAlignment="1" applyProtection="1">
      <alignment horizontal="left" wrapText="1"/>
    </xf>
    <xf numFmtId="164" fontId="8" fillId="0" borderId="48" xfId="0" applyNumberFormat="1" applyFont="1" applyFill="1" applyBorder="1" applyProtection="1">
      <protection locked="0"/>
    </xf>
    <xf numFmtId="164" fontId="8" fillId="0" borderId="24" xfId="223" applyNumberFormat="1" applyFont="1" applyFill="1" applyBorder="1" applyProtection="1">
      <protection locked="0"/>
    </xf>
    <xf numFmtId="164" fontId="8" fillId="0" borderId="48" xfId="201" applyNumberFormat="1" applyFont="1" applyFill="1" applyBorder="1" applyProtection="1">
      <protection locked="0"/>
    </xf>
    <xf numFmtId="0" fontId="0" fillId="0" borderId="0" xfId="0" applyFill="1" applyProtection="1"/>
    <xf numFmtId="164" fontId="8" fillId="0" borderId="47" xfId="0" applyNumberFormat="1" applyFont="1" applyFill="1" applyBorder="1" applyProtection="1">
      <protection locked="0"/>
    </xf>
    <xf numFmtId="164" fontId="8" fillId="0" borderId="0" xfId="0" applyNumberFormat="1" applyFont="1" applyFill="1" applyBorder="1" applyProtection="1">
      <protection locked="0"/>
    </xf>
    <xf numFmtId="164" fontId="8" fillId="0" borderId="20" xfId="0" applyNumberFormat="1" applyFont="1" applyFill="1" applyBorder="1" applyProtection="1">
      <protection locked="0"/>
    </xf>
    <xf numFmtId="164" fontId="0" fillId="0" borderId="10" xfId="0" applyNumberFormat="1" applyFill="1" applyBorder="1" applyProtection="1"/>
    <xf numFmtId="164" fontId="8" fillId="0" borderId="15" xfId="0" applyNumberFormat="1" applyFont="1" applyFill="1" applyBorder="1" applyProtection="1">
      <protection locked="0"/>
    </xf>
    <xf numFmtId="164" fontId="0" fillId="0" borderId="0" xfId="0" applyNumberFormat="1" applyFill="1" applyProtection="1"/>
    <xf numFmtId="0" fontId="12" fillId="0" borderId="32" xfId="0" applyFont="1" applyBorder="1" applyAlignment="1" applyProtection="1">
      <alignment vertical="center"/>
    </xf>
    <xf numFmtId="0" fontId="8" fillId="0" borderId="35" xfId="0" applyFont="1" applyBorder="1" applyProtection="1"/>
    <xf numFmtId="0" fontId="8" fillId="0" borderId="47" xfId="0" applyFont="1" applyBorder="1" applyProtection="1"/>
    <xf numFmtId="0" fontId="8" fillId="0" borderId="10" xfId="0" applyFont="1" applyBorder="1" applyAlignment="1" applyProtection="1">
      <alignment horizontal="center" vertical="top"/>
    </xf>
    <xf numFmtId="0" fontId="8" fillId="0" borderId="10" xfId="0" applyFont="1" applyFill="1" applyBorder="1" applyAlignment="1" applyProtection="1">
      <alignment horizontal="center"/>
    </xf>
    <xf numFmtId="0" fontId="9" fillId="0" borderId="47" xfId="0" applyFont="1" applyBorder="1" applyAlignment="1" applyProtection="1"/>
    <xf numFmtId="0" fontId="9" fillId="0" borderId="10" xfId="0" applyFont="1" applyBorder="1" applyAlignment="1" applyProtection="1"/>
    <xf numFmtId="0" fontId="9" fillId="0" borderId="47" xfId="0" applyFont="1" applyBorder="1" applyAlignment="1" applyProtection="1">
      <alignment horizontal="left"/>
    </xf>
    <xf numFmtId="0" fontId="9" fillId="0" borderId="10" xfId="0" applyFont="1" applyBorder="1" applyAlignment="1" applyProtection="1">
      <alignment horizontal="center"/>
    </xf>
    <xf numFmtId="0" fontId="9" fillId="0" borderId="10" xfId="0" applyFont="1" applyBorder="1" applyAlignment="1" applyProtection="1">
      <alignment horizontal="left"/>
    </xf>
    <xf numFmtId="0" fontId="12" fillId="0" borderId="47" xfId="0" applyFont="1" applyBorder="1" applyAlignment="1" applyProtection="1">
      <alignment vertical="center"/>
    </xf>
    <xf numFmtId="0" fontId="8" fillId="0" borderId="47" xfId="0" applyFont="1" applyBorder="1" applyAlignment="1" applyProtection="1">
      <alignment wrapText="1"/>
    </xf>
    <xf numFmtId="0" fontId="9" fillId="0" borderId="47" xfId="0" applyFont="1" applyBorder="1" applyProtection="1"/>
    <xf numFmtId="0" fontId="8" fillId="0" borderId="47" xfId="0" applyFont="1" applyBorder="1" applyAlignment="1" applyProtection="1">
      <alignment vertical="center" wrapText="1"/>
    </xf>
    <xf numFmtId="0" fontId="8" fillId="0" borderId="10" xfId="0" applyFont="1" applyBorder="1" applyAlignment="1" applyProtection="1">
      <alignment horizontal="center" vertical="center"/>
    </xf>
    <xf numFmtId="0" fontId="8" fillId="0" borderId="47" xfId="0" applyFont="1" applyFill="1" applyBorder="1" applyProtection="1"/>
    <xf numFmtId="0" fontId="8" fillId="0" borderId="10" xfId="0" applyFont="1" applyFill="1" applyBorder="1" applyProtection="1"/>
    <xf numFmtId="0" fontId="16" fillId="0" borderId="47" xfId="59" applyFont="1" applyBorder="1" applyProtection="1"/>
    <xf numFmtId="0" fontId="16" fillId="0" borderId="10" xfId="59" applyFont="1" applyBorder="1" applyAlignment="1" applyProtection="1">
      <alignment horizontal="center"/>
    </xf>
    <xf numFmtId="0" fontId="9" fillId="0" borderId="47" xfId="0" applyFont="1" applyFill="1" applyBorder="1" applyProtection="1"/>
    <xf numFmtId="0" fontId="8" fillId="0" borderId="71" xfId="0" applyFont="1" applyBorder="1" applyProtection="1"/>
    <xf numFmtId="0" fontId="8" fillId="0" borderId="72"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7" fillId="0" borderId="0" xfId="0" applyNumberFormat="1" applyFont="1" applyProtection="1"/>
    <xf numFmtId="0" fontId="0" fillId="65" borderId="0" xfId="0" applyFill="1" applyProtection="1"/>
    <xf numFmtId="0" fontId="0" fillId="0" borderId="0" xfId="56" applyNumberFormat="1" applyFont="1" applyProtection="1"/>
    <xf numFmtId="0" fontId="52"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0" fillId="0" borderId="10" xfId="0" applyNumberFormat="1" applyFill="1" applyBorder="1" applyProtection="1"/>
    <xf numFmtId="165" fontId="8" fillId="0" borderId="10" xfId="0" applyNumberFormat="1" applyFont="1" applyFill="1" applyBorder="1" applyProtection="1"/>
    <xf numFmtId="165" fontId="0" fillId="0" borderId="51" xfId="0" applyNumberFormat="1" applyBorder="1" applyProtection="1"/>
    <xf numFmtId="180" fontId="7" fillId="65" borderId="4" xfId="246" applyNumberFormat="1" applyFont="1" applyFill="1" applyBorder="1" applyProtection="1">
      <protection locked="0"/>
    </xf>
    <xf numFmtId="180" fontId="7" fillId="65" borderId="4" xfId="56" applyNumberFormat="1" applyFont="1" applyFill="1" applyBorder="1" applyProtection="1">
      <protection locked="0"/>
    </xf>
    <xf numFmtId="9" fontId="10" fillId="65" borderId="4" xfId="58" applyFont="1" applyFill="1" applyBorder="1" applyProtection="1"/>
    <xf numFmtId="0" fontId="7" fillId="0" borderId="4" xfId="0" applyFont="1" applyFill="1" applyBorder="1" applyAlignment="1" applyProtection="1">
      <alignment horizontal="center"/>
    </xf>
    <xf numFmtId="0" fontId="54" fillId="65" borderId="0" xfId="0" applyFont="1" applyFill="1" applyProtection="1"/>
    <xf numFmtId="0" fontId="59" fillId="65" borderId="0" xfId="0" applyFont="1" applyFill="1" applyProtection="1"/>
    <xf numFmtId="0" fontId="10" fillId="65" borderId="0" xfId="0" applyFont="1" applyFill="1" applyBorder="1" applyAlignment="1" applyProtection="1">
      <alignment vertical="center" wrapText="1"/>
    </xf>
    <xf numFmtId="0" fontId="7" fillId="65" borderId="4" xfId="0" applyFont="1" applyFill="1" applyBorder="1" applyProtection="1"/>
    <xf numFmtId="0" fontId="7" fillId="65" borderId="4" xfId="0" applyFont="1" applyFill="1" applyBorder="1" applyAlignment="1" applyProtection="1">
      <alignment horizontal="center" vertical="center"/>
      <protection locked="0"/>
    </xf>
    <xf numFmtId="178" fontId="0" fillId="65" borderId="4" xfId="56" applyNumberFormat="1" applyFont="1" applyFill="1" applyBorder="1" applyAlignment="1" applyProtection="1">
      <alignment horizontal="center" vertical="center"/>
    </xf>
    <xf numFmtId="175" fontId="0" fillId="65" borderId="4" xfId="57" applyNumberFormat="1" applyFont="1" applyFill="1" applyBorder="1" applyProtection="1"/>
    <xf numFmtId="179" fontId="10" fillId="65" borderId="4" xfId="56" applyNumberFormat="1" applyFont="1" applyFill="1" applyBorder="1" applyAlignment="1" applyProtection="1">
      <alignment horizontal="center" vertical="center"/>
    </xf>
    <xf numFmtId="0" fontId="10" fillId="65" borderId="4" xfId="0" applyFont="1" applyFill="1" applyBorder="1" applyProtection="1"/>
    <xf numFmtId="0" fontId="10" fillId="65" borderId="4" xfId="0" applyFont="1" applyFill="1" applyBorder="1" applyAlignment="1" applyProtection="1">
      <alignment horizontal="center" vertical="center"/>
    </xf>
    <xf numFmtId="178" fontId="10" fillId="65" borderId="4" xfId="56" applyNumberFormat="1" applyFont="1" applyFill="1" applyBorder="1" applyAlignment="1" applyProtection="1">
      <alignment horizontal="center" vertical="center"/>
    </xf>
    <xf numFmtId="175" fontId="10" fillId="65" borderId="4" xfId="57" applyNumberFormat="1" applyFont="1" applyFill="1" applyBorder="1" applyProtection="1"/>
    <xf numFmtId="0" fontId="7" fillId="65" borderId="0" xfId="0" applyFont="1" applyFill="1" applyProtection="1"/>
    <xf numFmtId="177" fontId="10" fillId="65" borderId="4" xfId="57" applyNumberFormat="1" applyFont="1" applyFill="1" applyBorder="1" applyAlignment="1" applyProtection="1">
      <alignment horizontal="center" vertical="center"/>
    </xf>
    <xf numFmtId="0" fontId="0" fillId="30" borderId="70" xfId="0" applyFill="1" applyBorder="1" applyAlignment="1" applyProtection="1">
      <alignment horizontal="left" vertical="top" wrapText="1"/>
      <protection locked="0"/>
    </xf>
    <xf numFmtId="0" fontId="0" fillId="30" borderId="76" xfId="0" applyFill="1" applyBorder="1" applyAlignment="1" applyProtection="1">
      <alignment horizontal="left" vertical="top" wrapText="1"/>
      <protection locked="0"/>
    </xf>
    <xf numFmtId="0" fontId="7" fillId="0" borderId="4" xfId="0" applyFont="1" applyBorder="1" applyAlignment="1" applyProtection="1">
      <alignment horizontal="right" vertical="center" wrapText="1" indent="1"/>
    </xf>
    <xf numFmtId="0" fontId="10" fillId="0" borderId="0" xfId="0" applyFont="1" applyBorder="1" applyAlignment="1" applyProtection="1">
      <alignment horizontal="right" vertical="center" wrapText="1" indent="1"/>
    </xf>
    <xf numFmtId="177" fontId="10" fillId="0" borderId="0" xfId="57" applyNumberFormat="1" applyFont="1" applyBorder="1" applyAlignment="1" applyProtection="1">
      <alignment horizontal="center" vertical="center"/>
    </xf>
    <xf numFmtId="0" fontId="7" fillId="0" borderId="4" xfId="0" applyFont="1" applyBorder="1" applyAlignment="1" applyProtection="1">
      <alignment vertical="center" wrapText="1"/>
    </xf>
    <xf numFmtId="0" fontId="7" fillId="0" borderId="0" xfId="0" applyFont="1" applyFill="1" applyBorder="1" applyProtection="1"/>
    <xf numFmtId="165" fontId="8" fillId="0" borderId="10" xfId="0" applyNumberFormat="1" applyFont="1" applyBorder="1" applyProtection="1"/>
    <xf numFmtId="164" fontId="8" fillId="0" borderId="10" xfId="0" applyNumberFormat="1" applyFont="1" applyBorder="1" applyProtection="1"/>
    <xf numFmtId="164" fontId="8" fillId="0" borderId="0" xfId="0" applyNumberFormat="1" applyFont="1" applyProtection="1"/>
    <xf numFmtId="164" fontId="8" fillId="22" borderId="74" xfId="0" applyNumberFormat="1" applyFont="1" applyFill="1" applyBorder="1" applyProtection="1"/>
    <xf numFmtId="164" fontId="8" fillId="30" borderId="0" xfId="202" applyNumberFormat="1" applyFont="1" applyFill="1" applyBorder="1" applyProtection="1">
      <protection locked="0"/>
    </xf>
    <xf numFmtId="0" fontId="79" fillId="0" borderId="47" xfId="0" applyFont="1" applyFill="1" applyBorder="1" applyAlignment="1" applyProtection="1">
      <alignment horizontal="left"/>
    </xf>
    <xf numFmtId="0" fontId="83" fillId="0" borderId="9" xfId="0" applyFont="1" applyBorder="1" applyAlignment="1" applyProtection="1">
      <alignment vertical="center"/>
    </xf>
    <xf numFmtId="0" fontId="7" fillId="0" borderId="10" xfId="0" applyFont="1" applyBorder="1" applyProtection="1"/>
    <xf numFmtId="0" fontId="7" fillId="0" borderId="16" xfId="0" applyFont="1" applyBorder="1" applyProtection="1"/>
    <xf numFmtId="0" fontId="7" fillId="0" borderId="9" xfId="0" applyFont="1" applyBorder="1" applyAlignment="1" applyProtection="1">
      <alignment vertical="center"/>
    </xf>
    <xf numFmtId="0" fontId="7" fillId="0" borderId="0" xfId="0" applyFont="1" applyAlignment="1" applyProtection="1">
      <alignment horizontal="center" vertical="center"/>
    </xf>
    <xf numFmtId="44" fontId="7" fillId="0" borderId="15" xfId="0" applyNumberFormat="1" applyFont="1" applyBorder="1" applyAlignment="1" applyProtection="1">
      <alignment vertical="center"/>
    </xf>
    <xf numFmtId="0" fontId="7"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7" fillId="0" borderId="47" xfId="0" applyFont="1" applyBorder="1" applyAlignment="1" applyProtection="1">
      <alignment vertical="center"/>
    </xf>
    <xf numFmtId="0" fontId="7" fillId="0" borderId="10" xfId="0" applyFont="1" applyBorder="1" applyAlignment="1" applyProtection="1">
      <alignment horizontal="center" vertical="center"/>
    </xf>
    <xf numFmtId="0" fontId="7" fillId="0" borderId="71" xfId="0" applyFont="1" applyBorder="1" applyAlignment="1" applyProtection="1">
      <alignment vertical="center"/>
    </xf>
    <xf numFmtId="0" fontId="7" fillId="0" borderId="72" xfId="0" applyFont="1" applyBorder="1" applyAlignment="1" applyProtection="1">
      <alignment horizontal="center" vertical="center"/>
    </xf>
    <xf numFmtId="44" fontId="7" fillId="0" borderId="70" xfId="0" applyNumberFormat="1" applyFont="1" applyBorder="1" applyAlignment="1" applyProtection="1">
      <alignment vertical="center"/>
    </xf>
    <xf numFmtId="177" fontId="7" fillId="0" borderId="4" xfId="57" applyNumberFormat="1" applyFont="1" applyFill="1" applyBorder="1" applyAlignment="1" applyProtection="1">
      <alignment horizontal="center" vertical="center"/>
    </xf>
    <xf numFmtId="180" fontId="7" fillId="30" borderId="4" xfId="184" applyNumberFormat="1" applyFont="1" applyFill="1" applyBorder="1" applyProtection="1">
      <protection locked="0"/>
    </xf>
    <xf numFmtId="0" fontId="7" fillId="0" borderId="0" xfId="0" applyFont="1" applyBorder="1" applyAlignment="1" applyProtection="1">
      <alignment vertical="center" wrapText="1"/>
    </xf>
    <xf numFmtId="0" fontId="7" fillId="0" borderId="0" xfId="0" applyFont="1" applyBorder="1" applyAlignment="1" applyProtection="1">
      <alignment horizontal="right" vertical="center" wrapText="1" indent="1"/>
    </xf>
    <xf numFmtId="0" fontId="7"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165" fontId="0" fillId="0" borderId="0" xfId="0" applyNumberFormat="1" applyProtection="1">
      <protection locked="0"/>
    </xf>
    <xf numFmtId="165" fontId="7"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8" fillId="0" borderId="0" xfId="0" applyNumberFormat="1" applyFont="1" applyProtection="1">
      <protection locked="0"/>
    </xf>
    <xf numFmtId="0" fontId="2" fillId="0" borderId="0" xfId="255" applyProtection="1"/>
    <xf numFmtId="0" fontId="2" fillId="0" borderId="0" xfId="255"/>
    <xf numFmtId="0" fontId="45" fillId="0" borderId="0" xfId="255" applyFont="1" applyAlignment="1" applyProtection="1">
      <alignment horizontal="left" wrapText="1"/>
    </xf>
    <xf numFmtId="0" fontId="2" fillId="0" borderId="0" xfId="255" applyAlignment="1" applyProtection="1">
      <alignment wrapText="1"/>
    </xf>
    <xf numFmtId="0" fontId="45" fillId="0" borderId="0" xfId="255" applyFont="1" applyAlignment="1" applyProtection="1">
      <alignment horizontal="left" vertical="center" wrapText="1"/>
    </xf>
    <xf numFmtId="0" fontId="2" fillId="0" borderId="0" xfId="255" applyAlignment="1">
      <alignment horizontal="left"/>
    </xf>
    <xf numFmtId="0" fontId="43" fillId="0" borderId="0" xfId="255" applyFont="1" applyAlignment="1" applyProtection="1">
      <alignment horizontal="left" wrapText="1"/>
    </xf>
    <xf numFmtId="0" fontId="43" fillId="0" borderId="42" xfId="255" applyFont="1" applyBorder="1" applyAlignment="1" applyProtection="1">
      <alignment horizontal="center" wrapText="1"/>
    </xf>
    <xf numFmtId="0" fontId="43" fillId="0" borderId="4" xfId="255" applyFont="1" applyBorder="1" applyAlignment="1" applyProtection="1">
      <alignment horizontal="center"/>
    </xf>
    <xf numFmtId="0" fontId="43" fillId="0" borderId="4" xfId="255" applyFont="1" applyBorder="1" applyAlignment="1">
      <alignment horizontal="center"/>
    </xf>
    <xf numFmtId="0" fontId="43" fillId="0" borderId="84" xfId="255" applyFont="1" applyBorder="1" applyAlignment="1">
      <alignment horizontal="center"/>
    </xf>
    <xf numFmtId="0" fontId="82" fillId="0" borderId="4" xfId="255" applyFont="1" applyBorder="1" applyAlignment="1" applyProtection="1">
      <alignment wrapText="1"/>
    </xf>
    <xf numFmtId="0" fontId="82" fillId="0" borderId="83" xfId="255" applyFont="1" applyBorder="1" applyAlignment="1" applyProtection="1">
      <alignment horizontal="center" wrapText="1"/>
    </xf>
    <xf numFmtId="178" fontId="0" fillId="0" borderId="14" xfId="256" applyNumberFormat="1" applyFont="1" applyBorder="1" applyProtection="1"/>
    <xf numFmtId="0" fontId="43" fillId="0" borderId="0" xfId="255" applyFont="1"/>
    <xf numFmtId="178" fontId="0" fillId="0" borderId="84" xfId="256" applyNumberFormat="1" applyFont="1" applyBorder="1" applyProtection="1"/>
    <xf numFmtId="178" fontId="0" fillId="0" borderId="4" xfId="256" applyNumberFormat="1" applyFont="1" applyBorder="1" applyProtection="1"/>
    <xf numFmtId="0" fontId="81" fillId="0" borderId="4" xfId="255" applyFont="1" applyBorder="1" applyAlignment="1" applyProtection="1">
      <alignment horizontal="left" wrapText="1"/>
    </xf>
    <xf numFmtId="0" fontId="82" fillId="0" borderId="83" xfId="255" quotePrefix="1" applyFont="1" applyBorder="1" applyAlignment="1" applyProtection="1">
      <alignment horizontal="center" wrapText="1"/>
    </xf>
    <xf numFmtId="10" fontId="43" fillId="0" borderId="14" xfId="257" applyNumberFormat="1" applyFont="1" applyBorder="1" applyProtection="1"/>
    <xf numFmtId="10" fontId="43" fillId="0" borderId="84" xfId="257" applyNumberFormat="1" applyFont="1" applyBorder="1" applyProtection="1"/>
    <xf numFmtId="10" fontId="43" fillId="0" borderId="4" xfId="257" applyNumberFormat="1" applyFont="1" applyBorder="1" applyProtection="1"/>
    <xf numFmtId="178" fontId="0" fillId="0" borderId="0" xfId="256" applyNumberFormat="1" applyFont="1" applyProtection="1"/>
    <xf numFmtId="9" fontId="0" fillId="0" borderId="0" xfId="257" applyFont="1" applyProtection="1"/>
    <xf numFmtId="178" fontId="2" fillId="0" borderId="0" xfId="255" applyNumberFormat="1" applyProtection="1"/>
    <xf numFmtId="0" fontId="82" fillId="0" borderId="77" xfId="255" applyFont="1" applyBorder="1" applyProtection="1"/>
    <xf numFmtId="0" fontId="2" fillId="0" borderId="0" xfId="255" applyBorder="1" applyAlignment="1" applyProtection="1">
      <alignment horizontal="left"/>
    </xf>
    <xf numFmtId="178" fontId="2" fillId="0" borderId="0" xfId="255" applyNumberFormat="1"/>
    <xf numFmtId="0" fontId="82" fillId="0" borderId="43" xfId="255" applyFont="1" applyBorder="1" applyProtection="1"/>
    <xf numFmtId="0" fontId="82" fillId="0" borderId="81" xfId="255" applyFont="1" applyBorder="1" applyProtection="1"/>
    <xf numFmtId="175" fontId="0" fillId="0" borderId="14" xfId="258" applyNumberFormat="1" applyFont="1" applyBorder="1" applyProtection="1"/>
    <xf numFmtId="0" fontId="82" fillId="0" borderId="83" xfId="255" applyFont="1" applyBorder="1" applyAlignment="1" applyProtection="1">
      <alignment wrapText="1"/>
    </xf>
    <xf numFmtId="166" fontId="0" fillId="0" borderId="14" xfId="258" applyNumberFormat="1" applyFont="1" applyFill="1" applyBorder="1" applyProtection="1"/>
    <xf numFmtId="179" fontId="0" fillId="0" borderId="0" xfId="256" applyNumberFormat="1" applyFont="1" applyProtection="1"/>
    <xf numFmtId="0" fontId="81" fillId="0" borderId="42" xfId="255" applyFont="1" applyBorder="1" applyAlignment="1" applyProtection="1">
      <alignment wrapText="1"/>
    </xf>
    <xf numFmtId="0" fontId="2" fillId="0" borderId="42" xfId="255" applyBorder="1" applyProtection="1"/>
    <xf numFmtId="0" fontId="2" fillId="0" borderId="0" xfId="255" applyFill="1" applyBorder="1"/>
    <xf numFmtId="0" fontId="81" fillId="0" borderId="4" xfId="255" applyFont="1" applyBorder="1" applyProtection="1"/>
    <xf numFmtId="0" fontId="81" fillId="0" borderId="4" xfId="255" applyFont="1" applyFill="1" applyBorder="1" applyAlignment="1" applyProtection="1">
      <alignment vertical="center" wrapText="1"/>
    </xf>
    <xf numFmtId="0" fontId="43" fillId="0" borderId="4" xfId="255" applyFont="1" applyBorder="1" applyAlignment="1" applyProtection="1">
      <alignment horizontal="center" wrapText="1"/>
    </xf>
    <xf numFmtId="0" fontId="81" fillId="0" borderId="4" xfId="255" applyFont="1" applyBorder="1" applyAlignment="1" applyProtection="1">
      <alignment wrapText="1"/>
    </xf>
    <xf numFmtId="0" fontId="45" fillId="30" borderId="4" xfId="255" applyFont="1" applyFill="1" applyBorder="1" applyAlignment="1" applyProtection="1">
      <alignment horizontal="left" vertical="center" wrapText="1"/>
      <protection locked="0"/>
    </xf>
    <xf numFmtId="0" fontId="45" fillId="0" borderId="0" xfId="255" applyFont="1" applyAlignment="1" applyProtection="1">
      <alignment horizontal="left" wrapText="1"/>
    </xf>
    <xf numFmtId="0" fontId="2" fillId="0" borderId="0" xfId="255" applyAlignment="1" applyProtection="1">
      <alignment wrapText="1"/>
    </xf>
    <xf numFmtId="178" fontId="0" fillId="30" borderId="82" xfId="256" applyNumberFormat="1" applyFont="1" applyFill="1" applyBorder="1" applyProtection="1">
      <protection locked="0"/>
    </xf>
    <xf numFmtId="178" fontId="0" fillId="30" borderId="43" xfId="256" applyNumberFormat="1" applyFont="1" applyFill="1" applyBorder="1" applyProtection="1">
      <protection locked="0"/>
    </xf>
    <xf numFmtId="178" fontId="0" fillId="30" borderId="4" xfId="256" applyNumberFormat="1" applyFont="1" applyFill="1" applyBorder="1" applyProtection="1">
      <protection locked="0"/>
    </xf>
    <xf numFmtId="0" fontId="7" fillId="30" borderId="28" xfId="0" applyFont="1" applyFill="1" applyBorder="1" applyAlignment="1" applyProtection="1">
      <alignment horizontal="left" vertical="top" wrapText="1"/>
      <protection locked="0"/>
    </xf>
    <xf numFmtId="177" fontId="7" fillId="0" borderId="4" xfId="246" applyNumberFormat="1" applyFont="1" applyBorder="1" applyAlignment="1" applyProtection="1">
      <alignment horizontal="center" vertical="center"/>
    </xf>
    <xf numFmtId="10" fontId="7" fillId="30" borderId="4" xfId="130" applyNumberFormat="1" applyFont="1" applyFill="1" applyBorder="1" applyProtection="1">
      <protection locked="0"/>
    </xf>
    <xf numFmtId="10" fontId="7" fillId="30" borderId="4" xfId="58" applyNumberFormat="1" applyFont="1" applyFill="1" applyBorder="1" applyProtection="1">
      <protection locked="0"/>
    </xf>
    <xf numFmtId="10" fontId="10" fillId="0" borderId="4" xfId="58" applyNumberFormat="1" applyFont="1" applyBorder="1" applyProtection="1"/>
    <xf numFmtId="0" fontId="6" fillId="0" borderId="0" xfId="59" applyAlignment="1">
      <alignment horizontal="left"/>
    </xf>
    <xf numFmtId="0" fontId="7" fillId="0" borderId="9" xfId="59" applyFont="1" applyBorder="1" applyAlignment="1">
      <alignment horizontal="left" vertical="top" wrapText="1"/>
    </xf>
    <xf numFmtId="0" fontId="7" fillId="0" borderId="0" xfId="59" applyFont="1" applyBorder="1" applyAlignment="1">
      <alignment horizontal="left" vertical="top" wrapText="1"/>
    </xf>
    <xf numFmtId="0" fontId="7" fillId="0" borderId="0" xfId="59" applyFont="1" applyAlignment="1">
      <alignment horizontal="left" wrapText="1"/>
    </xf>
    <xf numFmtId="0" fontId="6" fillId="0" borderId="0" xfId="59" applyAlignment="1">
      <alignment horizontal="left" wrapText="1"/>
    </xf>
    <xf numFmtId="0" fontId="6" fillId="0" borderId="0" xfId="59" applyAlignment="1" applyProtection="1">
      <alignment horizontal="left" vertical="top" wrapText="1"/>
    </xf>
    <xf numFmtId="0" fontId="46" fillId="29" borderId="39" xfId="59" applyFont="1" applyFill="1" applyBorder="1" applyAlignment="1" applyProtection="1">
      <alignment horizontal="left" vertical="center" wrapText="1"/>
      <protection locked="0"/>
    </xf>
    <xf numFmtId="0" fontId="46" fillId="29" borderId="40" xfId="59" applyFont="1" applyFill="1" applyBorder="1" applyAlignment="1" applyProtection="1">
      <alignment horizontal="left" vertical="center" wrapText="1"/>
      <protection locked="0"/>
    </xf>
    <xf numFmtId="0" fontId="46" fillId="29" borderId="41" xfId="59" applyFont="1" applyFill="1" applyBorder="1" applyAlignment="1" applyProtection="1">
      <alignment horizontal="left" vertical="center" wrapText="1"/>
      <protection locked="0"/>
    </xf>
    <xf numFmtId="0" fontId="47" fillId="30" borderId="39" xfId="59" applyFont="1" applyFill="1" applyBorder="1" applyAlignment="1" applyProtection="1">
      <alignment horizontal="left" vertical="center"/>
      <protection locked="0"/>
    </xf>
    <xf numFmtId="0" fontId="47" fillId="30" borderId="40" xfId="59" applyFont="1" applyFill="1" applyBorder="1" applyAlignment="1" applyProtection="1">
      <alignment horizontal="left" vertical="center"/>
      <protection locked="0"/>
    </xf>
    <xf numFmtId="0" fontId="47" fillId="30" borderId="41" xfId="59" applyFont="1" applyFill="1" applyBorder="1" applyAlignment="1" applyProtection="1">
      <alignment horizontal="left" vertical="center"/>
      <protection locked="0"/>
    </xf>
    <xf numFmtId="0" fontId="46" fillId="30" borderId="39" xfId="183" applyFont="1" applyFill="1" applyBorder="1" applyAlignment="1" applyProtection="1">
      <alignment horizontal="left" vertical="center"/>
      <protection locked="0"/>
    </xf>
    <xf numFmtId="0" fontId="46" fillId="30" borderId="40" xfId="183" applyFont="1" applyFill="1" applyBorder="1" applyAlignment="1" applyProtection="1">
      <alignment horizontal="left" vertical="center"/>
      <protection locked="0"/>
    </xf>
    <xf numFmtId="0" fontId="46" fillId="30" borderId="41" xfId="183" applyFont="1" applyFill="1" applyBorder="1" applyAlignment="1" applyProtection="1">
      <alignment horizontal="left" vertical="center"/>
      <protection locked="0"/>
    </xf>
    <xf numFmtId="0" fontId="46" fillId="30" borderId="39" xfId="183" applyNumberFormat="1" applyFont="1" applyFill="1" applyBorder="1" applyAlignment="1" applyProtection="1">
      <alignment horizontal="left" vertical="center"/>
      <protection locked="0"/>
    </xf>
    <xf numFmtId="0" fontId="46" fillId="30" borderId="40" xfId="183" applyNumberFormat="1" applyFont="1" applyFill="1" applyBorder="1" applyAlignment="1" applyProtection="1">
      <alignment horizontal="left" vertical="center"/>
      <protection locked="0"/>
    </xf>
    <xf numFmtId="0" fontId="46" fillId="30" borderId="41" xfId="183" applyNumberFormat="1" applyFont="1" applyFill="1" applyBorder="1" applyAlignment="1" applyProtection="1">
      <alignment horizontal="left" vertical="center"/>
      <protection locked="0"/>
    </xf>
    <xf numFmtId="0" fontId="18" fillId="0" borderId="17" xfId="0" applyNumberFormat="1" applyFont="1" applyFill="1" applyBorder="1" applyAlignment="1" applyProtection="1">
      <alignment horizontal="center" vertical="center"/>
    </xf>
    <xf numFmtId="0" fontId="18" fillId="0" borderId="31"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xf>
    <xf numFmtId="165" fontId="21" fillId="0" borderId="32" xfId="0" applyNumberFormat="1" applyFont="1" applyFill="1" applyBorder="1" applyAlignment="1" applyProtection="1">
      <alignment horizontal="center" vertical="center" wrapText="1"/>
    </xf>
    <xf numFmtId="165" fontId="21" fillId="0" borderId="47" xfId="0" applyNumberFormat="1" applyFont="1" applyFill="1" applyBorder="1" applyAlignment="1" applyProtection="1">
      <alignment horizontal="center" vertical="center" wrapText="1"/>
    </xf>
    <xf numFmtId="165" fontId="21" fillId="0" borderId="33" xfId="0" applyNumberFormat="1" applyFont="1" applyFill="1" applyBorder="1" applyAlignment="1" applyProtection="1">
      <alignment horizontal="center" vertical="center" wrapText="1"/>
    </xf>
    <xf numFmtId="165" fontId="21" fillId="0" borderId="30" xfId="0" applyNumberFormat="1" applyFont="1" applyFill="1" applyBorder="1" applyAlignment="1" applyProtection="1">
      <alignment horizontal="center" vertical="center" wrapText="1"/>
    </xf>
    <xf numFmtId="165" fontId="21" fillId="0" borderId="0" xfId="0" applyNumberFormat="1" applyFont="1" applyFill="1" applyBorder="1" applyAlignment="1" applyProtection="1">
      <alignment horizontal="center" vertical="center" wrapText="1"/>
    </xf>
    <xf numFmtId="165" fontId="21" fillId="0" borderId="34" xfId="0" applyNumberFormat="1" applyFont="1" applyFill="1" applyBorder="1" applyAlignment="1" applyProtection="1">
      <alignment horizontal="center" vertical="center" wrapText="1"/>
    </xf>
    <xf numFmtId="165" fontId="19" fillId="0" borderId="0" xfId="0" applyNumberFormat="1" applyFont="1" applyFill="1" applyBorder="1" applyAlignment="1" applyProtection="1">
      <alignment horizontal="center" vertical="center" wrapText="1"/>
    </xf>
    <xf numFmtId="165" fontId="19" fillId="0" borderId="34" xfId="0" applyNumberFormat="1" applyFont="1" applyFill="1" applyBorder="1" applyAlignment="1" applyProtection="1">
      <alignment horizontal="center" vertical="center" wrapText="1"/>
    </xf>
    <xf numFmtId="165" fontId="21" fillId="0" borderId="35" xfId="0" applyNumberFormat="1" applyFont="1" applyFill="1" applyBorder="1" applyAlignment="1" applyProtection="1">
      <alignment horizontal="center" vertical="center" wrapText="1"/>
    </xf>
    <xf numFmtId="165" fontId="21" fillId="0" borderId="10" xfId="0" applyNumberFormat="1" applyFont="1" applyFill="1" applyBorder="1" applyAlignment="1" applyProtection="1">
      <alignment horizontal="center" vertical="center" wrapText="1"/>
    </xf>
    <xf numFmtId="165" fontId="21" fillId="0" borderId="36" xfId="0" applyNumberFormat="1" applyFont="1" applyFill="1" applyBorder="1" applyAlignment="1" applyProtection="1">
      <alignment horizontal="center" vertical="center" wrapText="1"/>
    </xf>
    <xf numFmtId="0" fontId="20" fillId="0" borderId="17" xfId="0" applyNumberFormat="1" applyFont="1" applyBorder="1" applyAlignment="1" applyProtection="1">
      <alignment horizontal="center"/>
    </xf>
    <xf numFmtId="0" fontId="20" fillId="0" borderId="31" xfId="0" applyNumberFormat="1" applyFont="1" applyBorder="1" applyAlignment="1" applyProtection="1">
      <alignment horizontal="center"/>
    </xf>
    <xf numFmtId="0" fontId="20" fillId="0" borderId="13" xfId="0" applyNumberFormat="1" applyFont="1" applyBorder="1" applyAlignment="1" applyProtection="1">
      <alignment horizontal="center"/>
    </xf>
    <xf numFmtId="165" fontId="21" fillId="0" borderId="37" xfId="0" applyNumberFormat="1" applyFont="1" applyFill="1" applyBorder="1" applyAlignment="1" applyProtection="1">
      <alignment horizontal="center" vertical="center" wrapText="1"/>
    </xf>
    <xf numFmtId="165" fontId="21" fillId="0" borderId="15" xfId="0" applyNumberFormat="1" applyFont="1" applyFill="1" applyBorder="1" applyAlignment="1" applyProtection="1">
      <alignment horizontal="center" vertical="center" wrapText="1"/>
    </xf>
    <xf numFmtId="165" fontId="21" fillId="0" borderId="38" xfId="0" applyNumberFormat="1" applyFont="1" applyFill="1" applyBorder="1" applyAlignment="1" applyProtection="1">
      <alignment horizontal="center" vertical="center" wrapText="1"/>
    </xf>
    <xf numFmtId="165" fontId="21" fillId="0" borderId="75" xfId="0" applyNumberFormat="1" applyFont="1" applyFill="1" applyBorder="1" applyAlignment="1" applyProtection="1">
      <alignment horizontal="center" vertical="center" wrapText="1"/>
    </xf>
    <xf numFmtId="165" fontId="40" fillId="0" borderId="30" xfId="0" applyNumberFormat="1" applyFont="1" applyFill="1" applyBorder="1" applyAlignment="1" applyProtection="1">
      <alignment horizontal="center" vertical="center" wrapText="1"/>
    </xf>
    <xf numFmtId="165" fontId="41" fillId="0" borderId="0" xfId="0" applyNumberFormat="1" applyFont="1" applyFill="1" applyBorder="1" applyAlignment="1" applyProtection="1">
      <alignment horizontal="center" vertical="center" wrapText="1"/>
    </xf>
    <xf numFmtId="165" fontId="41" fillId="0" borderId="34" xfId="0" applyNumberFormat="1" applyFont="1" applyFill="1" applyBorder="1" applyAlignment="1" applyProtection="1">
      <alignment horizontal="center" vertical="center" wrapText="1"/>
    </xf>
    <xf numFmtId="0" fontId="38" fillId="0" borderId="32" xfId="0" applyFont="1" applyFill="1" applyBorder="1" applyAlignment="1" applyProtection="1">
      <alignment horizontal="left" vertical="center"/>
    </xf>
    <xf numFmtId="0" fontId="38" fillId="0" borderId="47" xfId="0" applyFont="1" applyFill="1" applyBorder="1" applyAlignment="1" applyProtection="1">
      <alignment horizontal="left" vertical="center"/>
    </xf>
    <xf numFmtId="0" fontId="21" fillId="0" borderId="3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7" fillId="0" borderId="0" xfId="0" applyFont="1" applyAlignment="1" applyProtection="1">
      <alignment horizontal="left" vertical="top" wrapText="1"/>
    </xf>
    <xf numFmtId="0" fontId="9" fillId="27" borderId="0" xfId="0" applyFont="1" applyFill="1" applyBorder="1" applyAlignment="1" applyProtection="1">
      <alignment horizontal="left" vertical="top" wrapText="1"/>
    </xf>
    <xf numFmtId="0" fontId="21" fillId="0" borderId="3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36" xfId="0" applyFont="1" applyBorder="1" applyAlignment="1" applyProtection="1">
      <alignment horizontal="center" vertical="center" wrapText="1"/>
    </xf>
    <xf numFmtId="0" fontId="38" fillId="0" borderId="32" xfId="0" applyFont="1" applyBorder="1" applyAlignment="1" applyProtection="1">
      <alignment horizontal="left" vertical="center" wrapText="1"/>
    </xf>
    <xf numFmtId="0" fontId="38" fillId="0" borderId="9"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10" fillId="0" borderId="0" xfId="0" applyFont="1" applyAlignment="1" applyProtection="1">
      <alignment horizontal="left" vertical="top" wrapText="1"/>
    </xf>
    <xf numFmtId="0" fontId="52" fillId="0" borderId="0" xfId="0" applyFont="1" applyAlignment="1" applyProtection="1">
      <alignment horizontal="left" vertical="top" wrapText="1"/>
    </xf>
    <xf numFmtId="177" fontId="10" fillId="28" borderId="4" xfId="69" applyNumberFormat="1" applyFont="1" applyFill="1" applyBorder="1" applyAlignment="1" applyProtection="1">
      <alignment horizontal="center" vertical="center" wrapText="1"/>
    </xf>
    <xf numFmtId="177" fontId="10" fillId="28" borderId="4" xfId="69" applyNumberFormat="1" applyFont="1" applyFill="1" applyBorder="1" applyAlignment="1" applyProtection="1">
      <alignment horizontal="center" vertical="center"/>
    </xf>
    <xf numFmtId="0" fontId="10" fillId="28" borderId="4" xfId="69" applyFont="1" applyFill="1" applyBorder="1" applyAlignment="1" applyProtection="1">
      <alignment horizontal="center" vertical="center"/>
    </xf>
    <xf numFmtId="0" fontId="10" fillId="0" borderId="4" xfId="69" applyFont="1" applyBorder="1" applyAlignment="1" applyProtection="1">
      <alignment horizontal="center" vertical="center" wrapText="1"/>
    </xf>
    <xf numFmtId="0" fontId="10" fillId="0" borderId="4" xfId="69" applyFont="1" applyBorder="1" applyAlignment="1" applyProtection="1">
      <alignment horizontal="center" vertical="center"/>
    </xf>
    <xf numFmtId="10" fontId="10" fillId="28" borderId="4" xfId="69" applyNumberFormat="1" applyFont="1" applyFill="1" applyBorder="1" applyAlignment="1" applyProtection="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xf>
    <xf numFmtId="177" fontId="10" fillId="65" borderId="4" xfId="69" applyNumberFormat="1"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43" fillId="28" borderId="42" xfId="0" applyFont="1" applyFill="1" applyBorder="1" applyAlignment="1" applyProtection="1">
      <alignment horizontal="center" vertical="center" wrapText="1"/>
    </xf>
    <xf numFmtId="0" fontId="43" fillId="0" borderId="43" xfId="0" applyFont="1" applyBorder="1" applyAlignment="1" applyProtection="1">
      <alignment wrapText="1"/>
    </xf>
    <xf numFmtId="0" fontId="10" fillId="28" borderId="4" xfId="69" applyNumberFormat="1" applyFont="1" applyFill="1" applyBorder="1" applyAlignment="1" applyProtection="1">
      <alignment horizontal="center" vertical="center" wrapText="1"/>
    </xf>
    <xf numFmtId="0" fontId="7"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0" fillId="28" borderId="4" xfId="0" applyFont="1" applyFill="1" applyBorder="1" applyAlignment="1" applyProtection="1">
      <alignment horizontal="right" vertical="center" wrapText="1" indent="1"/>
    </xf>
    <xf numFmtId="0" fontId="10" fillId="65" borderId="4" xfId="0" applyFont="1" applyFill="1" applyBorder="1" applyAlignment="1" applyProtection="1">
      <alignment horizontal="right" vertical="center" wrapText="1" indent="1"/>
    </xf>
    <xf numFmtId="0" fontId="7" fillId="0" borderId="4" xfId="0" applyFont="1" applyBorder="1" applyAlignment="1" applyProtection="1">
      <alignment horizontal="right" vertical="center" wrapText="1" indent="1"/>
    </xf>
    <xf numFmtId="0" fontId="10" fillId="0" borderId="4" xfId="0" applyFont="1" applyBorder="1" applyAlignment="1" applyProtection="1">
      <alignment horizontal="right" vertical="center" wrapText="1" indent="1"/>
    </xf>
    <xf numFmtId="0" fontId="2" fillId="30" borderId="78" xfId="255" applyFill="1" applyBorder="1" applyAlignment="1" applyProtection="1">
      <alignment horizontal="center"/>
      <protection locked="0"/>
    </xf>
    <xf numFmtId="0" fontId="2" fillId="30" borderId="85" xfId="255" applyFill="1" applyBorder="1" applyAlignment="1" applyProtection="1">
      <alignment horizontal="center"/>
      <protection locked="0"/>
    </xf>
    <xf numFmtId="0" fontId="2" fillId="30" borderId="79" xfId="255" applyFill="1" applyBorder="1" applyAlignment="1" applyProtection="1">
      <alignment horizontal="center"/>
      <protection locked="0"/>
    </xf>
    <xf numFmtId="0" fontId="45" fillId="0" borderId="0" xfId="255" applyFont="1" applyAlignment="1" applyProtection="1">
      <alignment horizontal="left" wrapText="1"/>
    </xf>
    <xf numFmtId="0" fontId="2" fillId="0" borderId="0" xfId="255" applyAlignment="1" applyProtection="1">
      <alignment wrapText="1"/>
    </xf>
    <xf numFmtId="0" fontId="45" fillId="0" borderId="80" xfId="255" applyFont="1" applyFill="1" applyBorder="1" applyAlignment="1" applyProtection="1">
      <alignment horizontal="left" vertical="center" wrapText="1" indent="1"/>
    </xf>
    <xf numFmtId="0" fontId="45" fillId="0" borderId="0" xfId="255" applyFont="1" applyFill="1" applyBorder="1" applyAlignment="1" applyProtection="1">
      <alignment horizontal="left" vertical="center" wrapText="1" indent="1"/>
    </xf>
    <xf numFmtId="0" fontId="45" fillId="0" borderId="0" xfId="255" applyFont="1" applyAlignment="1" applyProtection="1">
      <alignment horizontal="left"/>
    </xf>
    <xf numFmtId="0" fontId="45" fillId="0" borderId="77" xfId="255" applyFont="1" applyBorder="1" applyAlignment="1" applyProtection="1">
      <alignment horizontal="left" wrapText="1"/>
    </xf>
    <xf numFmtId="0" fontId="45" fillId="0" borderId="0" xfId="255" applyFont="1" applyBorder="1" applyAlignment="1" applyProtection="1">
      <alignment horizontal="left" wrapText="1"/>
    </xf>
    <xf numFmtId="0" fontId="10" fillId="28" borderId="42" xfId="69" applyFont="1" applyFill="1" applyBorder="1" applyAlignment="1" applyProtection="1">
      <alignment horizontal="center" vertical="center" wrapText="1"/>
    </xf>
    <xf numFmtId="0" fontId="10" fillId="28" borderId="43" xfId="69" applyFont="1" applyFill="1" applyBorder="1" applyAlignment="1" applyProtection="1">
      <alignment horizontal="center" vertical="center" wrapText="1"/>
    </xf>
    <xf numFmtId="0" fontId="10" fillId="28" borderId="4" xfId="69" applyFont="1" applyFill="1" applyBorder="1" applyAlignment="1" applyProtection="1">
      <alignment horizontal="center" vertical="center" wrapText="1"/>
    </xf>
    <xf numFmtId="0" fontId="10" fillId="65" borderId="4" xfId="69" applyFont="1" applyFill="1" applyBorder="1" applyAlignment="1" applyProtection="1">
      <alignment horizontal="center" vertical="center" wrapText="1"/>
    </xf>
    <xf numFmtId="0" fontId="10" fillId="65" borderId="4" xfId="69" applyFont="1" applyFill="1" applyBorder="1" applyAlignment="1" applyProtection="1">
      <alignment horizontal="center" vertical="center"/>
    </xf>
    <xf numFmtId="0" fontId="10" fillId="65" borderId="42" xfId="69" applyFont="1" applyFill="1" applyBorder="1" applyAlignment="1" applyProtection="1">
      <alignment horizontal="center" vertical="center" wrapText="1"/>
    </xf>
    <xf numFmtId="0" fontId="10" fillId="65" borderId="43" xfId="69" applyFont="1" applyFill="1" applyBorder="1" applyAlignment="1" applyProtection="1">
      <alignment horizontal="center" vertical="center" wrapText="1"/>
    </xf>
    <xf numFmtId="165" fontId="21" fillId="0" borderId="4" xfId="0" applyNumberFormat="1" applyFont="1" applyBorder="1" applyAlignment="1" applyProtection="1">
      <alignment horizontal="center" vertical="center" wrapText="1"/>
    </xf>
    <xf numFmtId="165" fontId="19" fillId="0" borderId="4" xfId="0" applyNumberFormat="1" applyFont="1" applyBorder="1" applyAlignment="1" applyProtection="1">
      <alignment horizontal="center" vertical="center" wrapText="1"/>
    </xf>
  </cellXfs>
  <cellStyles count="265">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2" xfId="6" builtinId="34" customBuiltin="1"/>
    <cellStyle name="20% - Accent2 2" xfId="75"/>
    <cellStyle name="20% - Accent2 2 2" xfId="141"/>
    <cellStyle name="20% - Accent3" xfId="7" builtinId="38" customBuiltin="1"/>
    <cellStyle name="20% - Accent3 2" xfId="76"/>
    <cellStyle name="20% - Accent3 2 2" xfId="142"/>
    <cellStyle name="20% - Accent4" xfId="8" builtinId="42" customBuiltin="1"/>
    <cellStyle name="20% - Accent4 2" xfId="77"/>
    <cellStyle name="20% - Accent4 2 2" xfId="143"/>
    <cellStyle name="20% - Accent5" xfId="9" builtinId="46" customBuiltin="1"/>
    <cellStyle name="20% - Accent5 2" xfId="78"/>
    <cellStyle name="20% - Accent5 2 2" xfId="144"/>
    <cellStyle name="20% - Accent6" xfId="10" builtinId="50" customBuiltin="1"/>
    <cellStyle name="20% - Accent6 2" xfId="79"/>
    <cellStyle name="20% - Accent6 2 2" xfId="145"/>
    <cellStyle name="40% - Accent1" xfId="11" builtinId="31" customBuiltin="1"/>
    <cellStyle name="40% - Accent1 2" xfId="80"/>
    <cellStyle name="40% - Accent1 2 2" xfId="146"/>
    <cellStyle name="40% - Accent2" xfId="12" builtinId="35" customBuiltin="1"/>
    <cellStyle name="40% - Accent2 2" xfId="81"/>
    <cellStyle name="40% - Accent2 2 2" xfId="147"/>
    <cellStyle name="40% - Accent3" xfId="13" builtinId="39" customBuiltin="1"/>
    <cellStyle name="40% - Accent3 2" xfId="82"/>
    <cellStyle name="40% - Accent3 2 2" xfId="148"/>
    <cellStyle name="40% - Accent4" xfId="14" builtinId="43" customBuiltin="1"/>
    <cellStyle name="40% - Accent4 2" xfId="83"/>
    <cellStyle name="40% - Accent4 2 2" xfId="149"/>
    <cellStyle name="40% - Accent5" xfId="15" builtinId="47" customBuiltin="1"/>
    <cellStyle name="40% - Accent5 2" xfId="84"/>
    <cellStyle name="40% - Accent5 2 2" xfId="150"/>
    <cellStyle name="40% - Accent6" xfId="16" builtinId="51" customBuiltin="1"/>
    <cellStyle name="40% - Accent6 2" xfId="85"/>
    <cellStyle name="40% - Accent6 2 2" xfId="151"/>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3" xfId="102"/>
    <cellStyle name="Comma 3 2" xfId="154"/>
    <cellStyle name="Comma 32" xfId="246"/>
    <cellStyle name="Comma 33" xfId="247"/>
    <cellStyle name="Comma 34" xfId="248"/>
    <cellStyle name="Comma 35" xfId="249"/>
    <cellStyle name="Comma 36" xfId="250"/>
    <cellStyle name="Comma 4" xfId="103"/>
    <cellStyle name="Comma 5" xfId="252"/>
    <cellStyle name="Comma0" xfId="32"/>
    <cellStyle name="Currency" xfId="57" builtinId="4"/>
    <cellStyle name="Currency 2" xfId="104"/>
    <cellStyle name="Currency 3" xfId="254"/>
    <cellStyle name="Currency 4" xfId="258"/>
    <cellStyle name="Currency0" xfId="33"/>
    <cellStyle name="Date" xfId="34"/>
    <cellStyle name="Explanatory Text" xfId="35" builtinId="53" customBuiltin="1"/>
    <cellStyle name="Explanatory Text 2" xfId="105"/>
    <cellStyle name="Fixed" xfId="36"/>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4" xfId="158"/>
    <cellStyle name="Heading 3 5" xfId="134"/>
    <cellStyle name="Heading 3 6" xfId="198"/>
    <cellStyle name="Heading 3 7" xfId="157"/>
    <cellStyle name="Heading 3 8" xfId="192"/>
    <cellStyle name="Heading 4" xfId="42" builtinId="19" customBuiltin="1"/>
    <cellStyle name="Heading 4 2" xfId="110"/>
    <cellStyle name="Hyperlink 2" xfId="259"/>
    <cellStyle name="Input" xfId="43" builtinId="20" customBuiltin="1"/>
    <cellStyle name="Input [yellow]" xfId="44"/>
    <cellStyle name="Input 2" xfId="111"/>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67" xfId="260"/>
    <cellStyle name="Normal 168" xfId="261"/>
    <cellStyle name="Normal 169" xfId="262"/>
    <cellStyle name="Normal 170" xfId="263"/>
    <cellStyle name="Normal 171" xfId="264"/>
    <cellStyle name="Normal 19" xfId="201"/>
    <cellStyle name="Normal 2" xfId="59"/>
    <cellStyle name="Normal 2 2" xfId="183"/>
    <cellStyle name="Normal 2 3" xfId="137"/>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0" xfId="242"/>
    <cellStyle name="Normal 71" xfId="241"/>
    <cellStyle name="Normal_6. Cost Allocation for Def-Var" xfId="69"/>
    <cellStyle name="Normal_Sheet7" xfId="70"/>
    <cellStyle name="Note" xfId="50" builtinId="10" customBuiltin="1"/>
    <cellStyle name="Note 2" xfId="120"/>
    <cellStyle name="Note 2 2" xfId="162"/>
    <cellStyle name="Note 3" xfId="180"/>
    <cellStyle name="Note 4" xfId="135"/>
    <cellStyle name="Output" xfId="51" builtinId="21" customBuiltin="1"/>
    <cellStyle name="Output 2" xfId="121"/>
    <cellStyle name="Percent" xfId="58" builtinId="5"/>
    <cellStyle name="Percent [2]" xfId="52"/>
    <cellStyle name="Percent 10" xfId="184"/>
    <cellStyle name="Percent 11" xfId="168"/>
    <cellStyle name="Percent 12" xfId="177"/>
    <cellStyle name="Percent 13" xfId="169"/>
    <cellStyle name="Percent 14" xfId="176"/>
    <cellStyle name="Percent 15" xfId="170"/>
    <cellStyle name="Percent 16" xfId="17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5" xfId="164"/>
    <cellStyle name="Percent 50" xfId="257"/>
    <cellStyle name="Percent 6" xfId="179"/>
    <cellStyle name="Percent 7" xfId="186"/>
    <cellStyle name="Percent 8" xfId="181"/>
    <cellStyle name="Percent 9" xfId="166"/>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s>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checked="Checked" fmlaLink="CB27" lockText="1" noThreeD="1"/>
</file>

<file path=xl/ctrlProps/ctrlProp2.xml><?xml version="1.0" encoding="utf-8"?>
<formControlPr xmlns="http://schemas.microsoft.com/office/spreadsheetml/2009/9/main" objectType="CheckBox" checked="Checked" fmlaLink="CB28" lockText="1" noThreeD="1"/>
</file>

<file path=xl/ctrlProps/ctrlProp3.xml><?xml version="1.0" encoding="utf-8"?>
<formControlPr xmlns="http://schemas.microsoft.com/office/spreadsheetml/2009/9/main" objectType="CheckBox" checked="Checked" fmlaLink="$CB$33" lockText="1" noThreeD="1"/>
</file>

<file path=xl/ctrlProps/ctrlProp4.xml><?xml version="1.0" encoding="utf-8"?>
<formControlPr xmlns="http://schemas.microsoft.com/office/spreadsheetml/2009/9/main" objectType="CheckBox" checked="Checked" fmlaLink="CB34" lockText="1" noThreeD="1"/>
</file>

<file path=xl/ctrlProps/ctrlProp5.xml><?xml version="1.0" encoding="utf-8"?>
<formControlPr xmlns="http://schemas.microsoft.com/office/spreadsheetml/2009/9/main" objectType="CheckBox" fmlaLink="$CB$35" lockText="1" noThreeD="1"/>
</file>

<file path=xl/ctrlProps/ctrlProp6.xml><?xml version="1.0" encoding="utf-8"?>
<formControlPr xmlns="http://schemas.microsoft.com/office/spreadsheetml/2009/9/main" objectType="CheckBox" checked="Checked" fmlaLink="$CB$36" lockText="1" noThreeD="1"/>
</file>

<file path=xl/ctrlProps/ctrlProp7.xml><?xml version="1.0" encoding="utf-8"?>
<formControlPr xmlns="http://schemas.microsoft.com/office/spreadsheetml/2009/9/main" objectType="CheckBox" checked="Checked" fmlaLink="$CB$37" lockText="1" noThreeD="1"/>
</file>

<file path=xl/ctrlProps/ctrlProp8.xml><?xml version="1.0" encoding="utf-8"?>
<formControlPr xmlns="http://schemas.microsoft.com/office/spreadsheetml/2009/9/main" objectType="CheckBox" checked="Checked" fmlaLink="$CB$38" lockText="1" noThreeD="1"/>
</file>

<file path=xl/ctrlProps/ctrlProp9.xml><?xml version="1.0" encoding="utf-8"?>
<formControlPr xmlns="http://schemas.microsoft.com/office/spreadsheetml/2009/9/main" objectType="CheckBox" checked="Checked" fmlaLink="$CB$39" lockText="1" noThreeD="1"/>
</file>

<file path=xl/ctrlProps/ctrlProp10.xml><?xml version="1.0" encoding="utf-8"?>
<formControlPr xmlns="http://schemas.microsoft.com/office/spreadsheetml/2009/9/main" objectType="CheckBox" checked="Checked" fmlaLink="CB50" lockText="1" noThreeD="1"/>
</file>

<file path=xl/ctrlProps/ctrlProp11.xml><?xml version="1.0" encoding="utf-8"?>
<formControlPr xmlns="http://schemas.microsoft.com/office/spreadsheetml/2009/9/main" objectType="CheckBox" checked="Checked" fmlaLink="$CB$52" lockText="1" noThreeD="1"/>
</file>

<file path=xl/ctrlProps/ctrlProp12.xml><?xml version="1.0" encoding="utf-8"?>
<formControlPr xmlns="http://schemas.microsoft.com/office/spreadsheetml/2009/9/main" objectType="CheckBox" checked="Checked" fmlaLink="$CB$85" lockText="1" noThreeD="1"/>
</file>

<file path=xl/ctrlProps/ctrlProp13.xml><?xml version="1.0" encoding="utf-8"?>
<formControlPr xmlns="http://schemas.microsoft.com/office/spreadsheetml/2009/9/main" objectType="CheckBox" checked="Checked" fmlaLink="$CB$86" lockText="1" noThreeD="1"/>
</file>

<file path=xl/ctrlProps/ctrlProp14.xml><?xml version="1.0" encoding="utf-8"?>
<formControlPr xmlns="http://schemas.microsoft.com/office/spreadsheetml/2009/9/main" objectType="CheckBox" checked="Checked" fmlaLink="$CB$58" lockText="1" noThreeD="1"/>
</file>

<file path=xl/ctrlProps/ctrlProp15.xml><?xml version="1.0" encoding="utf-8"?>
<formControlPr xmlns="http://schemas.microsoft.com/office/spreadsheetml/2009/9/main" objectType="CheckBox" fmlaLink="CA11" lockText="1" noThreeD="1"/>
</file>

<file path=xl/ctrlProps/ctrlProp16.xml><?xml version="1.0" encoding="utf-8"?>
<formControlPr xmlns="http://schemas.microsoft.com/office/spreadsheetml/2009/9/main" objectType="CheckBox" fmlaLink="B2"/>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36</xdr:row>
      <xdr:rowOff>8266</xdr:rowOff>
    </xdr:from>
    <xdr:to>
      <xdr:col>14</xdr:col>
      <xdr:colOff>157368</xdr:colOff>
      <xdr:row>41</xdr:row>
      <xdr:rowOff>24838</xdr:rowOff>
    </xdr:to>
    <xdr:sp macro="" textlink="">
      <xdr:nvSpPr>
        <xdr:cNvPr id="6" name="Text Box 50"/>
        <xdr:cNvSpPr txBox="1">
          <a:spLocks noChangeArrowheads="1"/>
        </xdr:cNvSpPr>
      </xdr:nvSpPr>
      <xdr:spPr bwMode="auto">
        <a:xfrm>
          <a:off x="182217" y="7123441"/>
          <a:ext cx="8785776" cy="969072"/>
        </a:xfrm>
        <a:prstGeom prst="rect">
          <a:avLst/>
        </a:prstGeom>
        <a:noFill/>
        <a:ln>
          <a:noFill/>
        </a:ln>
        <a:effectLst>
          <a:softEdge rad="31750"/>
        </a:effectLst>
        <a:ex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xdr:cNvGrpSpPr/>
      </xdr:nvGrpSpPr>
      <xdr:grpSpPr>
        <a:xfrm>
          <a:off x="0" y="0"/>
          <a:ext cx="9084115" cy="1915766"/>
          <a:chOff x="0" y="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156883</xdr:colOff>
      <xdr:row>3</xdr:row>
      <xdr:rowOff>87476</xdr:rowOff>
    </xdr:from>
    <xdr:to>
      <xdr:col>5</xdr:col>
      <xdr:colOff>0</xdr:colOff>
      <xdr:row>11</xdr:row>
      <xdr:rowOff>22409</xdr:rowOff>
    </xdr:to>
    <xdr:sp macro="" textlink="">
      <xdr:nvSpPr>
        <xdr:cNvPr id="7" name="Rectangle 6"/>
        <xdr:cNvSpPr/>
      </xdr:nvSpPr>
      <xdr:spPr>
        <a:xfrm>
          <a:off x="156883" y="558123"/>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2</xdr:col>
      <xdr:colOff>2329485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71</xdr:col>
          <xdr:colOff>106680</xdr:colOff>
          <xdr:row>26</xdr:row>
          <xdr:rowOff>30480</xdr:rowOff>
        </xdr:from>
        <xdr:to>
          <xdr:col>71</xdr:col>
          <xdr:colOff>2080260</xdr:colOff>
          <xdr:row>27</xdr:row>
          <xdr:rowOff>22860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27</xdr:row>
          <xdr:rowOff>7620</xdr:rowOff>
        </xdr:from>
        <xdr:to>
          <xdr:col>71</xdr:col>
          <xdr:colOff>2080260</xdr:colOff>
          <xdr:row>28</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32</xdr:row>
          <xdr:rowOff>38100</xdr:rowOff>
        </xdr:from>
        <xdr:to>
          <xdr:col>71</xdr:col>
          <xdr:colOff>2080260</xdr:colOff>
          <xdr:row>33</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33</xdr:row>
          <xdr:rowOff>7620</xdr:rowOff>
        </xdr:from>
        <xdr:to>
          <xdr:col>71</xdr:col>
          <xdr:colOff>1737360</xdr:colOff>
          <xdr:row>34</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34</xdr:row>
          <xdr:rowOff>30480</xdr:rowOff>
        </xdr:from>
        <xdr:to>
          <xdr:col>71</xdr:col>
          <xdr:colOff>2080260</xdr:colOff>
          <xdr:row>35</xdr:row>
          <xdr:rowOff>30480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35</xdr:row>
          <xdr:rowOff>30480</xdr:rowOff>
        </xdr:from>
        <xdr:to>
          <xdr:col>71</xdr:col>
          <xdr:colOff>2080260</xdr:colOff>
          <xdr:row>36</xdr:row>
          <xdr:rowOff>30480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36</xdr:row>
          <xdr:rowOff>30480</xdr:rowOff>
        </xdr:from>
        <xdr:to>
          <xdr:col>71</xdr:col>
          <xdr:colOff>2080260</xdr:colOff>
          <xdr:row>37</xdr:row>
          <xdr:rowOff>30480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37</xdr:row>
          <xdr:rowOff>30480</xdr:rowOff>
        </xdr:from>
        <xdr:to>
          <xdr:col>71</xdr:col>
          <xdr:colOff>2080260</xdr:colOff>
          <xdr:row>38</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38</xdr:row>
          <xdr:rowOff>30480</xdr:rowOff>
        </xdr:from>
        <xdr:to>
          <xdr:col>71</xdr:col>
          <xdr:colOff>2080260</xdr:colOff>
          <xdr:row>39</xdr:row>
          <xdr:rowOff>22860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49</xdr:row>
          <xdr:rowOff>30480</xdr:rowOff>
        </xdr:from>
        <xdr:to>
          <xdr:col>71</xdr:col>
          <xdr:colOff>2080260</xdr:colOff>
          <xdr:row>50</xdr:row>
          <xdr:rowOff>30480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50</xdr:row>
          <xdr:rowOff>182880</xdr:rowOff>
        </xdr:from>
        <xdr:to>
          <xdr:col>71</xdr:col>
          <xdr:colOff>2080260</xdr:colOff>
          <xdr:row>52</xdr:row>
          <xdr:rowOff>22860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83</xdr:row>
          <xdr:rowOff>182880</xdr:rowOff>
        </xdr:from>
        <xdr:to>
          <xdr:col>71</xdr:col>
          <xdr:colOff>2080260</xdr:colOff>
          <xdr:row>84</xdr:row>
          <xdr:rowOff>220980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85</xdr:row>
          <xdr:rowOff>0</xdr:rowOff>
        </xdr:from>
        <xdr:to>
          <xdr:col>71</xdr:col>
          <xdr:colOff>2080260</xdr:colOff>
          <xdr:row>86</xdr:row>
          <xdr:rowOff>7620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56</xdr:row>
          <xdr:rowOff>182880</xdr:rowOff>
        </xdr:from>
        <xdr:to>
          <xdr:col>71</xdr:col>
          <xdr:colOff>2080260</xdr:colOff>
          <xdr:row>58</xdr:row>
          <xdr:rowOff>22860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68</xdr:col>
      <xdr:colOff>1053354</xdr:colOff>
      <xdr:row>6</xdr:row>
      <xdr:rowOff>56030</xdr:rowOff>
    </xdr:from>
    <xdr:to>
      <xdr:col>71</xdr:col>
      <xdr:colOff>1557074</xdr:colOff>
      <xdr:row>17</xdr:row>
      <xdr:rowOff>63344</xdr:rowOff>
    </xdr:to>
    <xdr:sp macro="" textlink="">
      <xdr:nvSpPr>
        <xdr:cNvPr id="21" name="Rounded Rectangle 20"/>
        <xdr:cNvSpPr/>
      </xdr:nvSpPr>
      <xdr:spPr>
        <a:xfrm>
          <a:off x="78004148" y="997324"/>
          <a:ext cx="5882544" cy="17330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a:t>
          </a:r>
          <a:r>
            <a:rPr lang="en-CA" sz="1200" baseline="0">
              <a:solidFill>
                <a:schemeClr val="tx1"/>
              </a:solidFill>
              <a:latin typeface="Arial" pitchFamily="34" charset="0"/>
              <a:cs typeface="Arial" pitchFamily="34" charset="0"/>
            </a:rPr>
            <a:t> have a Class A customer, </a:t>
          </a:r>
          <a:r>
            <a:rPr lang="en-CA" sz="1200">
              <a:solidFill>
                <a:schemeClr val="tx1"/>
              </a:solidFill>
              <a:latin typeface="Arial" pitchFamily="34" charset="0"/>
              <a:cs typeface="Arial" pitchFamily="34" charset="0"/>
            </a:rPr>
            <a:t>1580 </a:t>
          </a:r>
          <a:r>
            <a:rPr lang="en-CA" sz="1200" baseline="0">
              <a:solidFill>
                <a:schemeClr val="tx1"/>
              </a:solidFill>
              <a:latin typeface="Arial" pitchFamily="34" charset="0"/>
              <a:cs typeface="Arial" pitchFamily="34" charset="0"/>
            </a:rPr>
            <a:t>Sub-account CBR Class B should be disposed through a rate rider calculated outside the model (if significant).</a:t>
          </a:r>
        </a:p>
        <a:p>
          <a:pPr algn="l"/>
          <a:endParaRPr lang="en-CA" sz="1200" baseline="0">
            <a:solidFill>
              <a:schemeClr val="tx1"/>
            </a:solidFill>
            <a:latin typeface="Arial" pitchFamily="34" charset="0"/>
            <a:cs typeface="Arial" pitchFamily="34" charset="0"/>
          </a:endParaRPr>
        </a:p>
        <a:p>
          <a:pPr algn="l"/>
          <a:r>
            <a:rPr lang="en-CA" sz="1200" baseline="0">
              <a:solidFill>
                <a:schemeClr val="tx1"/>
              </a:solidFill>
              <a:latin typeface="Arial" pitchFamily="34" charset="0"/>
              <a:cs typeface="Arial" pitchFamily="34" charset="0"/>
            </a:rPr>
            <a:t>If you have only Class B customers, the balance applicable to Class B will be allocated and disposed with Account 1580 when the check box below is left unchecked  See note 10 below.</a:t>
          </a:r>
          <a:endParaRPr lang="en-CA" sz="1200">
            <a:solidFill>
              <a:schemeClr val="tx1"/>
            </a:solidFill>
            <a:latin typeface="Arial" pitchFamily="34" charset="0"/>
            <a:cs typeface="Arial" pitchFamily="34" charset="0"/>
          </a:endParaRP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Please click if you have one or more Class A customers.</a:t>
          </a:r>
          <a:endParaRPr lang="en-CA" sz="1200" baseline="0">
            <a:solidFill>
              <a:schemeClr val="tx1"/>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71</xdr:col>
          <xdr:colOff>198120</xdr:colOff>
          <xdr:row>14</xdr:row>
          <xdr:rowOff>68580</xdr:rowOff>
        </xdr:from>
        <xdr:to>
          <xdr:col>71</xdr:col>
          <xdr:colOff>617220</xdr:colOff>
          <xdr:row>16</xdr:row>
          <xdr:rowOff>83820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xdr:col>
      <xdr:colOff>699135</xdr:colOff>
      <xdr:row>12</xdr:row>
      <xdr:rowOff>7620</xdr:rowOff>
    </xdr:from>
    <xdr:to>
      <xdr:col>4</xdr:col>
      <xdr:colOff>1266830</xdr:colOff>
      <xdr:row>13</xdr:row>
      <xdr:rowOff>144780</xdr:rowOff>
    </xdr:to>
    <xdr:sp macro="" textlink="#REF!">
      <xdr:nvSpPr>
        <xdr:cNvPr id="12302" name="Text Box 14"/>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0</xdr:colOff>
      <xdr:row>0</xdr:row>
      <xdr:rowOff>0</xdr:rowOff>
    </xdr:from>
    <xdr:to>
      <xdr:col>4</xdr:col>
      <xdr:colOff>647800</xdr:colOff>
      <xdr:row>13</xdr:row>
      <xdr:rowOff>68916</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420200" cy="2173941"/>
        </a:xfrm>
        <a:prstGeom prst="rect">
          <a:avLst/>
        </a:prstGeom>
        <a:ln>
          <a:noFill/>
        </a:ln>
        <a:effectLst>
          <a:softEdge rad="112500"/>
        </a:effectLst>
      </xdr:spPr>
    </xdr:pic>
    <xdr:clientData/>
  </xdr:twoCellAnchor>
  <xdr:twoCellAnchor>
    <xdr:from>
      <xdr:col>0</xdr:col>
      <xdr:colOff>156883</xdr:colOff>
      <xdr:row>3</xdr:row>
      <xdr:rowOff>27525</xdr:rowOff>
    </xdr:from>
    <xdr:to>
      <xdr:col>4</xdr:col>
      <xdr:colOff>508747</xdr:colOff>
      <xdr:row>10</xdr:row>
      <xdr:rowOff>84042</xdr:rowOff>
    </xdr:to>
    <xdr:sp macro="" textlink="">
      <xdr:nvSpPr>
        <xdr:cNvPr id="8" name="Rectangle 7"/>
        <xdr:cNvSpPr/>
      </xdr:nvSpPr>
      <xdr:spPr>
        <a:xfrm>
          <a:off x="156883" y="513300"/>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0</xdr:row>
      <xdr:rowOff>138609</xdr:rowOff>
    </xdr:from>
    <xdr:to>
      <xdr:col>1</xdr:col>
      <xdr:colOff>195056</xdr:colOff>
      <xdr:row>3</xdr:row>
      <xdr:rowOff>20894</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38609"/>
          <a:ext cx="389282" cy="368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8</xdr:col>
      <xdr:colOff>428625</xdr:colOff>
      <xdr:row>12</xdr:row>
      <xdr:rowOff>29816</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775" y="5715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1</xdr:col>
      <xdr:colOff>2519985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10</xdr:col>
      <xdr:colOff>752475</xdr:colOff>
      <xdr:row>1</xdr:row>
      <xdr:rowOff>76200</xdr:rowOff>
    </xdr:from>
    <xdr:to>
      <xdr:col>16</xdr:col>
      <xdr:colOff>76200</xdr:colOff>
      <xdr:row>14</xdr:row>
      <xdr:rowOff>13448</xdr:rowOff>
    </xdr:to>
    <xdr:sp macro="" textlink="">
      <xdr:nvSpPr>
        <xdr:cNvPr id="10" name="Rounded Rectangle 9"/>
        <xdr:cNvSpPr/>
      </xdr:nvSpPr>
      <xdr:spPr>
        <a:xfrm>
          <a:off x="12753975" y="238125"/>
          <a:ext cx="4010025" cy="179462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100" baseline="0">
              <a:solidFill>
                <a:schemeClr val="tx1"/>
              </a:solidFill>
              <a:latin typeface="Arial" pitchFamily="34" charset="0"/>
              <a:cs typeface="Arial" pitchFamily="34" charset="0"/>
            </a:rPr>
            <a:t>If a Class B customer switched into Class A during the 2015 rate year, click  this check box: </a:t>
          </a:r>
        </a:p>
        <a:p>
          <a:pPr algn="l"/>
          <a:endParaRPr lang="en-CA" sz="1100" baseline="0">
            <a:solidFill>
              <a:schemeClr val="tx1"/>
            </a:solidFill>
            <a:latin typeface="Arial" pitchFamily="34" charset="0"/>
            <a:cs typeface="Arial" pitchFamily="34" charset="0"/>
          </a:endParaRPr>
        </a:p>
        <a:p>
          <a:pPr algn="l"/>
          <a:r>
            <a:rPr lang="en-CA" sz="1100" baseline="0">
              <a:solidFill>
                <a:schemeClr val="tx1"/>
              </a:solidFill>
              <a:latin typeface="Arial" pitchFamily="34" charset="0"/>
              <a:cs typeface="Arial" pitchFamily="34" charset="0"/>
            </a:rPr>
            <a:t>Identify the total consumption for former Class B customers prior to becoming Class A customers (i.e. Jan 1. to June 30, 2015) in column Q. </a:t>
          </a:r>
        </a:p>
      </xdr:txBody>
    </xdr:sp>
    <xdr:clientData/>
  </xdr:twoCellAnchor>
  <mc:AlternateContent xmlns:mc="http://schemas.openxmlformats.org/markup-compatibility/2006">
    <mc:Choice xmlns:a14="http://schemas.microsoft.com/office/drawing/2010/main" Requires="a14">
      <xdr:twoCellAnchor editAs="oneCell">
        <xdr:from>
          <xdr:col>12</xdr:col>
          <xdr:colOff>845820</xdr:colOff>
          <xdr:row>3</xdr:row>
          <xdr:rowOff>45720</xdr:rowOff>
        </xdr:from>
        <xdr:to>
          <xdr:col>18</xdr:col>
          <xdr:colOff>419100</xdr:colOff>
          <xdr:row>4</xdr:row>
          <xdr:rowOff>76200</xdr:rowOff>
        </xdr:to>
        <xdr:sp macro="" textlink="">
          <xdr:nvSpPr>
            <xdr:cNvPr id="4097" name="Check Box 1" descr="Wording Will be Provided"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74123</xdr:rowOff>
    </xdr:from>
    <xdr:to>
      <xdr:col>8</xdr:col>
      <xdr:colOff>1759178</xdr:colOff>
      <xdr:row>12</xdr:row>
      <xdr:rowOff>179917</xdr:rowOff>
    </xdr:to>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74123"/>
          <a:ext cx="8924095" cy="2391794"/>
        </a:xfrm>
        <a:prstGeom prst="rect">
          <a:avLst/>
        </a:prstGeom>
        <a:ln>
          <a:noFill/>
        </a:ln>
        <a:effectLst>
          <a:softEdge rad="112500"/>
        </a:effectLst>
      </xdr:spPr>
    </xdr:pic>
    <xdr:clientData/>
  </xdr:twoCellAnchor>
  <xdr:twoCellAnchor>
    <xdr:from>
      <xdr:col>0</xdr:col>
      <xdr:colOff>232826</xdr:colOff>
      <xdr:row>4</xdr:row>
      <xdr:rowOff>56540</xdr:rowOff>
    </xdr:from>
    <xdr:to>
      <xdr:col>8</xdr:col>
      <xdr:colOff>1482079</xdr:colOff>
      <xdr:row>7</xdr:row>
      <xdr:rowOff>31669</xdr:rowOff>
    </xdr:to>
    <xdr:sp macro="" textlink="">
      <xdr:nvSpPr>
        <xdr:cNvPr id="9" name="Rectangle 8"/>
        <xdr:cNvSpPr/>
      </xdr:nvSpPr>
      <xdr:spPr>
        <a:xfrm>
          <a:off x="232826" y="818540"/>
          <a:ext cx="84141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641986</xdr:colOff>
      <xdr:row>1</xdr:row>
      <xdr:rowOff>84700</xdr:rowOff>
    </xdr:from>
    <xdr:to>
      <xdr:col>0</xdr:col>
      <xdr:colOff>3225200</xdr:colOff>
      <xdr:row>3</xdr:row>
      <xdr:rowOff>39950</xdr:rowOff>
    </xdr:to>
    <xdr:sp macro="" textlink="">
      <xdr:nvSpPr>
        <xdr:cNvPr id="10" name="Rectangle 9"/>
        <xdr:cNvSpPr/>
      </xdr:nvSpPr>
      <xdr:spPr>
        <a:xfrm>
          <a:off x="641986" y="275200"/>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285741</xdr:colOff>
      <xdr:row>1</xdr:row>
      <xdr:rowOff>95283</xdr:rowOff>
    </xdr:from>
    <xdr:to>
      <xdr:col>0</xdr:col>
      <xdr:colOff>675023</xdr:colOff>
      <xdr:row>3</xdr:row>
      <xdr:rowOff>92428</xdr:rowOff>
    </xdr:to>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85741" y="285783"/>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8</xdr:col>
      <xdr:colOff>75370</xdr:colOff>
      <xdr:row>11</xdr:row>
      <xdr:rowOff>134591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50" y="0"/>
          <a:ext cx="8857420" cy="1915766"/>
        </a:xfrm>
        <a:prstGeom prst="rect">
          <a:avLst/>
        </a:prstGeom>
        <a:ln>
          <a:noFill/>
        </a:ln>
        <a:effectLst>
          <a:softEdge rad="112500"/>
        </a:effectLst>
      </xdr:spPr>
    </xdr:pic>
    <xdr:clientData/>
  </xdr:twoCellAnchor>
  <xdr:twoCellAnchor>
    <xdr:from>
      <xdr:col>0</xdr:col>
      <xdr:colOff>156261</xdr:colOff>
      <xdr:row>4</xdr:row>
      <xdr:rowOff>53861</xdr:rowOff>
    </xdr:from>
    <xdr:to>
      <xdr:col>7</xdr:col>
      <xdr:colOff>674206</xdr:colOff>
      <xdr:row>7</xdr:row>
      <xdr:rowOff>114715</xdr:rowOff>
    </xdr:to>
    <xdr:sp macro="" textlink="">
      <xdr:nvSpPr>
        <xdr:cNvPr id="7" name="Rectangle 6"/>
        <xdr:cNvSpPr/>
      </xdr:nvSpPr>
      <xdr:spPr>
        <a:xfrm>
          <a:off x="15626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123</xdr:row>
      <xdr:rowOff>628650</xdr:rowOff>
    </xdr:from>
    <xdr:to>
      <xdr:col>13</xdr:col>
      <xdr:colOff>85725</xdr:colOff>
      <xdr:row>129</xdr:row>
      <xdr:rowOff>104775</xdr:rowOff>
    </xdr:to>
    <xdr:sp macro="" textlink="">
      <xdr:nvSpPr>
        <xdr:cNvPr id="2" name="TextBox 1"/>
        <xdr:cNvSpPr txBox="1"/>
      </xdr:nvSpPr>
      <xdr:spPr>
        <a:xfrm>
          <a:off x="9534525" y="17306925"/>
          <a:ext cx="4000500" cy="981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151</xdr:row>
      <xdr:rowOff>209550</xdr:rowOff>
    </xdr:from>
    <xdr:to>
      <xdr:col>13</xdr:col>
      <xdr:colOff>180975</xdr:colOff>
      <xdr:row>158</xdr:row>
      <xdr:rowOff>142875</xdr:rowOff>
    </xdr:to>
    <xdr:sp macro="" textlink="">
      <xdr:nvSpPr>
        <xdr:cNvPr id="10" name="TextBox 9"/>
        <xdr:cNvSpPr txBox="1"/>
      </xdr:nvSpPr>
      <xdr:spPr>
        <a:xfrm>
          <a:off x="9629775" y="22088475"/>
          <a:ext cx="400050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7</xdr:col>
      <xdr:colOff>409575</xdr:colOff>
      <xdr:row>72</xdr:row>
      <xdr:rowOff>19051</xdr:rowOff>
    </xdr:from>
    <xdr:to>
      <xdr:col>10</xdr:col>
      <xdr:colOff>342900</xdr:colOff>
      <xdr:row>76</xdr:row>
      <xdr:rowOff>1</xdr:rowOff>
    </xdr:to>
    <xdr:sp macro="" textlink="">
      <xdr:nvSpPr>
        <xdr:cNvPr id="11" name="TextBox 10"/>
        <xdr:cNvSpPr txBox="1"/>
      </xdr:nvSpPr>
      <xdr:spPr>
        <a:xfrm>
          <a:off x="8458200" y="12744451"/>
          <a:ext cx="350520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min\InnPower\OEB\2016%20Filings\2017%20COS\Interrogatory%20Responses\DVA\IRM_V11_NEW_GA_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75"/>
  <sheetViews>
    <sheetView showGridLines="0" topLeftCell="A22" zoomScaleNormal="100" workbookViewId="0">
      <selection activeCell="M28" sqref="M28"/>
    </sheetView>
  </sheetViews>
  <sheetFormatPr defaultColWidth="9.109375" defaultRowHeight="14.4" x14ac:dyDescent="0.3"/>
  <cols>
    <col min="1" max="1" width="13.33203125" style="19" customWidth="1"/>
    <col min="2" max="4" width="9.109375" style="19"/>
    <col min="5" max="5" width="9.109375" style="19" customWidth="1"/>
    <col min="6" max="21" width="9.109375" style="19"/>
    <col min="22" max="22" width="54.109375" style="19" hidden="1" customWidth="1"/>
    <col min="23" max="16384" width="9.109375" style="19"/>
  </cols>
  <sheetData>
    <row r="1" spans="2:22" ht="15" x14ac:dyDescent="0.3">
      <c r="V1" s="127" t="s">
        <v>101</v>
      </c>
    </row>
    <row r="2" spans="2:22" ht="15" x14ac:dyDescent="0.3">
      <c r="V2" s="127" t="s">
        <v>102</v>
      </c>
    </row>
    <row r="3" spans="2:22" ht="15" x14ac:dyDescent="0.3">
      <c r="V3" s="127" t="s">
        <v>193</v>
      </c>
    </row>
    <row r="4" spans="2:22" ht="15" x14ac:dyDescent="0.3">
      <c r="V4" s="127" t="s">
        <v>103</v>
      </c>
    </row>
    <row r="5" spans="2:22" ht="15" x14ac:dyDescent="0.3">
      <c r="V5" s="127" t="s">
        <v>104</v>
      </c>
    </row>
    <row r="6" spans="2:22" ht="15" x14ac:dyDescent="0.3">
      <c r="V6" s="127" t="s">
        <v>105</v>
      </c>
    </row>
    <row r="7" spans="2:22" ht="15" x14ac:dyDescent="0.3">
      <c r="V7" s="127" t="s">
        <v>106</v>
      </c>
    </row>
    <row r="8" spans="2:22" ht="15" x14ac:dyDescent="0.3">
      <c r="V8" s="127" t="s">
        <v>107</v>
      </c>
    </row>
    <row r="9" spans="2:22" ht="15" x14ac:dyDescent="0.3">
      <c r="V9" s="127" t="s">
        <v>108</v>
      </c>
    </row>
    <row r="10" spans="2:22" ht="15" x14ac:dyDescent="0.3">
      <c r="V10" s="127" t="s">
        <v>194</v>
      </c>
    </row>
    <row r="11" spans="2:22" ht="15" x14ac:dyDescent="0.3">
      <c r="G11" s="20"/>
      <c r="V11" s="127" t="s">
        <v>109</v>
      </c>
    </row>
    <row r="12" spans="2:22" ht="15" x14ac:dyDescent="0.3">
      <c r="B12" s="21"/>
      <c r="C12" s="21"/>
      <c r="D12" s="21"/>
      <c r="E12" s="21"/>
      <c r="F12" s="21"/>
      <c r="G12" s="20"/>
      <c r="M12" s="22" t="s">
        <v>49</v>
      </c>
      <c r="N12" s="23">
        <v>2.8</v>
      </c>
      <c r="V12" s="127" t="s">
        <v>110</v>
      </c>
    </row>
    <row r="13" spans="2:22" ht="15.6" thickBot="1" x14ac:dyDescent="0.35">
      <c r="G13" s="20"/>
      <c r="V13" s="127" t="s">
        <v>333</v>
      </c>
    </row>
    <row r="14" spans="2:22" ht="16.2" thickTop="1" thickBot="1" x14ac:dyDescent="0.35">
      <c r="E14" s="24" t="s">
        <v>50</v>
      </c>
      <c r="F14" s="418" t="s">
        <v>381</v>
      </c>
      <c r="G14" s="419"/>
      <c r="H14" s="419"/>
      <c r="I14" s="419"/>
      <c r="J14" s="419"/>
      <c r="K14" s="419"/>
      <c r="L14" s="420"/>
      <c r="V14" s="127" t="s">
        <v>111</v>
      </c>
    </row>
    <row r="15" spans="2:22" ht="15.6" thickBot="1" x14ac:dyDescent="0.35">
      <c r="E15" s="25"/>
      <c r="F15" s="26"/>
      <c r="G15" s="27"/>
      <c r="H15" s="26"/>
      <c r="I15" s="26"/>
      <c r="J15" s="26"/>
      <c r="V15" s="127" t="s">
        <v>112</v>
      </c>
    </row>
    <row r="16" spans="2:22" ht="16.2" thickTop="1" thickBot="1" x14ac:dyDescent="0.35">
      <c r="E16" s="28" t="s">
        <v>51</v>
      </c>
      <c r="F16" s="421"/>
      <c r="G16" s="422"/>
      <c r="H16" s="422"/>
      <c r="I16" s="422"/>
      <c r="J16" s="423"/>
      <c r="V16" s="127" t="s">
        <v>195</v>
      </c>
    </row>
    <row r="17" spans="2:22" ht="15.6" thickBot="1" x14ac:dyDescent="0.35">
      <c r="E17" s="29"/>
      <c r="V17" s="127" t="s">
        <v>113</v>
      </c>
    </row>
    <row r="18" spans="2:22" ht="16.2" thickTop="1" thickBot="1" x14ac:dyDescent="0.35">
      <c r="E18" s="28" t="s">
        <v>52</v>
      </c>
      <c r="F18" s="424" t="s">
        <v>382</v>
      </c>
      <c r="G18" s="425"/>
      <c r="H18" s="425"/>
      <c r="I18" s="425"/>
      <c r="J18" s="426"/>
      <c r="V18" s="127" t="s">
        <v>114</v>
      </c>
    </row>
    <row r="19" spans="2:22" ht="12.75" customHeight="1" thickBot="1" x14ac:dyDescent="0.35">
      <c r="E19" s="29"/>
      <c r="V19" s="127" t="s">
        <v>115</v>
      </c>
    </row>
    <row r="20" spans="2:22" ht="16.2" thickTop="1" thickBot="1" x14ac:dyDescent="0.35">
      <c r="E20" s="28" t="s">
        <v>53</v>
      </c>
      <c r="F20" s="424" t="s">
        <v>383</v>
      </c>
      <c r="G20" s="425"/>
      <c r="H20" s="425"/>
      <c r="I20" s="425"/>
      <c r="J20" s="426"/>
      <c r="V20" s="127" t="s">
        <v>116</v>
      </c>
    </row>
    <row r="21" spans="2:22" ht="15.6" thickBot="1" x14ac:dyDescent="0.35">
      <c r="E21" s="30"/>
      <c r="F21" s="26"/>
      <c r="G21" s="27"/>
      <c r="H21" s="26"/>
      <c r="I21" s="26"/>
      <c r="J21" s="26"/>
      <c r="V21" s="127" t="s">
        <v>196</v>
      </c>
    </row>
    <row r="22" spans="2:22" ht="16.2" thickTop="1" thickBot="1" x14ac:dyDescent="0.35">
      <c r="E22" s="24" t="s">
        <v>54</v>
      </c>
      <c r="F22" s="424" t="s">
        <v>384</v>
      </c>
      <c r="G22" s="425"/>
      <c r="H22" s="425"/>
      <c r="I22" s="425"/>
      <c r="J22" s="426"/>
      <c r="V22" s="127" t="s">
        <v>117</v>
      </c>
    </row>
    <row r="23" spans="2:22" ht="15.6" thickBot="1" x14ac:dyDescent="0.35">
      <c r="E23" s="30"/>
      <c r="F23" s="26"/>
      <c r="G23" s="27"/>
      <c r="H23" s="26"/>
      <c r="I23" s="26"/>
      <c r="J23" s="26"/>
      <c r="V23" s="127" t="s">
        <v>118</v>
      </c>
    </row>
    <row r="24" spans="2:22" ht="16.2" thickTop="1" thickBot="1" x14ac:dyDescent="0.35">
      <c r="E24" s="24" t="s">
        <v>55</v>
      </c>
      <c r="F24" s="427" t="s">
        <v>385</v>
      </c>
      <c r="G24" s="428"/>
      <c r="H24" s="428"/>
      <c r="I24" s="428"/>
      <c r="J24" s="429"/>
      <c r="V24" s="127" t="s">
        <v>119</v>
      </c>
    </row>
    <row r="25" spans="2:22" ht="15" x14ac:dyDescent="0.3">
      <c r="E25" s="30"/>
      <c r="F25" s="26"/>
      <c r="G25" s="27"/>
      <c r="H25" s="26"/>
      <c r="I25" s="26"/>
      <c r="J25" s="26"/>
      <c r="V25" s="127" t="s">
        <v>120</v>
      </c>
    </row>
    <row r="26" spans="2:22" ht="15" x14ac:dyDescent="0.3">
      <c r="E26" s="24"/>
      <c r="I26" s="26"/>
      <c r="J26" s="26"/>
      <c r="V26" s="128" t="s">
        <v>121</v>
      </c>
    </row>
    <row r="27" spans="2:22" ht="15" x14ac:dyDescent="0.3">
      <c r="B27" s="417" t="s">
        <v>60</v>
      </c>
      <c r="C27" s="417"/>
      <c r="D27" s="417"/>
      <c r="E27" s="417"/>
      <c r="F27" s="417"/>
      <c r="G27" s="417"/>
      <c r="H27" s="417"/>
      <c r="I27" s="417"/>
      <c r="J27" s="417"/>
      <c r="K27" s="417"/>
      <c r="L27" s="417"/>
      <c r="M27" s="417"/>
      <c r="V27" s="127" t="s">
        <v>122</v>
      </c>
    </row>
    <row r="28" spans="2:22" ht="15" x14ac:dyDescent="0.3">
      <c r="V28" s="127" t="s">
        <v>123</v>
      </c>
    </row>
    <row r="29" spans="2:22" ht="15" x14ac:dyDescent="0.3">
      <c r="B29" s="31" t="s">
        <v>56</v>
      </c>
      <c r="C29" s="32"/>
      <c r="D29" s="32"/>
      <c r="E29" s="32"/>
      <c r="F29" s="32"/>
      <c r="G29" s="32"/>
      <c r="H29" s="32"/>
      <c r="I29" s="32"/>
      <c r="J29" s="32"/>
      <c r="K29" s="32"/>
      <c r="L29" s="32"/>
      <c r="M29" s="32"/>
      <c r="N29" s="32"/>
      <c r="V29" s="127" t="s">
        <v>124</v>
      </c>
    </row>
    <row r="30" spans="2:22" ht="15.6" thickBot="1" x14ac:dyDescent="0.35">
      <c r="B30" s="32"/>
      <c r="C30" s="32"/>
      <c r="D30" s="32"/>
      <c r="E30" s="32"/>
      <c r="F30" s="32"/>
      <c r="G30" s="32"/>
      <c r="H30" s="32"/>
      <c r="I30" s="32"/>
      <c r="J30" s="32"/>
      <c r="K30" s="32"/>
      <c r="L30" s="32"/>
      <c r="M30" s="32"/>
      <c r="N30" s="32"/>
      <c r="V30" s="127" t="s">
        <v>125</v>
      </c>
    </row>
    <row r="31" spans="2:22" ht="15.6" thickBot="1" x14ac:dyDescent="0.35">
      <c r="B31" s="33"/>
      <c r="C31" s="412" t="s">
        <v>57</v>
      </c>
      <c r="D31" s="412"/>
      <c r="E31" s="412"/>
      <c r="F31" s="412"/>
      <c r="G31" s="412"/>
      <c r="H31" s="412"/>
      <c r="I31" s="412"/>
      <c r="J31" s="412"/>
      <c r="K31" s="412"/>
      <c r="L31" s="412"/>
      <c r="M31" s="32"/>
      <c r="N31" s="32"/>
      <c r="V31" s="127" t="s">
        <v>126</v>
      </c>
    </row>
    <row r="32" spans="2:22" ht="15.6" thickBot="1" x14ac:dyDescent="0.35">
      <c r="B32" s="32"/>
      <c r="C32" s="32"/>
      <c r="D32" s="32"/>
      <c r="E32" s="32"/>
      <c r="F32" s="32"/>
      <c r="G32" s="32"/>
      <c r="H32" s="32"/>
      <c r="I32" s="32"/>
      <c r="J32" s="32"/>
      <c r="K32" s="32"/>
      <c r="L32" s="32"/>
      <c r="M32" s="32"/>
      <c r="N32" s="32"/>
      <c r="V32" s="127" t="s">
        <v>127</v>
      </c>
    </row>
    <row r="33" spans="2:22" ht="15.6" thickBot="1" x14ac:dyDescent="0.35">
      <c r="B33" s="34"/>
      <c r="C33" s="413" t="s">
        <v>58</v>
      </c>
      <c r="D33" s="414"/>
      <c r="E33" s="414"/>
      <c r="F33" s="414"/>
      <c r="G33" s="414"/>
      <c r="H33" s="414"/>
      <c r="I33" s="414"/>
      <c r="J33" s="414"/>
      <c r="K33" s="414"/>
      <c r="L33" s="414"/>
      <c r="M33" s="414"/>
      <c r="N33" s="414"/>
      <c r="V33" s="127" t="s">
        <v>128</v>
      </c>
    </row>
    <row r="34" spans="2:22" ht="15.6" thickBot="1" x14ac:dyDescent="0.35">
      <c r="B34" s="35"/>
      <c r="C34" s="32"/>
      <c r="D34" s="32"/>
      <c r="E34" s="32"/>
      <c r="F34" s="32"/>
      <c r="G34" s="32"/>
      <c r="H34" s="32"/>
      <c r="I34" s="32"/>
      <c r="J34" s="32"/>
      <c r="K34" s="32"/>
      <c r="L34" s="32"/>
      <c r="M34" s="32"/>
      <c r="N34" s="32"/>
      <c r="V34" s="127" t="s">
        <v>197</v>
      </c>
    </row>
    <row r="35" spans="2:22" ht="15.6" thickBot="1" x14ac:dyDescent="0.35">
      <c r="B35" s="36"/>
      <c r="C35" s="415" t="s">
        <v>59</v>
      </c>
      <c r="D35" s="416"/>
      <c r="E35" s="416"/>
      <c r="F35" s="416"/>
      <c r="G35" s="416"/>
      <c r="H35" s="416"/>
      <c r="I35" s="416"/>
      <c r="J35" s="416"/>
      <c r="K35" s="416"/>
      <c r="L35" s="416"/>
      <c r="M35" s="416"/>
      <c r="N35" s="32"/>
      <c r="V35" s="127" t="s">
        <v>129</v>
      </c>
    </row>
    <row r="36" spans="2:22" ht="15" x14ac:dyDescent="0.3">
      <c r="B36" s="32"/>
      <c r="C36" s="32"/>
      <c r="D36" s="32"/>
      <c r="E36" s="32"/>
      <c r="F36" s="32"/>
      <c r="G36" s="32"/>
      <c r="H36" s="32"/>
      <c r="I36" s="32"/>
      <c r="J36" s="32"/>
      <c r="K36" s="32"/>
      <c r="L36" s="32"/>
      <c r="M36" s="32"/>
      <c r="N36" s="32"/>
      <c r="V36" s="127" t="s">
        <v>198</v>
      </c>
    </row>
    <row r="37" spans="2:22" ht="15" x14ac:dyDescent="0.3">
      <c r="V37" s="127" t="s">
        <v>199</v>
      </c>
    </row>
    <row r="38" spans="2:22" ht="15" x14ac:dyDescent="0.3">
      <c r="V38" s="127" t="s">
        <v>130</v>
      </c>
    </row>
    <row r="39" spans="2:22" ht="15" x14ac:dyDescent="0.3">
      <c r="V39" s="127" t="s">
        <v>131</v>
      </c>
    </row>
    <row r="40" spans="2:22" ht="15" x14ac:dyDescent="0.3">
      <c r="V40" s="127" t="s">
        <v>132</v>
      </c>
    </row>
    <row r="41" spans="2:22" ht="15" x14ac:dyDescent="0.3">
      <c r="V41" s="127" t="s">
        <v>133</v>
      </c>
    </row>
    <row r="42" spans="2:22" ht="15" x14ac:dyDescent="0.3">
      <c r="V42" s="128" t="s">
        <v>134</v>
      </c>
    </row>
    <row r="43" spans="2:22" ht="15" x14ac:dyDescent="0.3">
      <c r="V43" s="127" t="s">
        <v>135</v>
      </c>
    </row>
    <row r="44" spans="2:22" ht="15" x14ac:dyDescent="0.3">
      <c r="V44" s="127" t="s">
        <v>136</v>
      </c>
    </row>
    <row r="45" spans="2:22" ht="15" x14ac:dyDescent="0.3">
      <c r="V45" s="127" t="s">
        <v>173</v>
      </c>
    </row>
    <row r="46" spans="2:22" ht="15" x14ac:dyDescent="0.3">
      <c r="V46" s="127" t="s">
        <v>200</v>
      </c>
    </row>
    <row r="47" spans="2:22" ht="15" x14ac:dyDescent="0.3">
      <c r="V47" s="127" t="s">
        <v>137</v>
      </c>
    </row>
    <row r="48" spans="2:22" ht="15" x14ac:dyDescent="0.3">
      <c r="V48" s="127" t="s">
        <v>138</v>
      </c>
    </row>
    <row r="49" spans="22:22" ht="15" x14ac:dyDescent="0.3">
      <c r="V49" s="127" t="s">
        <v>139</v>
      </c>
    </row>
    <row r="50" spans="22:22" ht="15" x14ac:dyDescent="0.3">
      <c r="V50" s="127" t="s">
        <v>140</v>
      </c>
    </row>
    <row r="51" spans="22:22" ht="15" x14ac:dyDescent="0.3">
      <c r="V51" s="127" t="s">
        <v>141</v>
      </c>
    </row>
    <row r="52" spans="22:22" ht="15" x14ac:dyDescent="0.3">
      <c r="V52" s="127" t="s">
        <v>142</v>
      </c>
    </row>
    <row r="53" spans="22:22" ht="15" x14ac:dyDescent="0.3">
      <c r="V53" s="127" t="s">
        <v>143</v>
      </c>
    </row>
    <row r="54" spans="22:22" ht="15" x14ac:dyDescent="0.3">
      <c r="V54" s="127" t="s">
        <v>144</v>
      </c>
    </row>
    <row r="55" spans="22:22" ht="15" x14ac:dyDescent="0.3">
      <c r="V55" s="127" t="s">
        <v>145</v>
      </c>
    </row>
    <row r="56" spans="22:22" ht="15" x14ac:dyDescent="0.3">
      <c r="V56" s="127" t="s">
        <v>146</v>
      </c>
    </row>
    <row r="57" spans="22:22" ht="15" x14ac:dyDescent="0.3">
      <c r="V57" s="127" t="s">
        <v>147</v>
      </c>
    </row>
    <row r="58" spans="22:22" ht="15" x14ac:dyDescent="0.3">
      <c r="V58" s="127" t="s">
        <v>148</v>
      </c>
    </row>
    <row r="59" spans="22:22" ht="15" x14ac:dyDescent="0.3">
      <c r="V59" s="127" t="s">
        <v>149</v>
      </c>
    </row>
    <row r="60" spans="22:22" ht="15" x14ac:dyDescent="0.3">
      <c r="V60" s="127" t="s">
        <v>150</v>
      </c>
    </row>
    <row r="61" spans="22:22" ht="15" x14ac:dyDescent="0.3">
      <c r="V61" s="127" t="s">
        <v>151</v>
      </c>
    </row>
    <row r="62" spans="22:22" ht="15" x14ac:dyDescent="0.3">
      <c r="V62" s="127" t="s">
        <v>152</v>
      </c>
    </row>
    <row r="63" spans="22:22" ht="15" x14ac:dyDescent="0.3">
      <c r="V63" s="127" t="s">
        <v>153</v>
      </c>
    </row>
    <row r="64" spans="22:22" ht="15" x14ac:dyDescent="0.3">
      <c r="V64" s="127" t="s">
        <v>154</v>
      </c>
    </row>
    <row r="65" spans="22:22" ht="15" x14ac:dyDescent="0.3">
      <c r="V65" s="127" t="s">
        <v>155</v>
      </c>
    </row>
    <row r="66" spans="22:22" ht="15" x14ac:dyDescent="0.3">
      <c r="V66" s="127" t="s">
        <v>156</v>
      </c>
    </row>
    <row r="67" spans="22:22" ht="15" x14ac:dyDescent="0.3">
      <c r="V67" s="127" t="s">
        <v>157</v>
      </c>
    </row>
    <row r="68" spans="22:22" ht="15" x14ac:dyDescent="0.3">
      <c r="V68" s="127" t="s">
        <v>158</v>
      </c>
    </row>
    <row r="69" spans="22:22" ht="15" x14ac:dyDescent="0.3">
      <c r="V69" s="127" t="s">
        <v>334</v>
      </c>
    </row>
    <row r="70" spans="22:22" ht="15" x14ac:dyDescent="0.3">
      <c r="V70" s="127" t="s">
        <v>159</v>
      </c>
    </row>
    <row r="71" spans="22:22" ht="15" x14ac:dyDescent="0.3">
      <c r="V71" s="127" t="s">
        <v>160</v>
      </c>
    </row>
    <row r="72" spans="22:22" ht="15" x14ac:dyDescent="0.3">
      <c r="V72" s="127" t="s">
        <v>161</v>
      </c>
    </row>
    <row r="73" spans="22:22" ht="15" x14ac:dyDescent="0.3">
      <c r="V73" s="127" t="s">
        <v>162</v>
      </c>
    </row>
    <row r="74" spans="22:22" ht="15" x14ac:dyDescent="0.3">
      <c r="V74" s="128" t="s">
        <v>163</v>
      </c>
    </row>
    <row r="75" spans="22:22" x14ac:dyDescent="0.3">
      <c r="V75"/>
    </row>
  </sheetData>
  <sheetProtection password="F8BD" sheet="1" objects="1" scenarios="1"/>
  <mergeCells count="10">
    <mergeCell ref="C31:L31"/>
    <mergeCell ref="C33:N33"/>
    <mergeCell ref="C35:M35"/>
    <mergeCell ref="B27:M27"/>
    <mergeCell ref="F14:L14"/>
    <mergeCell ref="F16:J16"/>
    <mergeCell ref="F18:J18"/>
    <mergeCell ref="F20:J20"/>
    <mergeCell ref="F22:J22"/>
    <mergeCell ref="F24:J24"/>
  </mergeCells>
  <dataValidations count="2">
    <dataValidation allowBlank="1" showInputMessage="1" showErrorMessage="1" prompt="First and last name, title" sqref="F20:J20"/>
    <dataValidation type="list" allowBlank="1" showInputMessage="1" showErrorMessage="1" sqref="F14:L14">
      <formula1>$V$1:$V$74</formula1>
    </dataValidation>
  </dataValidations>
  <pageMargins left="0.25" right="0.25" top="0.75" bottom="0.75" header="0.3" footer="0.3"/>
  <pageSetup scale="65" orientation="landscape"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B104"/>
  <sheetViews>
    <sheetView showGridLines="0" topLeftCell="B13" zoomScale="85" zoomScaleNormal="85" workbookViewId="0">
      <pane xSplit="3" topLeftCell="BQ1" activePane="topRight" state="frozenSplit"/>
      <selection pane="topRight" activeCell="BT53" sqref="BT53"/>
    </sheetView>
  </sheetViews>
  <sheetFormatPr defaultColWidth="9.109375" defaultRowHeight="13.2" x14ac:dyDescent="0.25"/>
  <cols>
    <col min="1" max="1" width="9.109375" style="1" hidden="1" customWidth="1"/>
    <col min="2" max="2" width="2.88671875" style="1" bestFit="1" customWidth="1"/>
    <col min="3" max="3" width="86.44140625" style="1" customWidth="1"/>
    <col min="4" max="4" width="11" style="1" customWidth="1"/>
    <col min="5" max="5" width="16.109375" style="67" customWidth="1"/>
    <col min="6" max="6" width="23.109375" style="67" customWidth="1"/>
    <col min="7" max="8" width="18.44140625" style="67" customWidth="1"/>
    <col min="9" max="9" width="14.6640625" style="67" customWidth="1"/>
    <col min="10" max="10" width="14.109375" style="67" customWidth="1"/>
    <col min="11" max="13" width="14.88671875" style="67" customWidth="1"/>
    <col min="14" max="14" width="15.44140625" style="67" customWidth="1"/>
    <col min="15" max="15" width="16.109375" style="67" customWidth="1"/>
    <col min="16" max="16" width="23.109375" style="67" customWidth="1"/>
    <col min="17" max="18" width="18.44140625" style="67" customWidth="1"/>
    <col min="19" max="19" width="14.6640625" style="67" customWidth="1"/>
    <col min="20" max="20" width="14.109375" style="67" customWidth="1"/>
    <col min="21" max="23" width="14.88671875" style="67" customWidth="1"/>
    <col min="24" max="24" width="15.44140625" style="67" customWidth="1"/>
    <col min="25" max="25" width="16.109375" style="67" customWidth="1"/>
    <col min="26" max="26" width="23.109375" style="67" customWidth="1"/>
    <col min="27" max="28" width="18.44140625" style="67" customWidth="1"/>
    <col min="29" max="29" width="14.6640625" style="67" customWidth="1"/>
    <col min="30" max="30" width="14.109375" style="67" customWidth="1"/>
    <col min="31" max="33" width="14.88671875" style="67" customWidth="1"/>
    <col min="34" max="34" width="15.44140625" style="67" customWidth="1"/>
    <col min="35" max="35" width="16.109375" style="67" customWidth="1"/>
    <col min="36" max="36" width="23.109375" style="67" customWidth="1"/>
    <col min="37" max="38" width="18.44140625" style="67" customWidth="1"/>
    <col min="39" max="39" width="14.6640625" style="67" customWidth="1"/>
    <col min="40" max="40" width="14.109375" style="67" customWidth="1"/>
    <col min="41" max="43" width="14.88671875" style="67" customWidth="1"/>
    <col min="44" max="44" width="15.44140625" style="67" customWidth="1"/>
    <col min="45" max="45" width="16.109375" style="67" customWidth="1"/>
    <col min="46" max="46" width="23.109375" style="67" customWidth="1"/>
    <col min="47" max="48" width="18.44140625" style="67" customWidth="1"/>
    <col min="49" max="49" width="14.6640625" style="67" customWidth="1"/>
    <col min="50" max="50" width="14.109375" style="67" customWidth="1"/>
    <col min="51" max="53" width="14.88671875" style="67" customWidth="1"/>
    <col min="54" max="54" width="15.44140625" style="67" customWidth="1"/>
    <col min="55" max="55" width="16.109375" style="67" customWidth="1"/>
    <col min="56" max="56" width="23.109375" style="67" customWidth="1"/>
    <col min="57" max="58" width="18.44140625" style="67" customWidth="1"/>
    <col min="59" max="59" width="14.6640625" style="67" customWidth="1"/>
    <col min="60" max="60" width="14.109375" style="67" customWidth="1"/>
    <col min="61" max="63" width="14.88671875" style="67" customWidth="1"/>
    <col min="64" max="64" width="15.44140625" style="67" customWidth="1"/>
    <col min="65" max="66" width="14.88671875" style="67" customWidth="1"/>
    <col min="67" max="67" width="16.88671875" style="67" customWidth="1"/>
    <col min="68" max="68" width="17.33203125" style="67" customWidth="1"/>
    <col min="69" max="71" width="26.88671875" style="67" customWidth="1"/>
    <col min="72" max="72" width="47" style="67" customWidth="1"/>
    <col min="73" max="73" width="22.44140625" style="67" bestFit="1" customWidth="1"/>
    <col min="74" max="74" width="19.88671875" style="67" customWidth="1"/>
    <col min="75" max="78" width="9.109375" style="1"/>
    <col min="79" max="79" width="12.5546875" style="1" hidden="1" customWidth="1"/>
    <col min="80" max="80" width="9.109375" style="1" hidden="1" customWidth="1"/>
    <col min="81" max="16384" width="9.109375" style="1"/>
  </cols>
  <sheetData>
    <row r="1" spans="69:79" x14ac:dyDescent="0.25">
      <c r="BQ1" s="354"/>
      <c r="BR1" s="354"/>
      <c r="BS1" s="354"/>
      <c r="BT1" s="354"/>
    </row>
    <row r="2" spans="69:79" x14ac:dyDescent="0.25">
      <c r="BQ2" s="354"/>
      <c r="BR2" s="354"/>
      <c r="BS2" s="354"/>
      <c r="BT2" s="354"/>
    </row>
    <row r="3" spans="69:79" x14ac:dyDescent="0.25">
      <c r="BQ3" s="354"/>
      <c r="BR3" s="354"/>
      <c r="BS3" s="354"/>
      <c r="BT3" s="354"/>
    </row>
    <row r="4" spans="69:79" x14ac:dyDescent="0.25">
      <c r="BQ4" s="354"/>
      <c r="BR4" s="354"/>
      <c r="BS4" s="354"/>
      <c r="BT4" s="354"/>
    </row>
    <row r="5" spans="69:79" x14ac:dyDescent="0.25">
      <c r="BQ5" s="354"/>
      <c r="BR5" s="354"/>
      <c r="BS5" s="354"/>
      <c r="BT5" s="354"/>
    </row>
    <row r="6" spans="69:79" x14ac:dyDescent="0.25">
      <c r="BQ6" s="354"/>
      <c r="BR6" s="354"/>
      <c r="BS6" s="354"/>
      <c r="BT6" s="354"/>
    </row>
    <row r="7" spans="69:79" x14ac:dyDescent="0.25">
      <c r="BQ7" s="354"/>
      <c r="BR7" s="354"/>
      <c r="BS7" s="354"/>
      <c r="BT7" s="354"/>
    </row>
    <row r="8" spans="69:79" x14ac:dyDescent="0.25">
      <c r="BQ8" s="354"/>
      <c r="BR8" s="354"/>
      <c r="BS8" s="354"/>
      <c r="BT8" s="354"/>
    </row>
    <row r="9" spans="69:79" x14ac:dyDescent="0.25">
      <c r="BQ9" s="354"/>
      <c r="BR9" s="354"/>
      <c r="BS9" s="354"/>
      <c r="BT9" s="354"/>
    </row>
    <row r="10" spans="69:79" x14ac:dyDescent="0.25">
      <c r="BQ10" s="354"/>
      <c r="BR10" s="354"/>
      <c r="BS10" s="354"/>
      <c r="BT10" s="354"/>
    </row>
    <row r="11" spans="69:79" x14ac:dyDescent="0.25">
      <c r="BQ11" s="354"/>
      <c r="BR11" s="354"/>
      <c r="BS11" s="354"/>
      <c r="BT11" s="354"/>
      <c r="CA11" s="356" t="b">
        <v>0</v>
      </c>
    </row>
    <row r="12" spans="69:79" x14ac:dyDescent="0.25">
      <c r="BQ12" s="354"/>
      <c r="BR12" s="354"/>
      <c r="BS12" s="354"/>
      <c r="BT12" s="354"/>
    </row>
    <row r="13" spans="69:79" x14ac:dyDescent="0.25">
      <c r="BQ13" s="354"/>
      <c r="BR13" s="354"/>
      <c r="BS13" s="354"/>
      <c r="BT13" s="354"/>
    </row>
    <row r="14" spans="69:79" x14ac:dyDescent="0.25">
      <c r="BQ14" s="354"/>
      <c r="BR14" s="354"/>
      <c r="BS14" s="354"/>
      <c r="BT14" s="354"/>
    </row>
    <row r="15" spans="69:79" x14ac:dyDescent="0.25">
      <c r="BQ15" s="354"/>
      <c r="BR15" s="354"/>
      <c r="BS15" s="354"/>
      <c r="BT15" s="354"/>
    </row>
    <row r="16" spans="69:79" x14ac:dyDescent="0.25">
      <c r="BQ16" s="354"/>
      <c r="BR16" s="354"/>
      <c r="BS16" s="354"/>
      <c r="BT16" s="354"/>
    </row>
    <row r="17" spans="1:80" x14ac:dyDescent="0.25">
      <c r="BQ17" s="354"/>
      <c r="BR17" s="354"/>
      <c r="BS17" s="354"/>
      <c r="BT17" s="354"/>
    </row>
    <row r="18" spans="1:80" ht="14.4" thickBot="1" x14ac:dyDescent="0.35">
      <c r="C18" s="3"/>
      <c r="R18" s="293"/>
      <c r="BO18" s="117"/>
      <c r="BP18" s="117"/>
      <c r="BQ18" s="355"/>
      <c r="BR18" s="355"/>
      <c r="BS18" s="355"/>
      <c r="BT18" s="355"/>
    </row>
    <row r="19" spans="1:80" s="69" customFormat="1" ht="29.4" thickBot="1" x14ac:dyDescent="0.6">
      <c r="C19" s="70"/>
      <c r="D19" s="71"/>
      <c r="E19" s="430">
        <v>2010</v>
      </c>
      <c r="F19" s="431"/>
      <c r="G19" s="431"/>
      <c r="H19" s="431"/>
      <c r="I19" s="431"/>
      <c r="J19" s="431"/>
      <c r="K19" s="431"/>
      <c r="L19" s="431"/>
      <c r="M19" s="431"/>
      <c r="N19" s="432"/>
      <c r="O19" s="430">
        <v>2011</v>
      </c>
      <c r="P19" s="431"/>
      <c r="Q19" s="431"/>
      <c r="R19" s="431"/>
      <c r="S19" s="431"/>
      <c r="T19" s="431"/>
      <c r="U19" s="431"/>
      <c r="V19" s="431"/>
      <c r="W19" s="431"/>
      <c r="X19" s="432"/>
      <c r="Y19" s="430">
        <v>2012</v>
      </c>
      <c r="Z19" s="431"/>
      <c r="AA19" s="431"/>
      <c r="AB19" s="431"/>
      <c r="AC19" s="431"/>
      <c r="AD19" s="431"/>
      <c r="AE19" s="431"/>
      <c r="AF19" s="431"/>
      <c r="AG19" s="431"/>
      <c r="AH19" s="432"/>
      <c r="AI19" s="430">
        <v>2013</v>
      </c>
      <c r="AJ19" s="431"/>
      <c r="AK19" s="431"/>
      <c r="AL19" s="431"/>
      <c r="AM19" s="431"/>
      <c r="AN19" s="431"/>
      <c r="AO19" s="431"/>
      <c r="AP19" s="431"/>
      <c r="AQ19" s="431"/>
      <c r="AR19" s="432"/>
      <c r="AS19" s="430">
        <v>2014</v>
      </c>
      <c r="AT19" s="431"/>
      <c r="AU19" s="431"/>
      <c r="AV19" s="431"/>
      <c r="AW19" s="431"/>
      <c r="AX19" s="431"/>
      <c r="AY19" s="431"/>
      <c r="AZ19" s="431"/>
      <c r="BA19" s="431"/>
      <c r="BB19" s="432"/>
      <c r="BC19" s="430">
        <v>2015</v>
      </c>
      <c r="BD19" s="431"/>
      <c r="BE19" s="431"/>
      <c r="BF19" s="431"/>
      <c r="BG19" s="431"/>
      <c r="BH19" s="431"/>
      <c r="BI19" s="431"/>
      <c r="BJ19" s="431"/>
      <c r="BK19" s="431"/>
      <c r="BL19" s="432"/>
      <c r="BM19" s="430">
        <v>2016</v>
      </c>
      <c r="BN19" s="431"/>
      <c r="BO19" s="431"/>
      <c r="BP19" s="432"/>
      <c r="BQ19" s="444" t="s">
        <v>249</v>
      </c>
      <c r="BR19" s="445"/>
      <c r="BS19" s="445"/>
      <c r="BT19" s="446"/>
      <c r="BU19" s="72" t="s">
        <v>24</v>
      </c>
      <c r="BV19" s="73"/>
    </row>
    <row r="20" spans="1:80" ht="14.25" customHeight="1" x14ac:dyDescent="0.25">
      <c r="C20" s="454" t="s">
        <v>20</v>
      </c>
      <c r="D20" s="456" t="s">
        <v>0</v>
      </c>
      <c r="E20" s="433" t="s">
        <v>37</v>
      </c>
      <c r="F20" s="436" t="s">
        <v>250</v>
      </c>
      <c r="G20" s="436" t="s">
        <v>274</v>
      </c>
      <c r="H20" s="436" t="s">
        <v>251</v>
      </c>
      <c r="I20" s="436" t="s">
        <v>16</v>
      </c>
      <c r="J20" s="436" t="s">
        <v>17</v>
      </c>
      <c r="K20" s="436" t="s">
        <v>22</v>
      </c>
      <c r="L20" s="436" t="s">
        <v>274</v>
      </c>
      <c r="M20" s="436" t="s">
        <v>236</v>
      </c>
      <c r="N20" s="441" t="s">
        <v>18</v>
      </c>
      <c r="O20" s="433" t="s">
        <v>38</v>
      </c>
      <c r="P20" s="436" t="s">
        <v>253</v>
      </c>
      <c r="Q20" s="436" t="s">
        <v>278</v>
      </c>
      <c r="R20" s="436" t="s">
        <v>252</v>
      </c>
      <c r="S20" s="436" t="s">
        <v>39</v>
      </c>
      <c r="T20" s="436" t="s">
        <v>40</v>
      </c>
      <c r="U20" s="436" t="s">
        <v>22</v>
      </c>
      <c r="V20" s="436" t="s">
        <v>278</v>
      </c>
      <c r="W20" s="436" t="s">
        <v>254</v>
      </c>
      <c r="X20" s="441" t="s">
        <v>41</v>
      </c>
      <c r="Y20" s="433" t="s">
        <v>85</v>
      </c>
      <c r="Z20" s="436" t="s">
        <v>265</v>
      </c>
      <c r="AA20" s="436" t="s">
        <v>279</v>
      </c>
      <c r="AB20" s="436" t="s">
        <v>235</v>
      </c>
      <c r="AC20" s="436" t="s">
        <v>86</v>
      </c>
      <c r="AD20" s="436" t="s">
        <v>87</v>
      </c>
      <c r="AE20" s="436" t="s">
        <v>88</v>
      </c>
      <c r="AF20" s="436" t="s">
        <v>279</v>
      </c>
      <c r="AG20" s="436" t="s">
        <v>266</v>
      </c>
      <c r="AH20" s="441" t="s">
        <v>89</v>
      </c>
      <c r="AI20" s="433" t="s">
        <v>176</v>
      </c>
      <c r="AJ20" s="436" t="s">
        <v>267</v>
      </c>
      <c r="AK20" s="436" t="s">
        <v>280</v>
      </c>
      <c r="AL20" s="436" t="s">
        <v>234</v>
      </c>
      <c r="AM20" s="436" t="s">
        <v>177</v>
      </c>
      <c r="AN20" s="436" t="s">
        <v>178</v>
      </c>
      <c r="AO20" s="436" t="s">
        <v>179</v>
      </c>
      <c r="AP20" s="436" t="s">
        <v>280</v>
      </c>
      <c r="AQ20" s="436" t="s">
        <v>268</v>
      </c>
      <c r="AR20" s="441" t="s">
        <v>180</v>
      </c>
      <c r="AS20" s="433" t="s">
        <v>203</v>
      </c>
      <c r="AT20" s="436" t="s">
        <v>269</v>
      </c>
      <c r="AU20" s="436" t="s">
        <v>281</v>
      </c>
      <c r="AV20" s="436" t="s">
        <v>255</v>
      </c>
      <c r="AW20" s="436" t="s">
        <v>204</v>
      </c>
      <c r="AX20" s="436" t="s">
        <v>205</v>
      </c>
      <c r="AY20" s="436" t="s">
        <v>206</v>
      </c>
      <c r="AZ20" s="436" t="s">
        <v>281</v>
      </c>
      <c r="BA20" s="436" t="s">
        <v>270</v>
      </c>
      <c r="BB20" s="441" t="s">
        <v>207</v>
      </c>
      <c r="BC20" s="433" t="s">
        <v>256</v>
      </c>
      <c r="BD20" s="436" t="s">
        <v>271</v>
      </c>
      <c r="BE20" s="436" t="s">
        <v>282</v>
      </c>
      <c r="BF20" s="436" t="s">
        <v>257</v>
      </c>
      <c r="BG20" s="436" t="s">
        <v>258</v>
      </c>
      <c r="BH20" s="436" t="s">
        <v>259</v>
      </c>
      <c r="BI20" s="436" t="s">
        <v>260</v>
      </c>
      <c r="BJ20" s="436" t="s">
        <v>282</v>
      </c>
      <c r="BK20" s="436" t="s">
        <v>272</v>
      </c>
      <c r="BL20" s="441" t="s">
        <v>261</v>
      </c>
      <c r="BM20" s="436" t="s">
        <v>283</v>
      </c>
      <c r="BN20" s="436" t="s">
        <v>284</v>
      </c>
      <c r="BO20" s="451" t="s">
        <v>262</v>
      </c>
      <c r="BP20" s="451" t="s">
        <v>263</v>
      </c>
      <c r="BQ20" s="433" t="s">
        <v>264</v>
      </c>
      <c r="BR20" s="436" t="s">
        <v>396</v>
      </c>
      <c r="BS20" s="436" t="s">
        <v>273</v>
      </c>
      <c r="BT20" s="441" t="s">
        <v>23</v>
      </c>
      <c r="BU20" s="447" t="s">
        <v>247</v>
      </c>
      <c r="BV20" s="441" t="s">
        <v>248</v>
      </c>
    </row>
    <row r="21" spans="1:80" ht="24.75" customHeight="1" x14ac:dyDescent="0.25">
      <c r="C21" s="455"/>
      <c r="D21" s="457"/>
      <c r="E21" s="434"/>
      <c r="F21" s="437"/>
      <c r="G21" s="439"/>
      <c r="H21" s="439"/>
      <c r="I21" s="439"/>
      <c r="J21" s="437"/>
      <c r="K21" s="439"/>
      <c r="L21" s="439"/>
      <c r="M21" s="439"/>
      <c r="N21" s="442"/>
      <c r="O21" s="434"/>
      <c r="P21" s="437"/>
      <c r="Q21" s="439"/>
      <c r="R21" s="439"/>
      <c r="S21" s="439"/>
      <c r="T21" s="437"/>
      <c r="U21" s="439"/>
      <c r="V21" s="439"/>
      <c r="W21" s="439"/>
      <c r="X21" s="442"/>
      <c r="Y21" s="434"/>
      <c r="Z21" s="437"/>
      <c r="AA21" s="439"/>
      <c r="AB21" s="439"/>
      <c r="AC21" s="439"/>
      <c r="AD21" s="437"/>
      <c r="AE21" s="439"/>
      <c r="AF21" s="439"/>
      <c r="AG21" s="439"/>
      <c r="AH21" s="442"/>
      <c r="AI21" s="434"/>
      <c r="AJ21" s="437"/>
      <c r="AK21" s="439"/>
      <c r="AL21" s="439"/>
      <c r="AM21" s="439"/>
      <c r="AN21" s="437"/>
      <c r="AO21" s="439"/>
      <c r="AP21" s="439"/>
      <c r="AQ21" s="439"/>
      <c r="AR21" s="442"/>
      <c r="AS21" s="434"/>
      <c r="AT21" s="437"/>
      <c r="AU21" s="439"/>
      <c r="AV21" s="439"/>
      <c r="AW21" s="439"/>
      <c r="AX21" s="437"/>
      <c r="AY21" s="439"/>
      <c r="AZ21" s="439"/>
      <c r="BA21" s="439"/>
      <c r="BB21" s="442"/>
      <c r="BC21" s="434"/>
      <c r="BD21" s="437"/>
      <c r="BE21" s="439"/>
      <c r="BF21" s="439"/>
      <c r="BG21" s="439"/>
      <c r="BH21" s="437"/>
      <c r="BI21" s="439"/>
      <c r="BJ21" s="439"/>
      <c r="BK21" s="439"/>
      <c r="BL21" s="442"/>
      <c r="BM21" s="439"/>
      <c r="BN21" s="439"/>
      <c r="BO21" s="452"/>
      <c r="BP21" s="452"/>
      <c r="BQ21" s="434"/>
      <c r="BR21" s="437"/>
      <c r="BS21" s="437"/>
      <c r="BT21" s="442"/>
      <c r="BU21" s="448"/>
      <c r="BV21" s="442"/>
    </row>
    <row r="22" spans="1:80" ht="36.75" customHeight="1" thickBot="1" x14ac:dyDescent="0.3">
      <c r="B22" s="14"/>
      <c r="C22" s="455"/>
      <c r="D22" s="457"/>
      <c r="E22" s="435"/>
      <c r="F22" s="438"/>
      <c r="G22" s="440"/>
      <c r="H22" s="440"/>
      <c r="I22" s="440"/>
      <c r="J22" s="438"/>
      <c r="K22" s="440"/>
      <c r="L22" s="440"/>
      <c r="M22" s="440"/>
      <c r="N22" s="443"/>
      <c r="O22" s="435"/>
      <c r="P22" s="438"/>
      <c r="Q22" s="440"/>
      <c r="R22" s="440"/>
      <c r="S22" s="440"/>
      <c r="T22" s="438"/>
      <c r="U22" s="440"/>
      <c r="V22" s="440"/>
      <c r="W22" s="440"/>
      <c r="X22" s="443"/>
      <c r="Y22" s="435"/>
      <c r="Z22" s="438"/>
      <c r="AA22" s="440"/>
      <c r="AB22" s="440"/>
      <c r="AC22" s="440"/>
      <c r="AD22" s="438"/>
      <c r="AE22" s="440"/>
      <c r="AF22" s="440"/>
      <c r="AG22" s="440"/>
      <c r="AH22" s="443"/>
      <c r="AI22" s="435"/>
      <c r="AJ22" s="438"/>
      <c r="AK22" s="440"/>
      <c r="AL22" s="440"/>
      <c r="AM22" s="440"/>
      <c r="AN22" s="438"/>
      <c r="AO22" s="440"/>
      <c r="AP22" s="440"/>
      <c r="AQ22" s="440"/>
      <c r="AR22" s="443"/>
      <c r="AS22" s="435"/>
      <c r="AT22" s="438"/>
      <c r="AU22" s="440"/>
      <c r="AV22" s="440"/>
      <c r="AW22" s="440"/>
      <c r="AX22" s="438"/>
      <c r="AY22" s="440"/>
      <c r="AZ22" s="440"/>
      <c r="BA22" s="440"/>
      <c r="BB22" s="443"/>
      <c r="BC22" s="435"/>
      <c r="BD22" s="438"/>
      <c r="BE22" s="440"/>
      <c r="BF22" s="440"/>
      <c r="BG22" s="440"/>
      <c r="BH22" s="438"/>
      <c r="BI22" s="440"/>
      <c r="BJ22" s="440"/>
      <c r="BK22" s="440"/>
      <c r="BL22" s="443"/>
      <c r="BM22" s="440"/>
      <c r="BN22" s="440"/>
      <c r="BO22" s="453"/>
      <c r="BP22" s="453"/>
      <c r="BQ22" s="435"/>
      <c r="BR22" s="438"/>
      <c r="BS22" s="450" t="s">
        <v>12</v>
      </c>
      <c r="BT22" s="443" t="s">
        <v>12</v>
      </c>
      <c r="BU22" s="449"/>
      <c r="BV22" s="443"/>
    </row>
    <row r="23" spans="1:80" s="88" customFormat="1" ht="33.75" customHeight="1" thickBot="1" x14ac:dyDescent="0.3">
      <c r="A23" s="1"/>
      <c r="B23" s="1"/>
      <c r="C23" s="270" t="s">
        <v>26</v>
      </c>
      <c r="D23" s="271"/>
      <c r="E23" s="109"/>
      <c r="F23" s="78"/>
      <c r="G23" s="79"/>
      <c r="H23" s="79"/>
      <c r="I23" s="79"/>
      <c r="J23" s="79"/>
      <c r="K23" s="79"/>
      <c r="L23" s="79"/>
      <c r="M23" s="79"/>
      <c r="N23" s="80"/>
      <c r="O23" s="77"/>
      <c r="P23" s="78"/>
      <c r="Q23" s="79"/>
      <c r="R23" s="79"/>
      <c r="S23" s="79"/>
      <c r="T23" s="79"/>
      <c r="U23" s="79"/>
      <c r="V23" s="79"/>
      <c r="W23" s="79"/>
      <c r="X23" s="80"/>
      <c r="Y23" s="77"/>
      <c r="Z23" s="91"/>
      <c r="AA23" s="79"/>
      <c r="AB23" s="79"/>
      <c r="AC23" s="79"/>
      <c r="AD23" s="79"/>
      <c r="AE23" s="79"/>
      <c r="AF23" s="79"/>
      <c r="AG23" s="79"/>
      <c r="AH23" s="80"/>
      <c r="AI23" s="77"/>
      <c r="AJ23" s="78"/>
      <c r="AK23" s="79"/>
      <c r="AL23" s="79"/>
      <c r="AM23" s="79"/>
      <c r="AN23" s="79"/>
      <c r="AO23" s="79"/>
      <c r="AP23" s="79"/>
      <c r="AQ23" s="79"/>
      <c r="AR23" s="80"/>
      <c r="AS23" s="77"/>
      <c r="AT23" s="78"/>
      <c r="AU23" s="79"/>
      <c r="AV23" s="79"/>
      <c r="AW23" s="79"/>
      <c r="AX23" s="79"/>
      <c r="AY23" s="79"/>
      <c r="AZ23" s="79"/>
      <c r="BA23" s="79"/>
      <c r="BB23" s="80"/>
      <c r="BC23" s="77"/>
      <c r="BD23" s="78"/>
      <c r="BE23" s="79"/>
      <c r="BF23" s="79"/>
      <c r="BG23" s="79"/>
      <c r="BH23" s="79"/>
      <c r="BI23" s="79"/>
      <c r="BJ23" s="79"/>
      <c r="BK23" s="79"/>
      <c r="BL23" s="80"/>
      <c r="BM23" s="81"/>
      <c r="BN23" s="82"/>
      <c r="BO23" s="79"/>
      <c r="BP23" s="83"/>
      <c r="BQ23" s="84"/>
      <c r="BR23" s="84"/>
      <c r="BS23" s="84"/>
      <c r="BT23" s="299"/>
      <c r="BU23" s="86"/>
      <c r="BV23" s="87"/>
    </row>
    <row r="24" spans="1:80" s="88" customFormat="1" ht="15" customHeight="1" thickBot="1" x14ac:dyDescent="0.3">
      <c r="A24" s="1">
        <v>1</v>
      </c>
      <c r="B24" s="1"/>
      <c r="C24" s="272" t="s">
        <v>28</v>
      </c>
      <c r="D24" s="257">
        <v>1550</v>
      </c>
      <c r="E24" s="84"/>
      <c r="F24" s="332">
        <f>-218767+-43220</f>
        <v>-261987</v>
      </c>
      <c r="G24" s="96">
        <v>119047</v>
      </c>
      <c r="H24" s="90"/>
      <c r="I24" s="91">
        <f>E24+F24-G24+H24</f>
        <v>-381034</v>
      </c>
      <c r="J24" s="204">
        <v>3449</v>
      </c>
      <c r="K24" s="205">
        <v>-1402</v>
      </c>
      <c r="L24" s="90">
        <v>3060</v>
      </c>
      <c r="M24" s="90"/>
      <c r="N24" s="92">
        <f>J24+K24-L24+M24</f>
        <v>-1013</v>
      </c>
      <c r="O24" s="93">
        <f>I24</f>
        <v>-381034</v>
      </c>
      <c r="P24" s="188">
        <v>-46364</v>
      </c>
      <c r="Q24" s="185">
        <v>-162267</v>
      </c>
      <c r="R24" s="188"/>
      <c r="S24" s="91">
        <f>O24+P24-Q24+R24</f>
        <v>-265131</v>
      </c>
      <c r="T24" s="94">
        <f>N24</f>
        <v>-1013</v>
      </c>
      <c r="U24" s="188">
        <v>-4872</v>
      </c>
      <c r="V24" s="187">
        <v>322</v>
      </c>
      <c r="W24" s="188"/>
      <c r="X24" s="92">
        <f>T24+U24-V24+W24</f>
        <v>-6207</v>
      </c>
      <c r="Y24" s="93">
        <f t="shared" ref="Y24:Y32" si="0">S24</f>
        <v>-265131</v>
      </c>
      <c r="Z24" s="188">
        <v>-24959</v>
      </c>
      <c r="AA24" s="188">
        <v>-218767</v>
      </c>
      <c r="AB24" s="188"/>
      <c r="AC24" s="91">
        <f t="shared" ref="AC24:AC35" si="1">Y24+Z24-AA24+SUM(AB24:AB24)</f>
        <v>-71323</v>
      </c>
      <c r="AD24" s="94">
        <f t="shared" ref="AD24:AD35" si="2">X24</f>
        <v>-6207</v>
      </c>
      <c r="AE24" s="188">
        <v>-2278</v>
      </c>
      <c r="AF24" s="188">
        <v>-8788</v>
      </c>
      <c r="AG24" s="188"/>
      <c r="AH24" s="92">
        <f>AD24+AE24-AF24+AG24</f>
        <v>303</v>
      </c>
      <c r="AI24" s="93">
        <f t="shared" ref="AI24:AI39" si="3">AC24</f>
        <v>-71323</v>
      </c>
      <c r="AJ24" s="188">
        <v>148682</v>
      </c>
      <c r="AK24" s="188">
        <v>-46364</v>
      </c>
      <c r="AL24" s="188"/>
      <c r="AM24" s="91">
        <f>AI24+AJ24-AK24+SUM(AL24:AL24)</f>
        <v>123723</v>
      </c>
      <c r="AN24" s="94">
        <f t="shared" ref="AN24:AN39" si="4">AH24</f>
        <v>303</v>
      </c>
      <c r="AO24" s="188">
        <v>310</v>
      </c>
      <c r="AP24" s="188">
        <v>1672</v>
      </c>
      <c r="AQ24" s="90"/>
      <c r="AR24" s="92">
        <f>AN24+AO24-AP24+AQ24</f>
        <v>-1059</v>
      </c>
      <c r="AS24" s="93">
        <f t="shared" ref="AS24:AS32" si="5">AM24</f>
        <v>123723</v>
      </c>
      <c r="AT24" s="188">
        <v>101817</v>
      </c>
      <c r="AU24" s="188"/>
      <c r="AV24" s="188"/>
      <c r="AW24" s="91">
        <f t="shared" ref="AW24:AW39" si="6">AS24+AT24-AU24+SUM(AV24:AV24)</f>
        <v>225540</v>
      </c>
      <c r="AX24" s="94">
        <f t="shared" ref="AX24:AX39" si="7">AR24</f>
        <v>-1059</v>
      </c>
      <c r="AY24" s="188">
        <v>2512</v>
      </c>
      <c r="AZ24" s="188"/>
      <c r="BA24" s="90"/>
      <c r="BB24" s="92">
        <f>AX24+AY24-AZ24+BA24</f>
        <v>1453</v>
      </c>
      <c r="BC24" s="93">
        <f t="shared" ref="BC24:BC32" si="8">AW24</f>
        <v>225540</v>
      </c>
      <c r="BD24" s="188">
        <v>303480</v>
      </c>
      <c r="BE24" s="188">
        <v>123723</v>
      </c>
      <c r="BF24" s="90"/>
      <c r="BG24" s="91">
        <f>BC24+BD24-BE24+SUM(BF24:BF24)</f>
        <v>405297</v>
      </c>
      <c r="BH24" s="94">
        <f t="shared" ref="BH24:BH39" si="9">BB24</f>
        <v>1453</v>
      </c>
      <c r="BI24" s="188">
        <v>2125</v>
      </c>
      <c r="BJ24" s="188">
        <v>760</v>
      </c>
      <c r="BK24" s="188"/>
      <c r="BL24" s="92">
        <f>BH24+BI24-BJ24+BK24</f>
        <v>2818</v>
      </c>
      <c r="BM24" s="89">
        <v>101817</v>
      </c>
      <c r="BN24" s="188">
        <v>1907</v>
      </c>
      <c r="BO24" s="94">
        <f>BG24-BM24</f>
        <v>303480</v>
      </c>
      <c r="BP24" s="95">
        <f>BL24-BN24</f>
        <v>911</v>
      </c>
      <c r="BQ24" s="96">
        <f>BO24*0.011</f>
        <v>3338.2799999999997</v>
      </c>
      <c r="BR24" s="188">
        <f t="shared" ref="BR24:BR28" si="10">(BO24*9/12*1.1%)+(BO24*3/12*1.5%)</f>
        <v>3641.76</v>
      </c>
      <c r="BS24" s="266">
        <f t="shared" ref="BS24:BS38" si="11">BP24+BQ24+BR24</f>
        <v>7891.04</v>
      </c>
      <c r="BT24" s="299">
        <f>SUM(BO24:BR24)</f>
        <v>311371.04000000004</v>
      </c>
      <c r="BU24" s="189">
        <v>408115.48</v>
      </c>
      <c r="BV24" s="85">
        <f>BU24-SUM(BG24,BL24)</f>
        <v>0.47999999998137355</v>
      </c>
    </row>
    <row r="25" spans="1:80" s="88" customFormat="1" ht="14.4" thickBot="1" x14ac:dyDescent="0.3">
      <c r="A25" s="1">
        <v>2</v>
      </c>
      <c r="B25" s="1"/>
      <c r="C25" s="272" t="s">
        <v>175</v>
      </c>
      <c r="D25" s="257">
        <v>1551</v>
      </c>
      <c r="E25" s="262"/>
      <c r="F25" s="331"/>
      <c r="G25" s="100"/>
      <c r="H25" s="100"/>
      <c r="I25" s="91"/>
      <c r="J25" s="261"/>
      <c r="K25" s="100"/>
      <c r="L25" s="100"/>
      <c r="M25" s="100"/>
      <c r="N25" s="92"/>
      <c r="O25" s="93"/>
      <c r="P25" s="100"/>
      <c r="Q25" s="100"/>
      <c r="R25" s="100"/>
      <c r="S25" s="91"/>
      <c r="T25" s="261"/>
      <c r="U25" s="100"/>
      <c r="V25" s="100"/>
      <c r="W25" s="100"/>
      <c r="X25" s="92"/>
      <c r="Y25" s="93"/>
      <c r="Z25" s="100"/>
      <c r="AA25" s="100"/>
      <c r="AB25" s="100"/>
      <c r="AC25" s="91"/>
      <c r="AD25" s="261"/>
      <c r="AE25" s="100"/>
      <c r="AF25" s="100"/>
      <c r="AG25" s="100"/>
      <c r="AH25" s="92"/>
      <c r="AI25" s="93">
        <f t="shared" si="3"/>
        <v>0</v>
      </c>
      <c r="AJ25" s="188">
        <v>9064</v>
      </c>
      <c r="AK25" s="188"/>
      <c r="AL25" s="188"/>
      <c r="AM25" s="91">
        <f t="shared" ref="AM25:AM39" si="12">AI25+AJ25-AK25+SUM(AL25:AL25)</f>
        <v>9064</v>
      </c>
      <c r="AN25" s="94">
        <f t="shared" si="4"/>
        <v>0</v>
      </c>
      <c r="AO25" s="188">
        <v>105</v>
      </c>
      <c r="AP25" s="249"/>
      <c r="AQ25" s="102"/>
      <c r="AR25" s="92">
        <f>AN25+AO25-AP25+AQ25</f>
        <v>105</v>
      </c>
      <c r="AS25" s="93">
        <f t="shared" si="5"/>
        <v>9064</v>
      </c>
      <c r="AT25" s="188">
        <v>-4678</v>
      </c>
      <c r="AU25" s="188"/>
      <c r="AV25" s="188"/>
      <c r="AW25" s="91">
        <f t="shared" si="6"/>
        <v>4386</v>
      </c>
      <c r="AX25" s="94">
        <f t="shared" si="7"/>
        <v>105</v>
      </c>
      <c r="AY25" s="188">
        <v>106</v>
      </c>
      <c r="AZ25" s="249"/>
      <c r="BA25" s="102"/>
      <c r="BB25" s="92">
        <f>AX25+AY25-AZ25+BA25</f>
        <v>211</v>
      </c>
      <c r="BC25" s="93">
        <f t="shared" si="8"/>
        <v>4386</v>
      </c>
      <c r="BD25" s="188">
        <v>-5456</v>
      </c>
      <c r="BE25" s="188">
        <v>9064</v>
      </c>
      <c r="BF25" s="90"/>
      <c r="BG25" s="91">
        <f t="shared" ref="BG25:BG39" si="13">BC25+BD25-BE25+SUM(BF25:BF25)</f>
        <v>-10134</v>
      </c>
      <c r="BH25" s="94">
        <f t="shared" si="9"/>
        <v>211</v>
      </c>
      <c r="BI25" s="188">
        <v>-71</v>
      </c>
      <c r="BJ25" s="188">
        <v>238</v>
      </c>
      <c r="BK25" s="188"/>
      <c r="BL25" s="92">
        <f>BH25+BI25-BJ25+BK25</f>
        <v>-98</v>
      </c>
      <c r="BM25" s="89">
        <v>-4677</v>
      </c>
      <c r="BN25" s="188">
        <v>-83</v>
      </c>
      <c r="BO25" s="94">
        <f t="shared" ref="BO25:BO39" si="14">BG25-BM25</f>
        <v>-5457</v>
      </c>
      <c r="BP25" s="95">
        <f t="shared" ref="BP25:BP39" si="15">BL25-BN25</f>
        <v>-15</v>
      </c>
      <c r="BQ25" s="96">
        <f t="shared" ref="BQ25:BQ39" si="16">BO25*0.011</f>
        <v>-60.026999999999994</v>
      </c>
      <c r="BR25" s="188">
        <f t="shared" si="10"/>
        <v>-65.484000000000009</v>
      </c>
      <c r="BS25" s="266">
        <f t="shared" si="11"/>
        <v>-140.511</v>
      </c>
      <c r="BT25" s="299">
        <f>SUM(BO25:BR25)</f>
        <v>-5597.5110000000004</v>
      </c>
      <c r="BU25" s="189">
        <v>-10232.220000000001</v>
      </c>
      <c r="BV25" s="85">
        <f t="shared" ref="BV25:BV44" si="17">BU25-SUM(BG25,BL25)</f>
        <v>-0.22000000000116415</v>
      </c>
    </row>
    <row r="26" spans="1:80" s="88" customFormat="1" ht="16.8" thickBot="1" x14ac:dyDescent="0.3">
      <c r="A26" s="1">
        <v>3</v>
      </c>
      <c r="B26" s="1"/>
      <c r="C26" s="256" t="s">
        <v>330</v>
      </c>
      <c r="D26" s="257">
        <v>1580</v>
      </c>
      <c r="E26" s="202">
        <v>-484007</v>
      </c>
      <c r="F26" s="203">
        <v>-248962</v>
      </c>
      <c r="G26" s="90">
        <v>-418413</v>
      </c>
      <c r="H26" s="90"/>
      <c r="I26" s="91">
        <f t="shared" ref="I26" si="18">E26+F26-G26+H26</f>
        <v>-314556</v>
      </c>
      <c r="J26" s="204">
        <v>-22771</v>
      </c>
      <c r="K26" s="205">
        <v>-5019</v>
      </c>
      <c r="L26" s="90">
        <v>-23489</v>
      </c>
      <c r="M26" s="90"/>
      <c r="N26" s="92">
        <f>J26+K26-L26+M26</f>
        <v>-4301</v>
      </c>
      <c r="O26" s="93">
        <f t="shared" ref="O26:O34" si="19">I26</f>
        <v>-314556</v>
      </c>
      <c r="P26" s="229">
        <v>-291192</v>
      </c>
      <c r="Q26" s="185">
        <v>-65594</v>
      </c>
      <c r="R26" s="188"/>
      <c r="S26" s="91">
        <f>O26+P26-Q26+SUM(R26:R26)</f>
        <v>-540154</v>
      </c>
      <c r="T26" s="94">
        <f t="shared" ref="T26:T34" si="20">N26</f>
        <v>-4301</v>
      </c>
      <c r="U26" s="233">
        <v>-6316</v>
      </c>
      <c r="V26" s="187">
        <v>52</v>
      </c>
      <c r="W26" s="188"/>
      <c r="X26" s="92">
        <f t="shared" ref="X26:X34" si="21">T26+U26-V26+W26</f>
        <v>-10669</v>
      </c>
      <c r="Y26" s="93">
        <f t="shared" si="0"/>
        <v>-540154</v>
      </c>
      <c r="Z26" s="188">
        <v>-340280</v>
      </c>
      <c r="AA26" s="188">
        <v>-248962</v>
      </c>
      <c r="AB26" s="188"/>
      <c r="AC26" s="91">
        <f t="shared" si="1"/>
        <v>-631472</v>
      </c>
      <c r="AD26" s="94">
        <f t="shared" si="2"/>
        <v>-10669</v>
      </c>
      <c r="AE26" s="188">
        <v>-8209</v>
      </c>
      <c r="AF26" s="188">
        <v>-10507</v>
      </c>
      <c r="AG26" s="188"/>
      <c r="AH26" s="92">
        <f t="shared" ref="AH26:AH34" si="22">AD26+AE26-AF26+AG26</f>
        <v>-8371</v>
      </c>
      <c r="AI26" s="93">
        <f t="shared" si="3"/>
        <v>-631472</v>
      </c>
      <c r="AJ26" s="188">
        <v>-182498</v>
      </c>
      <c r="AK26" s="188">
        <v>-291192</v>
      </c>
      <c r="AL26" s="188"/>
      <c r="AM26" s="91">
        <f t="shared" si="12"/>
        <v>-522778</v>
      </c>
      <c r="AN26" s="94">
        <f t="shared" si="4"/>
        <v>-8371</v>
      </c>
      <c r="AO26" s="188">
        <v>-8671</v>
      </c>
      <c r="AP26" s="188">
        <v>-5869</v>
      </c>
      <c r="AQ26" s="90"/>
      <c r="AR26" s="92">
        <f t="shared" ref="AR26:AR34" si="23">AN26+AO26-AP26+AQ26</f>
        <v>-11173</v>
      </c>
      <c r="AS26" s="93">
        <f t="shared" si="5"/>
        <v>-522778</v>
      </c>
      <c r="AT26" s="188">
        <v>6164</v>
      </c>
      <c r="AU26" s="188"/>
      <c r="AV26" s="188"/>
      <c r="AW26" s="91">
        <f t="shared" si="6"/>
        <v>-516614</v>
      </c>
      <c r="AX26" s="94">
        <f t="shared" si="7"/>
        <v>-11173</v>
      </c>
      <c r="AY26" s="188">
        <v>-5611</v>
      </c>
      <c r="AZ26" s="188"/>
      <c r="BA26" s="90"/>
      <c r="BB26" s="92">
        <f t="shared" ref="BB26:BB34" si="24">AX26+AY26-AZ26+BA26</f>
        <v>-16784</v>
      </c>
      <c r="BC26" s="93">
        <f t="shared" si="8"/>
        <v>-516614</v>
      </c>
      <c r="BD26" s="188"/>
      <c r="BE26" s="188"/>
      <c r="BF26" s="90"/>
      <c r="BG26" s="91">
        <f t="shared" si="13"/>
        <v>-516614</v>
      </c>
      <c r="BH26" s="94">
        <f t="shared" si="9"/>
        <v>-16784</v>
      </c>
      <c r="BI26" s="188"/>
      <c r="BJ26" s="188"/>
      <c r="BK26" s="188"/>
      <c r="BL26" s="92">
        <f t="shared" ref="BL26:BL34" si="25">BH26+BI26-BJ26+BK26</f>
        <v>-16784</v>
      </c>
      <c r="BM26" s="89"/>
      <c r="BN26" s="188"/>
      <c r="BO26" s="94">
        <f t="shared" si="14"/>
        <v>-516614</v>
      </c>
      <c r="BP26" s="95">
        <f t="shared" si="15"/>
        <v>-16784</v>
      </c>
      <c r="BQ26" s="96">
        <f t="shared" si="16"/>
        <v>-5682.7539999999999</v>
      </c>
      <c r="BR26" s="188">
        <f t="shared" si="10"/>
        <v>-6199.3680000000004</v>
      </c>
      <c r="BS26" s="266">
        <f t="shared" si="11"/>
        <v>-28666.122000000003</v>
      </c>
      <c r="BT26" s="299">
        <f>SUM(BO26:BR26)</f>
        <v>-545280.12199999997</v>
      </c>
      <c r="BU26" s="189">
        <v>-521150.09</v>
      </c>
      <c r="BV26" s="85">
        <f t="shared" si="17"/>
        <v>12247.909999999974</v>
      </c>
    </row>
    <row r="27" spans="1:80" s="88" customFormat="1" ht="16.8" thickBot="1" x14ac:dyDescent="0.3">
      <c r="A27" s="1">
        <v>3.1</v>
      </c>
      <c r="B27" s="1"/>
      <c r="C27" s="256" t="s">
        <v>342</v>
      </c>
      <c r="D27" s="257">
        <v>1580</v>
      </c>
      <c r="E27" s="262"/>
      <c r="F27" s="100"/>
      <c r="G27" s="100"/>
      <c r="H27" s="100"/>
      <c r="I27" s="91"/>
      <c r="J27" s="261"/>
      <c r="K27" s="100"/>
      <c r="L27" s="100"/>
      <c r="M27" s="100"/>
      <c r="N27" s="92"/>
      <c r="O27" s="262"/>
      <c r="P27" s="100"/>
      <c r="Q27" s="100"/>
      <c r="R27" s="100"/>
      <c r="S27" s="91"/>
      <c r="T27" s="261"/>
      <c r="U27" s="100"/>
      <c r="V27" s="100"/>
      <c r="W27" s="100"/>
      <c r="X27" s="92"/>
      <c r="Y27" s="262"/>
      <c r="Z27" s="100"/>
      <c r="AA27" s="100"/>
      <c r="AB27" s="100"/>
      <c r="AC27" s="91"/>
      <c r="AD27" s="261"/>
      <c r="AE27" s="100"/>
      <c r="AF27" s="100"/>
      <c r="AG27" s="100"/>
      <c r="AH27" s="92"/>
      <c r="AI27" s="262"/>
      <c r="AJ27" s="100"/>
      <c r="AK27" s="100"/>
      <c r="AL27" s="100"/>
      <c r="AM27" s="91"/>
      <c r="AN27" s="261"/>
      <c r="AO27" s="100"/>
      <c r="AP27" s="100"/>
      <c r="AQ27" s="100"/>
      <c r="AR27" s="92"/>
      <c r="AS27" s="262"/>
      <c r="AT27" s="100"/>
      <c r="AU27" s="100"/>
      <c r="AV27" s="100"/>
      <c r="AW27" s="91"/>
      <c r="AX27" s="261"/>
      <c r="AY27" s="100"/>
      <c r="AZ27" s="100"/>
      <c r="BA27" s="100"/>
      <c r="BB27" s="92"/>
      <c r="BC27" s="93">
        <v>0</v>
      </c>
      <c r="BD27" s="188"/>
      <c r="BE27" s="188"/>
      <c r="BF27" s="188"/>
      <c r="BG27" s="91">
        <f t="shared" si="13"/>
        <v>0</v>
      </c>
      <c r="BH27" s="94">
        <f t="shared" si="9"/>
        <v>0</v>
      </c>
      <c r="BI27" s="188"/>
      <c r="BJ27" s="188"/>
      <c r="BK27" s="188"/>
      <c r="BL27" s="92">
        <f t="shared" si="25"/>
        <v>0</v>
      </c>
      <c r="BM27" s="89"/>
      <c r="BN27" s="188"/>
      <c r="BO27" s="94">
        <f t="shared" si="14"/>
        <v>0</v>
      </c>
      <c r="BP27" s="95">
        <f t="shared" si="15"/>
        <v>0</v>
      </c>
      <c r="BQ27" s="96">
        <f t="shared" si="16"/>
        <v>0</v>
      </c>
      <c r="BR27" s="188">
        <f t="shared" si="10"/>
        <v>0</v>
      </c>
      <c r="BS27" s="266">
        <f t="shared" si="11"/>
        <v>0</v>
      </c>
      <c r="BT27" s="299">
        <f>IF(CB27=TRUE, SUM(BO27:BR27), 0)</f>
        <v>0</v>
      </c>
      <c r="BU27" s="189"/>
      <c r="BV27" s="85">
        <f>BU27-SUM(BG27,BL27)</f>
        <v>0</v>
      </c>
      <c r="CA27" s="146" t="s">
        <v>287</v>
      </c>
      <c r="CB27" s="356" t="b">
        <v>1</v>
      </c>
    </row>
    <row r="28" spans="1:80" s="88" customFormat="1" ht="16.8" thickBot="1" x14ac:dyDescent="0.3">
      <c r="A28" s="1">
        <v>3.2</v>
      </c>
      <c r="B28" s="1"/>
      <c r="C28" s="256" t="s">
        <v>343</v>
      </c>
      <c r="D28" s="257">
        <v>1580</v>
      </c>
      <c r="E28" s="262"/>
      <c r="F28" s="100"/>
      <c r="G28" s="100"/>
      <c r="H28" s="100"/>
      <c r="I28" s="91"/>
      <c r="J28" s="261"/>
      <c r="K28" s="100"/>
      <c r="L28" s="100"/>
      <c r="M28" s="100"/>
      <c r="N28" s="92"/>
      <c r="O28" s="262"/>
      <c r="P28" s="100"/>
      <c r="Q28" s="100"/>
      <c r="R28" s="100"/>
      <c r="S28" s="91"/>
      <c r="T28" s="261"/>
      <c r="U28" s="100"/>
      <c r="V28" s="100"/>
      <c r="W28" s="100"/>
      <c r="X28" s="92"/>
      <c r="Y28" s="262"/>
      <c r="Z28" s="100"/>
      <c r="AA28" s="100"/>
      <c r="AB28" s="100"/>
      <c r="AC28" s="91"/>
      <c r="AD28" s="261"/>
      <c r="AE28" s="100"/>
      <c r="AF28" s="100"/>
      <c r="AG28" s="100"/>
      <c r="AH28" s="92"/>
      <c r="AI28" s="262"/>
      <c r="AJ28" s="100"/>
      <c r="AK28" s="100"/>
      <c r="AL28" s="100"/>
      <c r="AM28" s="91"/>
      <c r="AN28" s="261"/>
      <c r="AO28" s="100"/>
      <c r="AP28" s="100"/>
      <c r="AQ28" s="100"/>
      <c r="AR28" s="92"/>
      <c r="AS28" s="262"/>
      <c r="AT28" s="100"/>
      <c r="AU28" s="100"/>
      <c r="AV28" s="100"/>
      <c r="AW28" s="91"/>
      <c r="AX28" s="261"/>
      <c r="AY28" s="100"/>
      <c r="AZ28" s="100"/>
      <c r="BA28" s="100"/>
      <c r="BB28" s="92"/>
      <c r="BC28" s="93">
        <v>0</v>
      </c>
      <c r="BD28" s="188">
        <v>-526850</v>
      </c>
      <c r="BE28" s="188">
        <v>-522778</v>
      </c>
      <c r="BF28" s="188"/>
      <c r="BG28" s="91">
        <f t="shared" si="13"/>
        <v>-4072</v>
      </c>
      <c r="BH28" s="94">
        <f t="shared" si="9"/>
        <v>0</v>
      </c>
      <c r="BI28" s="188">
        <v>-2538</v>
      </c>
      <c r="BJ28" s="188">
        <v>-18858</v>
      </c>
      <c r="BK28" s="188"/>
      <c r="BL28" s="92">
        <f t="shared" si="25"/>
        <v>16320</v>
      </c>
      <c r="BM28" s="89">
        <v>6164</v>
      </c>
      <c r="BN28" s="188">
        <v>2148</v>
      </c>
      <c r="BO28" s="94">
        <f t="shared" si="14"/>
        <v>-10236</v>
      </c>
      <c r="BP28" s="95">
        <f t="shared" si="15"/>
        <v>14172</v>
      </c>
      <c r="BQ28" s="96">
        <f t="shared" si="16"/>
        <v>-112.59599999999999</v>
      </c>
      <c r="BR28" s="188">
        <f t="shared" si="10"/>
        <v>-122.83199999999999</v>
      </c>
      <c r="BS28" s="266">
        <f t="shared" si="11"/>
        <v>13936.572</v>
      </c>
      <c r="BT28" s="299">
        <f>IF(CB28=TRUE, SUM(BO28:BR28), 0)</f>
        <v>3700.5720000000001</v>
      </c>
      <c r="BU28" s="189">
        <v>0</v>
      </c>
      <c r="BV28" s="85">
        <f>BU28-SUM(BG28,BL28)</f>
        <v>-12248</v>
      </c>
      <c r="CA28" s="146" t="s">
        <v>288</v>
      </c>
      <c r="CB28" s="357" t="b">
        <v>1</v>
      </c>
    </row>
    <row r="29" spans="1:80" s="88" customFormat="1" ht="14.4" thickBot="1" x14ac:dyDescent="0.3">
      <c r="A29" s="1">
        <v>4</v>
      </c>
      <c r="B29" s="1"/>
      <c r="C29" s="256" t="s">
        <v>2</v>
      </c>
      <c r="D29" s="257">
        <v>1584</v>
      </c>
      <c r="E29" s="202">
        <v>-513630</v>
      </c>
      <c r="F29" s="203">
        <v>36888</v>
      </c>
      <c r="G29" s="90">
        <v>-409791</v>
      </c>
      <c r="H29" s="90"/>
      <c r="I29" s="91">
        <f t="shared" ref="I29:I39" si="26">E29+F29-G29+H29</f>
        <v>-66951</v>
      </c>
      <c r="J29" s="204">
        <v>-29534</v>
      </c>
      <c r="K29" s="205">
        <v>-4040</v>
      </c>
      <c r="L29" s="90">
        <v>-29753</v>
      </c>
      <c r="M29" s="90"/>
      <c r="N29" s="92">
        <f t="shared" ref="N29:N39" si="27">J29+K29-L29+M29</f>
        <v>-3821</v>
      </c>
      <c r="O29" s="93">
        <f t="shared" si="19"/>
        <v>-66951</v>
      </c>
      <c r="P29" s="230">
        <v>-20724</v>
      </c>
      <c r="Q29" s="185">
        <v>-103839</v>
      </c>
      <c r="R29" s="188"/>
      <c r="S29" s="91">
        <f t="shared" ref="S29:S35" si="28">O29+P29-Q29+SUM(R29:R29)</f>
        <v>16164</v>
      </c>
      <c r="T29" s="94">
        <f t="shared" si="20"/>
        <v>-3821</v>
      </c>
      <c r="U29" s="233">
        <v>-189</v>
      </c>
      <c r="V29" s="187">
        <v>-833</v>
      </c>
      <c r="W29" s="188"/>
      <c r="X29" s="92">
        <f t="shared" si="21"/>
        <v>-3177</v>
      </c>
      <c r="Y29" s="93">
        <f t="shared" si="0"/>
        <v>16164</v>
      </c>
      <c r="Z29" s="188">
        <v>57082</v>
      </c>
      <c r="AA29" s="188">
        <v>36888</v>
      </c>
      <c r="AB29" s="188"/>
      <c r="AC29" s="91">
        <f t="shared" si="1"/>
        <v>36358</v>
      </c>
      <c r="AD29" s="94">
        <f t="shared" si="2"/>
        <v>-3177</v>
      </c>
      <c r="AE29" s="188">
        <v>-480</v>
      </c>
      <c r="AF29" s="188">
        <v>-4297</v>
      </c>
      <c r="AG29" s="188"/>
      <c r="AH29" s="92">
        <f t="shared" si="22"/>
        <v>640</v>
      </c>
      <c r="AI29" s="93">
        <f t="shared" si="3"/>
        <v>36358</v>
      </c>
      <c r="AJ29" s="188">
        <v>382888</v>
      </c>
      <c r="AK29" s="188">
        <v>-20724</v>
      </c>
      <c r="AL29" s="188"/>
      <c r="AM29" s="91">
        <f t="shared" si="12"/>
        <v>439970</v>
      </c>
      <c r="AN29" s="94">
        <f t="shared" si="4"/>
        <v>640</v>
      </c>
      <c r="AO29" s="188">
        <v>3571</v>
      </c>
      <c r="AP29" s="188">
        <v>714</v>
      </c>
      <c r="AQ29" s="90"/>
      <c r="AR29" s="92">
        <f t="shared" si="23"/>
        <v>3497</v>
      </c>
      <c r="AS29" s="93">
        <f t="shared" si="5"/>
        <v>439970</v>
      </c>
      <c r="AT29" s="188">
        <v>-96692</v>
      </c>
      <c r="AU29" s="188"/>
      <c r="AV29" s="188"/>
      <c r="AW29" s="91">
        <f t="shared" si="6"/>
        <v>343278</v>
      </c>
      <c r="AX29" s="94">
        <f t="shared" si="7"/>
        <v>3497</v>
      </c>
      <c r="AY29" s="188">
        <v>5730</v>
      </c>
      <c r="AZ29" s="188"/>
      <c r="BA29" s="90"/>
      <c r="BB29" s="92">
        <f t="shared" si="24"/>
        <v>9227</v>
      </c>
      <c r="BC29" s="93">
        <f t="shared" si="8"/>
        <v>343278</v>
      </c>
      <c r="BD29" s="188">
        <v>92901</v>
      </c>
      <c r="BE29" s="188">
        <v>439970</v>
      </c>
      <c r="BF29" s="90"/>
      <c r="BG29" s="91">
        <f t="shared" ref="BG29:BG35" si="29">BC29+BD29-BE29+SUM(BF29:BF29)</f>
        <v>-3791</v>
      </c>
      <c r="BH29" s="94">
        <f t="shared" si="9"/>
        <v>9227</v>
      </c>
      <c r="BI29" s="188">
        <v>-504</v>
      </c>
      <c r="BJ29" s="188">
        <v>9965</v>
      </c>
      <c r="BK29" s="188"/>
      <c r="BL29" s="92">
        <f t="shared" si="25"/>
        <v>-1242</v>
      </c>
      <c r="BM29" s="89">
        <v>-96692</v>
      </c>
      <c r="BN29" s="188">
        <v>-1891</v>
      </c>
      <c r="BO29" s="94">
        <f t="shared" si="14"/>
        <v>92901</v>
      </c>
      <c r="BP29" s="95">
        <f t="shared" si="15"/>
        <v>649</v>
      </c>
      <c r="BQ29" s="96">
        <f t="shared" si="16"/>
        <v>1021.9109999999999</v>
      </c>
      <c r="BR29" s="188">
        <f t="shared" ref="BR29:BR32" si="30">(BO29*9/12*1.1%)+(BO29*3/12*1.5%)</f>
        <v>1114.8119999999999</v>
      </c>
      <c r="BS29" s="266">
        <f t="shared" si="11"/>
        <v>2785.723</v>
      </c>
      <c r="BT29" s="299">
        <f t="shared" ref="BT29:BT83" si="31">SUM(BO29:BR29)</f>
        <v>95686.722999999998</v>
      </c>
      <c r="BU29" s="189">
        <v>-5032.24</v>
      </c>
      <c r="BV29" s="85">
        <f t="shared" si="17"/>
        <v>0.76000000000021828</v>
      </c>
      <c r="CB29" s="357"/>
    </row>
    <row r="30" spans="1:80" s="88" customFormat="1" ht="14.4" thickBot="1" x14ac:dyDescent="0.3">
      <c r="A30" s="1">
        <v>5</v>
      </c>
      <c r="B30" s="1"/>
      <c r="C30" s="256" t="s">
        <v>3</v>
      </c>
      <c r="D30" s="257">
        <v>1586</v>
      </c>
      <c r="E30" s="202">
        <v>572628</v>
      </c>
      <c r="F30" s="203">
        <v>-113473</v>
      </c>
      <c r="G30" s="90">
        <v>613136</v>
      </c>
      <c r="H30" s="90"/>
      <c r="I30" s="91">
        <f t="shared" si="26"/>
        <v>-153981</v>
      </c>
      <c r="J30" s="204">
        <v>71522</v>
      </c>
      <c r="K30" s="205">
        <v>3972</v>
      </c>
      <c r="L30" s="90">
        <v>72675</v>
      </c>
      <c r="M30" s="90"/>
      <c r="N30" s="92">
        <f t="shared" si="27"/>
        <v>2819</v>
      </c>
      <c r="O30" s="93">
        <f t="shared" si="19"/>
        <v>-153981</v>
      </c>
      <c r="P30" s="230">
        <v>-99359</v>
      </c>
      <c r="Q30" s="185">
        <v>-40508</v>
      </c>
      <c r="R30" s="188"/>
      <c r="S30" s="91">
        <f t="shared" si="28"/>
        <v>-212832</v>
      </c>
      <c r="T30" s="94">
        <f t="shared" si="20"/>
        <v>2819</v>
      </c>
      <c r="U30" s="233">
        <v>-2733</v>
      </c>
      <c r="V30" s="187">
        <v>-1565</v>
      </c>
      <c r="W30" s="188"/>
      <c r="X30" s="92">
        <f t="shared" si="21"/>
        <v>1651</v>
      </c>
      <c r="Y30" s="93">
        <f t="shared" si="0"/>
        <v>-212832</v>
      </c>
      <c r="Z30" s="188">
        <v>65226</v>
      </c>
      <c r="AA30" s="188">
        <v>-113473</v>
      </c>
      <c r="AB30" s="188"/>
      <c r="AC30" s="91">
        <f t="shared" si="1"/>
        <v>-34133</v>
      </c>
      <c r="AD30" s="94">
        <f t="shared" si="2"/>
        <v>1651</v>
      </c>
      <c r="AE30" s="188">
        <v>-2364</v>
      </c>
      <c r="AF30" s="188">
        <v>1393</v>
      </c>
      <c r="AG30" s="188"/>
      <c r="AH30" s="92">
        <f t="shared" si="22"/>
        <v>-2106</v>
      </c>
      <c r="AI30" s="93">
        <f t="shared" si="3"/>
        <v>-34133</v>
      </c>
      <c r="AJ30" s="188">
        <v>240668</v>
      </c>
      <c r="AK30" s="188">
        <v>-99359</v>
      </c>
      <c r="AL30" s="188"/>
      <c r="AM30" s="91">
        <f t="shared" si="12"/>
        <v>305894</v>
      </c>
      <c r="AN30" s="94">
        <f t="shared" si="4"/>
        <v>-2106</v>
      </c>
      <c r="AO30" s="188">
        <v>2073</v>
      </c>
      <c r="AP30" s="188">
        <v>-1689</v>
      </c>
      <c r="AQ30" s="90"/>
      <c r="AR30" s="92">
        <f t="shared" si="23"/>
        <v>1656</v>
      </c>
      <c r="AS30" s="93">
        <f t="shared" si="5"/>
        <v>305894</v>
      </c>
      <c r="AT30" s="188">
        <v>-157935</v>
      </c>
      <c r="AU30" s="188"/>
      <c r="AV30" s="188"/>
      <c r="AW30" s="91">
        <f t="shared" si="6"/>
        <v>147959</v>
      </c>
      <c r="AX30" s="94">
        <f t="shared" si="7"/>
        <v>1656</v>
      </c>
      <c r="AY30" s="188">
        <v>3374</v>
      </c>
      <c r="AZ30" s="188"/>
      <c r="BA30" s="90"/>
      <c r="BB30" s="92">
        <f t="shared" si="24"/>
        <v>5030</v>
      </c>
      <c r="BC30" s="93">
        <f t="shared" si="8"/>
        <v>147959</v>
      </c>
      <c r="BD30" s="188">
        <v>185312</v>
      </c>
      <c r="BE30" s="188">
        <v>305894</v>
      </c>
      <c r="BF30" s="90"/>
      <c r="BG30" s="91">
        <f t="shared" si="29"/>
        <v>27377</v>
      </c>
      <c r="BH30" s="94">
        <f t="shared" si="9"/>
        <v>5030</v>
      </c>
      <c r="BI30" s="188">
        <v>-1109</v>
      </c>
      <c r="BJ30" s="188">
        <v>6153</v>
      </c>
      <c r="BK30" s="188"/>
      <c r="BL30" s="92">
        <f t="shared" si="25"/>
        <v>-2232</v>
      </c>
      <c r="BM30" s="89">
        <v>-157935</v>
      </c>
      <c r="BN30" s="188">
        <v>-3006</v>
      </c>
      <c r="BO30" s="94">
        <f t="shared" si="14"/>
        <v>185312</v>
      </c>
      <c r="BP30" s="95">
        <f t="shared" si="15"/>
        <v>774</v>
      </c>
      <c r="BQ30" s="96">
        <f t="shared" si="16"/>
        <v>2038.4319999999998</v>
      </c>
      <c r="BR30" s="188">
        <f t="shared" si="30"/>
        <v>2223.7440000000001</v>
      </c>
      <c r="BS30" s="266">
        <f t="shared" si="11"/>
        <v>5036.1759999999995</v>
      </c>
      <c r="BT30" s="299">
        <f t="shared" si="31"/>
        <v>190348.17600000001</v>
      </c>
      <c r="BU30" s="189">
        <v>25144.329999999998</v>
      </c>
      <c r="BV30" s="85">
        <f t="shared" si="17"/>
        <v>-0.67000000000189175</v>
      </c>
      <c r="CB30" s="357"/>
    </row>
    <row r="31" spans="1:80" s="88" customFormat="1" ht="14.4" thickBot="1" x14ac:dyDescent="0.3">
      <c r="A31" s="1">
        <v>6</v>
      </c>
      <c r="B31" s="1"/>
      <c r="C31" s="256" t="s">
        <v>48</v>
      </c>
      <c r="D31" s="257">
        <v>1588</v>
      </c>
      <c r="E31" s="184">
        <v>649281</v>
      </c>
      <c r="F31" s="203">
        <v>-117209</v>
      </c>
      <c r="G31" s="90">
        <v>620568</v>
      </c>
      <c r="H31" s="90"/>
      <c r="I31" s="91">
        <f t="shared" si="26"/>
        <v>-88496</v>
      </c>
      <c r="J31" s="188">
        <v>-1739</v>
      </c>
      <c r="K31" s="188">
        <v>13842</v>
      </c>
      <c r="L31" s="90">
        <v>4720</v>
      </c>
      <c r="M31" s="90"/>
      <c r="N31" s="92">
        <f t="shared" si="27"/>
        <v>7383</v>
      </c>
      <c r="O31" s="93">
        <f t="shared" si="19"/>
        <v>-88496</v>
      </c>
      <c r="P31" s="188">
        <v>-248519</v>
      </c>
      <c r="Q31" s="185">
        <v>28713</v>
      </c>
      <c r="R31" s="188"/>
      <c r="S31" s="91">
        <f t="shared" si="28"/>
        <v>-365728</v>
      </c>
      <c r="T31" s="94">
        <f t="shared" si="20"/>
        <v>7383</v>
      </c>
      <c r="U31" s="188">
        <v>-1901</v>
      </c>
      <c r="V31" s="187">
        <v>3272</v>
      </c>
      <c r="W31" s="188"/>
      <c r="X31" s="92">
        <f t="shared" si="21"/>
        <v>2210</v>
      </c>
      <c r="Y31" s="93">
        <f t="shared" si="0"/>
        <v>-365728</v>
      </c>
      <c r="Z31" s="188">
        <v>-70987</v>
      </c>
      <c r="AA31" s="188">
        <v>-117209</v>
      </c>
      <c r="AB31" s="188"/>
      <c r="AC31" s="91">
        <f t="shared" si="1"/>
        <v>-319506</v>
      </c>
      <c r="AD31" s="94">
        <f t="shared" si="2"/>
        <v>2210</v>
      </c>
      <c r="AE31" s="188">
        <v>-4628</v>
      </c>
      <c r="AF31" s="188">
        <v>2391</v>
      </c>
      <c r="AG31" s="188"/>
      <c r="AH31" s="92">
        <f t="shared" si="22"/>
        <v>-4809</v>
      </c>
      <c r="AI31" s="93">
        <f t="shared" si="3"/>
        <v>-319506</v>
      </c>
      <c r="AJ31" s="188">
        <v>420819</v>
      </c>
      <c r="AK31" s="188">
        <v>-248519</v>
      </c>
      <c r="AL31" s="188"/>
      <c r="AM31" s="91">
        <f t="shared" si="12"/>
        <v>349832</v>
      </c>
      <c r="AN31" s="94">
        <f t="shared" si="4"/>
        <v>-4809</v>
      </c>
      <c r="AO31" s="188">
        <v>249</v>
      </c>
      <c r="AP31" s="188">
        <v>-5052</v>
      </c>
      <c r="AQ31" s="90"/>
      <c r="AR31" s="92">
        <f t="shared" si="23"/>
        <v>492</v>
      </c>
      <c r="AS31" s="93">
        <f t="shared" si="5"/>
        <v>349832</v>
      </c>
      <c r="AT31" s="188">
        <v>183234</v>
      </c>
      <c r="AU31" s="188"/>
      <c r="AV31" s="188"/>
      <c r="AW31" s="91">
        <f t="shared" si="6"/>
        <v>533066</v>
      </c>
      <c r="AX31" s="94">
        <f t="shared" si="7"/>
        <v>492</v>
      </c>
      <c r="AY31" s="188">
        <v>11112</v>
      </c>
      <c r="AZ31" s="188"/>
      <c r="BA31" s="90"/>
      <c r="BB31" s="92">
        <f t="shared" si="24"/>
        <v>11604</v>
      </c>
      <c r="BC31" s="93">
        <f t="shared" si="8"/>
        <v>533066</v>
      </c>
      <c r="BD31" s="188">
        <v>-516208</v>
      </c>
      <c r="BE31" s="188">
        <v>349831</v>
      </c>
      <c r="BF31" s="90">
        <v>148378</v>
      </c>
      <c r="BG31" s="91">
        <f t="shared" si="29"/>
        <v>-184595</v>
      </c>
      <c r="BH31" s="94">
        <f t="shared" si="9"/>
        <v>11604</v>
      </c>
      <c r="BI31" s="188">
        <v>1400</v>
      </c>
      <c r="BJ31" s="188">
        <v>5635</v>
      </c>
      <c r="BK31" s="188"/>
      <c r="BL31" s="92">
        <f t="shared" si="25"/>
        <v>7369</v>
      </c>
      <c r="BM31" s="89">
        <v>183234</v>
      </c>
      <c r="BN31" s="188">
        <v>8154</v>
      </c>
      <c r="BO31" s="94">
        <f t="shared" si="14"/>
        <v>-367829</v>
      </c>
      <c r="BP31" s="95">
        <f t="shared" si="15"/>
        <v>-785</v>
      </c>
      <c r="BQ31" s="96">
        <f t="shared" si="16"/>
        <v>-4046.1189999999997</v>
      </c>
      <c r="BR31" s="188">
        <f t="shared" si="30"/>
        <v>-4413.9480000000003</v>
      </c>
      <c r="BS31" s="266">
        <f t="shared" si="11"/>
        <v>-9245.0669999999991</v>
      </c>
      <c r="BT31" s="299">
        <f t="shared" si="31"/>
        <v>-377074.06699999998</v>
      </c>
      <c r="BU31" s="189">
        <v>-325605.25</v>
      </c>
      <c r="BV31" s="85">
        <f t="shared" si="17"/>
        <v>-148379.25</v>
      </c>
      <c r="CB31" s="357"/>
    </row>
    <row r="32" spans="1:80" s="88" customFormat="1" ht="14.4" thickBot="1" x14ac:dyDescent="0.3">
      <c r="A32" s="1">
        <v>7</v>
      </c>
      <c r="B32" s="1"/>
      <c r="C32" s="256" t="s">
        <v>81</v>
      </c>
      <c r="D32" s="257">
        <v>1589</v>
      </c>
      <c r="E32" s="202">
        <v>316313</v>
      </c>
      <c r="F32" s="203">
        <v>-30715</v>
      </c>
      <c r="G32" s="90">
        <v>107517</v>
      </c>
      <c r="H32" s="90"/>
      <c r="I32" s="91">
        <f t="shared" si="26"/>
        <v>178081</v>
      </c>
      <c r="J32" s="206">
        <v>13502</v>
      </c>
      <c r="K32" s="207">
        <v>2156</v>
      </c>
      <c r="L32" s="90">
        <v>17442</v>
      </c>
      <c r="M32" s="90"/>
      <c r="N32" s="92">
        <f t="shared" si="27"/>
        <v>-1784</v>
      </c>
      <c r="O32" s="93">
        <f t="shared" si="19"/>
        <v>178081</v>
      </c>
      <c r="P32" s="231">
        <v>441977</v>
      </c>
      <c r="Q32" s="185">
        <v>208797</v>
      </c>
      <c r="R32" s="188"/>
      <c r="S32" s="91">
        <f t="shared" si="28"/>
        <v>411261</v>
      </c>
      <c r="T32" s="94">
        <f t="shared" si="20"/>
        <v>-1784</v>
      </c>
      <c r="U32" s="234">
        <v>3909</v>
      </c>
      <c r="V32" s="187">
        <v>-1822</v>
      </c>
      <c r="W32" s="188"/>
      <c r="X32" s="92">
        <f t="shared" si="21"/>
        <v>3947</v>
      </c>
      <c r="Y32" s="93">
        <f t="shared" si="0"/>
        <v>411261</v>
      </c>
      <c r="Z32" s="188">
        <v>120240</v>
      </c>
      <c r="AA32" s="188">
        <v>-30716</v>
      </c>
      <c r="AB32" s="188"/>
      <c r="AC32" s="91">
        <f t="shared" si="1"/>
        <v>562217</v>
      </c>
      <c r="AD32" s="94">
        <f t="shared" si="2"/>
        <v>3947</v>
      </c>
      <c r="AE32" s="188">
        <v>-447</v>
      </c>
      <c r="AF32" s="188">
        <v>-3522</v>
      </c>
      <c r="AG32" s="188"/>
      <c r="AH32" s="92">
        <f t="shared" si="22"/>
        <v>7022</v>
      </c>
      <c r="AI32" s="93">
        <f t="shared" si="3"/>
        <v>562217</v>
      </c>
      <c r="AJ32" s="188">
        <v>477578</v>
      </c>
      <c r="AK32" s="188">
        <v>441977</v>
      </c>
      <c r="AL32" s="188"/>
      <c r="AM32" s="91">
        <f t="shared" si="12"/>
        <v>597818</v>
      </c>
      <c r="AN32" s="94">
        <f t="shared" si="4"/>
        <v>7022</v>
      </c>
      <c r="AO32" s="188">
        <v>7603</v>
      </c>
      <c r="AP32" s="188">
        <v>16132</v>
      </c>
      <c r="AQ32" s="90"/>
      <c r="AR32" s="92">
        <f t="shared" si="23"/>
        <v>-1507</v>
      </c>
      <c r="AS32" s="93">
        <f t="shared" si="5"/>
        <v>597818</v>
      </c>
      <c r="AT32" s="188">
        <v>443215</v>
      </c>
      <c r="AU32" s="188"/>
      <c r="AV32" s="188"/>
      <c r="AW32" s="91">
        <f t="shared" si="6"/>
        <v>1041033</v>
      </c>
      <c r="AX32" s="94">
        <f t="shared" si="7"/>
        <v>-1507</v>
      </c>
      <c r="AY32" s="188">
        <v>6070</v>
      </c>
      <c r="AZ32" s="188"/>
      <c r="BA32" s="90"/>
      <c r="BB32" s="92">
        <f t="shared" si="24"/>
        <v>4563</v>
      </c>
      <c r="BC32" s="93">
        <f t="shared" si="8"/>
        <v>1041033</v>
      </c>
      <c r="BD32" s="188">
        <v>363636</v>
      </c>
      <c r="BE32" s="188">
        <v>597818</v>
      </c>
      <c r="BF32" s="90"/>
      <c r="BG32" s="91">
        <f t="shared" si="29"/>
        <v>806851</v>
      </c>
      <c r="BH32" s="94">
        <f t="shared" si="9"/>
        <v>4563</v>
      </c>
      <c r="BI32" s="188">
        <v>5083</v>
      </c>
      <c r="BJ32" s="188">
        <v>7281</v>
      </c>
      <c r="BK32" s="188"/>
      <c r="BL32" s="92">
        <f t="shared" si="25"/>
        <v>2365</v>
      </c>
      <c r="BM32" s="89">
        <v>443215</v>
      </c>
      <c r="BN32" s="188">
        <v>2567</v>
      </c>
      <c r="BO32" s="94">
        <f t="shared" si="14"/>
        <v>363636</v>
      </c>
      <c r="BP32" s="95">
        <f t="shared" si="15"/>
        <v>-202</v>
      </c>
      <c r="BQ32" s="96">
        <f t="shared" si="16"/>
        <v>3999.9959999999996</v>
      </c>
      <c r="BR32" s="188">
        <f t="shared" si="30"/>
        <v>4363.6320000000005</v>
      </c>
      <c r="BS32" s="266">
        <f t="shared" si="11"/>
        <v>8161.6280000000006</v>
      </c>
      <c r="BT32" s="299">
        <f>SUM(BO32:BR32)</f>
        <v>371797.62799999997</v>
      </c>
      <c r="BU32" s="189">
        <v>809216.83000000007</v>
      </c>
      <c r="BV32" s="85">
        <f t="shared" si="17"/>
        <v>0.83000000007450581</v>
      </c>
      <c r="CB32" s="357"/>
    </row>
    <row r="33" spans="1:80" s="88" customFormat="1" ht="16.8" thickBot="1" x14ac:dyDescent="0.3">
      <c r="A33" s="1">
        <v>8</v>
      </c>
      <c r="B33" s="1"/>
      <c r="C33" s="258" t="s">
        <v>241</v>
      </c>
      <c r="D33" s="257">
        <v>1595</v>
      </c>
      <c r="E33" s="184"/>
      <c r="F33" s="203"/>
      <c r="G33" s="90"/>
      <c r="H33" s="90"/>
      <c r="I33" s="91">
        <f t="shared" si="26"/>
        <v>0</v>
      </c>
      <c r="J33" s="188"/>
      <c r="K33" s="188"/>
      <c r="L33" s="90"/>
      <c r="M33" s="90"/>
      <c r="N33" s="92">
        <f t="shared" si="27"/>
        <v>0</v>
      </c>
      <c r="O33" s="93">
        <f>I33</f>
        <v>0</v>
      </c>
      <c r="P33" s="232"/>
      <c r="Q33" s="185"/>
      <c r="R33" s="188"/>
      <c r="S33" s="91">
        <f t="shared" si="28"/>
        <v>0</v>
      </c>
      <c r="T33" s="94">
        <f>N33</f>
        <v>0</v>
      </c>
      <c r="U33" s="188"/>
      <c r="V33" s="187"/>
      <c r="W33" s="188">
        <v>-50021</v>
      </c>
      <c r="X33" s="92">
        <f t="shared" si="21"/>
        <v>-50021</v>
      </c>
      <c r="Y33" s="93">
        <f t="shared" ref="Y33:Y39" si="32">S33</f>
        <v>0</v>
      </c>
      <c r="Z33" s="188">
        <v>8405</v>
      </c>
      <c r="AA33" s="188"/>
      <c r="AB33" s="188"/>
      <c r="AC33" s="91">
        <f t="shared" si="1"/>
        <v>8405</v>
      </c>
      <c r="AD33" s="94">
        <f t="shared" si="2"/>
        <v>-50021</v>
      </c>
      <c r="AE33" s="188">
        <v>96656</v>
      </c>
      <c r="AF33" s="188"/>
      <c r="AG33" s="188"/>
      <c r="AH33" s="92">
        <f t="shared" si="22"/>
        <v>46635</v>
      </c>
      <c r="AI33" s="93">
        <f t="shared" si="3"/>
        <v>8405</v>
      </c>
      <c r="AJ33" s="188">
        <v>-48523</v>
      </c>
      <c r="AK33" s="188"/>
      <c r="AL33" s="188"/>
      <c r="AM33" s="91">
        <f t="shared" si="12"/>
        <v>-40118</v>
      </c>
      <c r="AN33" s="94">
        <f t="shared" si="4"/>
        <v>46635</v>
      </c>
      <c r="AO33" s="188">
        <v>-418</v>
      </c>
      <c r="AP33" s="188"/>
      <c r="AQ33" s="90"/>
      <c r="AR33" s="92">
        <f t="shared" si="23"/>
        <v>46217</v>
      </c>
      <c r="AS33" s="93">
        <f t="shared" ref="AS33:AS39" si="33">AM33</f>
        <v>-40118</v>
      </c>
      <c r="AT33" s="188">
        <v>-267</v>
      </c>
      <c r="AU33" s="188"/>
      <c r="AV33" s="188"/>
      <c r="AW33" s="91">
        <f t="shared" si="6"/>
        <v>-40385</v>
      </c>
      <c r="AX33" s="94">
        <f t="shared" si="7"/>
        <v>46217</v>
      </c>
      <c r="AY33" s="188">
        <v>34</v>
      </c>
      <c r="AZ33" s="188"/>
      <c r="BA33" s="90"/>
      <c r="BB33" s="92">
        <f t="shared" si="24"/>
        <v>46251</v>
      </c>
      <c r="BC33" s="93">
        <f t="shared" ref="BC33:BC39" si="34">AW33</f>
        <v>-40385</v>
      </c>
      <c r="BD33" s="188">
        <v>267</v>
      </c>
      <c r="BE33" s="188">
        <v>-40118</v>
      </c>
      <c r="BF33" s="90"/>
      <c r="BG33" s="91">
        <f t="shared" si="29"/>
        <v>0</v>
      </c>
      <c r="BH33" s="94">
        <f t="shared" si="9"/>
        <v>46251</v>
      </c>
      <c r="BI33" s="188">
        <v>-624</v>
      </c>
      <c r="BJ33" s="188">
        <v>45627</v>
      </c>
      <c r="BK33" s="90"/>
      <c r="BL33" s="92">
        <f t="shared" si="25"/>
        <v>0</v>
      </c>
      <c r="BM33" s="89">
        <v>-267</v>
      </c>
      <c r="BN33" s="188">
        <v>622</v>
      </c>
      <c r="BO33" s="94">
        <f t="shared" si="14"/>
        <v>267</v>
      </c>
      <c r="BP33" s="95">
        <f t="shared" si="15"/>
        <v>-622</v>
      </c>
      <c r="BQ33" s="96">
        <f t="shared" si="16"/>
        <v>2.9369999999999998</v>
      </c>
      <c r="BR33" s="188"/>
      <c r="BS33" s="266">
        <f t="shared" si="11"/>
        <v>-619.06299999999999</v>
      </c>
      <c r="BT33" s="299">
        <f t="shared" ref="BT33:BT39" si="35">IF(CB33=TRUE, SUM(BO33:BR33), 0)</f>
        <v>-352.06299999999999</v>
      </c>
      <c r="BU33" s="189"/>
      <c r="BV33" s="85">
        <f t="shared" si="17"/>
        <v>0</v>
      </c>
      <c r="CA33" s="294" t="s">
        <v>289</v>
      </c>
      <c r="CB33" s="357" t="b">
        <v>1</v>
      </c>
    </row>
    <row r="34" spans="1:80" s="88" customFormat="1" ht="16.8" thickBot="1" x14ac:dyDescent="0.3">
      <c r="A34" s="1">
        <v>9</v>
      </c>
      <c r="B34" s="1"/>
      <c r="C34" s="258" t="s">
        <v>242</v>
      </c>
      <c r="D34" s="257">
        <v>1595</v>
      </c>
      <c r="E34" s="110"/>
      <c r="F34" s="90"/>
      <c r="G34" s="90"/>
      <c r="H34" s="90"/>
      <c r="I34" s="91">
        <f t="shared" si="26"/>
        <v>0</v>
      </c>
      <c r="J34" s="90"/>
      <c r="K34" s="90"/>
      <c r="L34" s="90"/>
      <c r="M34" s="90"/>
      <c r="N34" s="92">
        <f t="shared" si="27"/>
        <v>0</v>
      </c>
      <c r="O34" s="93">
        <f t="shared" si="19"/>
        <v>0</v>
      </c>
      <c r="P34" s="185">
        <v>-7183</v>
      </c>
      <c r="Q34" s="185"/>
      <c r="R34" s="188"/>
      <c r="S34" s="91">
        <f>O34+P34-Q34+SUM(R34:R34)</f>
        <v>-7183</v>
      </c>
      <c r="T34" s="94">
        <f t="shared" si="20"/>
        <v>0</v>
      </c>
      <c r="U34" s="187"/>
      <c r="V34" s="187"/>
      <c r="W34" s="188">
        <v>-86868</v>
      </c>
      <c r="X34" s="92">
        <f t="shared" si="21"/>
        <v>-86868</v>
      </c>
      <c r="Y34" s="93">
        <f t="shared" si="32"/>
        <v>-7183</v>
      </c>
      <c r="Z34" s="188"/>
      <c r="AA34" s="188"/>
      <c r="AB34" s="188"/>
      <c r="AC34" s="91">
        <f t="shared" si="1"/>
        <v>-7183</v>
      </c>
      <c r="AD34" s="94">
        <f t="shared" si="2"/>
        <v>-86868</v>
      </c>
      <c r="AE34" s="188">
        <v>-141</v>
      </c>
      <c r="AF34" s="188"/>
      <c r="AG34" s="188"/>
      <c r="AH34" s="92">
        <f t="shared" si="22"/>
        <v>-87009</v>
      </c>
      <c r="AI34" s="93">
        <f t="shared" si="3"/>
        <v>-7183</v>
      </c>
      <c r="AJ34" s="188">
        <v>0</v>
      </c>
      <c r="AK34" s="188">
        <v>-7183</v>
      </c>
      <c r="AL34" s="188"/>
      <c r="AM34" s="91">
        <f t="shared" si="12"/>
        <v>0</v>
      </c>
      <c r="AN34" s="94">
        <f t="shared" si="4"/>
        <v>-87009</v>
      </c>
      <c r="AO34" s="188">
        <v>0</v>
      </c>
      <c r="AP34" s="188">
        <v>-87009</v>
      </c>
      <c r="AQ34" s="90"/>
      <c r="AR34" s="92">
        <f t="shared" si="23"/>
        <v>0</v>
      </c>
      <c r="AS34" s="93">
        <f t="shared" si="33"/>
        <v>0</v>
      </c>
      <c r="AT34" s="188"/>
      <c r="AU34" s="188"/>
      <c r="AV34" s="188"/>
      <c r="AW34" s="91">
        <f t="shared" si="6"/>
        <v>0</v>
      </c>
      <c r="AX34" s="94">
        <f t="shared" si="7"/>
        <v>0</v>
      </c>
      <c r="AY34" s="188"/>
      <c r="AZ34" s="188"/>
      <c r="BA34" s="90"/>
      <c r="BB34" s="92">
        <f t="shared" si="24"/>
        <v>0</v>
      </c>
      <c r="BC34" s="93">
        <f t="shared" si="34"/>
        <v>0</v>
      </c>
      <c r="BD34" s="188"/>
      <c r="BE34" s="188"/>
      <c r="BF34" s="90"/>
      <c r="BG34" s="91">
        <f t="shared" si="29"/>
        <v>0</v>
      </c>
      <c r="BH34" s="94">
        <f t="shared" si="9"/>
        <v>0</v>
      </c>
      <c r="BI34" s="188"/>
      <c r="BJ34" s="188"/>
      <c r="BK34" s="90"/>
      <c r="BL34" s="92">
        <f t="shared" si="25"/>
        <v>0</v>
      </c>
      <c r="BM34" s="89"/>
      <c r="BN34" s="188"/>
      <c r="BO34" s="94">
        <f t="shared" si="14"/>
        <v>0</v>
      </c>
      <c r="BP34" s="95">
        <f t="shared" si="15"/>
        <v>0</v>
      </c>
      <c r="BQ34" s="96">
        <f t="shared" si="16"/>
        <v>0</v>
      </c>
      <c r="BR34" s="188"/>
      <c r="BS34" s="266">
        <f t="shared" si="11"/>
        <v>0</v>
      </c>
      <c r="BT34" s="299">
        <f t="shared" si="35"/>
        <v>0</v>
      </c>
      <c r="BU34" s="189"/>
      <c r="BV34" s="85">
        <f t="shared" si="17"/>
        <v>0</v>
      </c>
      <c r="CA34" s="294" t="s">
        <v>290</v>
      </c>
      <c r="CB34" s="357" t="b">
        <v>1</v>
      </c>
    </row>
    <row r="35" spans="1:80" s="88" customFormat="1" ht="16.8" thickBot="1" x14ac:dyDescent="0.3">
      <c r="A35" s="1">
        <v>10</v>
      </c>
      <c r="B35" s="1"/>
      <c r="C35" s="258" t="s">
        <v>243</v>
      </c>
      <c r="D35" s="257">
        <v>1595</v>
      </c>
      <c r="E35" s="110"/>
      <c r="F35" s="90"/>
      <c r="G35" s="90"/>
      <c r="H35" s="90"/>
      <c r="I35" s="91">
        <f t="shared" si="26"/>
        <v>0</v>
      </c>
      <c r="J35" s="90"/>
      <c r="K35" s="90"/>
      <c r="L35" s="90"/>
      <c r="M35" s="90"/>
      <c r="N35" s="92">
        <f t="shared" si="27"/>
        <v>0</v>
      </c>
      <c r="O35" s="93">
        <f>I35</f>
        <v>0</v>
      </c>
      <c r="P35" s="185"/>
      <c r="Q35" s="185"/>
      <c r="R35" s="188"/>
      <c r="S35" s="91">
        <f t="shared" si="28"/>
        <v>0</v>
      </c>
      <c r="T35" s="94">
        <f>N35</f>
        <v>0</v>
      </c>
      <c r="U35" s="187"/>
      <c r="V35" s="187"/>
      <c r="W35" s="90"/>
      <c r="X35" s="92">
        <f>T35+U35-V35+W35</f>
        <v>0</v>
      </c>
      <c r="Y35" s="93">
        <f t="shared" si="32"/>
        <v>0</v>
      </c>
      <c r="Z35" s="188">
        <v>-7937</v>
      </c>
      <c r="AA35" s="188"/>
      <c r="AB35" s="188"/>
      <c r="AC35" s="91">
        <f t="shared" si="1"/>
        <v>-7937</v>
      </c>
      <c r="AD35" s="94">
        <f t="shared" si="2"/>
        <v>0</v>
      </c>
      <c r="AE35" s="188">
        <v>-9143</v>
      </c>
      <c r="AF35" s="188"/>
      <c r="AG35" s="188"/>
      <c r="AH35" s="92">
        <f>AD35+AE35-AF35+AG35</f>
        <v>-9143</v>
      </c>
      <c r="AI35" s="93">
        <f t="shared" si="3"/>
        <v>-7937</v>
      </c>
      <c r="AJ35" s="188">
        <v>-606</v>
      </c>
      <c r="AK35" s="188"/>
      <c r="AL35" s="188"/>
      <c r="AM35" s="91">
        <f t="shared" si="12"/>
        <v>-8543</v>
      </c>
      <c r="AN35" s="94">
        <f t="shared" si="4"/>
        <v>-9143</v>
      </c>
      <c r="AO35" s="188">
        <v>-121</v>
      </c>
      <c r="AP35" s="188"/>
      <c r="AQ35" s="90"/>
      <c r="AR35" s="92">
        <f>AN35+AO35-AP35+AQ35</f>
        <v>-9264</v>
      </c>
      <c r="AS35" s="93">
        <f t="shared" si="33"/>
        <v>-8543</v>
      </c>
      <c r="AT35" s="188"/>
      <c r="AU35" s="188"/>
      <c r="AV35" s="188"/>
      <c r="AW35" s="91">
        <f t="shared" si="6"/>
        <v>-8543</v>
      </c>
      <c r="AX35" s="94">
        <f t="shared" si="7"/>
        <v>-9264</v>
      </c>
      <c r="AY35" s="188">
        <v>-126</v>
      </c>
      <c r="AZ35" s="188"/>
      <c r="BA35" s="90"/>
      <c r="BB35" s="92">
        <f>AX35+AY35-AZ35+BA35</f>
        <v>-9390</v>
      </c>
      <c r="BC35" s="93">
        <f t="shared" si="34"/>
        <v>-8543</v>
      </c>
      <c r="BD35" s="188"/>
      <c r="BE35" s="188">
        <v>-8543</v>
      </c>
      <c r="BF35" s="90"/>
      <c r="BG35" s="91">
        <f t="shared" si="29"/>
        <v>0</v>
      </c>
      <c r="BH35" s="94">
        <f t="shared" si="9"/>
        <v>-9390</v>
      </c>
      <c r="BI35" s="188"/>
      <c r="BJ35" s="188">
        <v>-9390</v>
      </c>
      <c r="BK35" s="90"/>
      <c r="BL35" s="92">
        <f>BH35+BI35-BJ35+BK35</f>
        <v>0</v>
      </c>
      <c r="BM35" s="89"/>
      <c r="BN35" s="188"/>
      <c r="BO35" s="94">
        <f t="shared" si="14"/>
        <v>0</v>
      </c>
      <c r="BP35" s="95">
        <f t="shared" si="15"/>
        <v>0</v>
      </c>
      <c r="BQ35" s="96">
        <f t="shared" si="16"/>
        <v>0</v>
      </c>
      <c r="BR35" s="188"/>
      <c r="BS35" s="266">
        <f t="shared" si="11"/>
        <v>0</v>
      </c>
      <c r="BT35" s="299">
        <f t="shared" si="35"/>
        <v>0</v>
      </c>
      <c r="BU35" s="189"/>
      <c r="BV35" s="85">
        <f t="shared" si="17"/>
        <v>0</v>
      </c>
      <c r="CA35" s="294" t="s">
        <v>291</v>
      </c>
      <c r="CB35" s="357" t="b">
        <v>0</v>
      </c>
    </row>
    <row r="36" spans="1:80" s="88" customFormat="1" ht="16.8" thickBot="1" x14ac:dyDescent="0.3">
      <c r="A36" s="1">
        <v>11</v>
      </c>
      <c r="B36" s="1"/>
      <c r="C36" s="258" t="s">
        <v>244</v>
      </c>
      <c r="D36" s="257">
        <v>1595</v>
      </c>
      <c r="E36" s="110"/>
      <c r="F36" s="90"/>
      <c r="G36" s="90"/>
      <c r="H36" s="90"/>
      <c r="I36" s="91">
        <f t="shared" si="26"/>
        <v>0</v>
      </c>
      <c r="J36" s="90"/>
      <c r="K36" s="90"/>
      <c r="L36" s="90"/>
      <c r="M36" s="90"/>
      <c r="N36" s="92">
        <f t="shared" si="27"/>
        <v>0</v>
      </c>
      <c r="O36" s="93">
        <f>I36</f>
        <v>0</v>
      </c>
      <c r="P36" s="90"/>
      <c r="Q36" s="90"/>
      <c r="R36" s="188"/>
      <c r="S36" s="91">
        <f>O36+P36-Q36+SUM(R36:R36)</f>
        <v>0</v>
      </c>
      <c r="T36" s="94">
        <f>N36</f>
        <v>0</v>
      </c>
      <c r="U36" s="187"/>
      <c r="V36" s="187"/>
      <c r="W36" s="90"/>
      <c r="X36" s="92">
        <f>T36+U36-V36+W36</f>
        <v>0</v>
      </c>
      <c r="Y36" s="93">
        <f t="shared" si="32"/>
        <v>0</v>
      </c>
      <c r="Z36" s="188"/>
      <c r="AA36" s="188"/>
      <c r="AB36" s="188"/>
      <c r="AC36" s="91">
        <f>Y36+Z36-AA36+SUM(AB36:AB36)</f>
        <v>0</v>
      </c>
      <c r="AD36" s="94">
        <f>X36</f>
        <v>0</v>
      </c>
      <c r="AE36" s="188"/>
      <c r="AF36" s="188"/>
      <c r="AG36" s="188"/>
      <c r="AH36" s="92">
        <f>AD36+AE36-AF36+AG36</f>
        <v>0</v>
      </c>
      <c r="AI36" s="93">
        <f t="shared" si="3"/>
        <v>0</v>
      </c>
      <c r="AJ36" s="188">
        <v>-203204</v>
      </c>
      <c r="AK36" s="188"/>
      <c r="AL36" s="188"/>
      <c r="AM36" s="91">
        <f t="shared" si="12"/>
        <v>-203204</v>
      </c>
      <c r="AN36" s="94">
        <f t="shared" si="4"/>
        <v>0</v>
      </c>
      <c r="AO36" s="188">
        <v>-109339</v>
      </c>
      <c r="AP36" s="188"/>
      <c r="AQ36" s="90"/>
      <c r="AR36" s="92">
        <f>AN36+AO36-AP36+AQ36</f>
        <v>-109339</v>
      </c>
      <c r="AS36" s="93">
        <f t="shared" si="33"/>
        <v>-203204</v>
      </c>
      <c r="AT36" s="188">
        <v>264952</v>
      </c>
      <c r="AU36" s="188"/>
      <c r="AV36" s="188"/>
      <c r="AW36" s="91">
        <f t="shared" si="6"/>
        <v>61748</v>
      </c>
      <c r="AX36" s="94">
        <f t="shared" si="7"/>
        <v>-109339</v>
      </c>
      <c r="AY36" s="188">
        <v>71135</v>
      </c>
      <c r="AZ36" s="188"/>
      <c r="BA36" s="90"/>
      <c r="BB36" s="92">
        <f>AX36+AY36-AZ36+BA36</f>
        <v>-38204</v>
      </c>
      <c r="BC36" s="93">
        <f t="shared" si="34"/>
        <v>61748</v>
      </c>
      <c r="BD36" s="188">
        <v>2445</v>
      </c>
      <c r="BE36" s="188"/>
      <c r="BF36" s="90">
        <v>4170</v>
      </c>
      <c r="BG36" s="91">
        <f t="shared" si="13"/>
        <v>68363</v>
      </c>
      <c r="BH36" s="94">
        <f t="shared" si="9"/>
        <v>-38204</v>
      </c>
      <c r="BI36" s="188">
        <v>758</v>
      </c>
      <c r="BJ36" s="188"/>
      <c r="BK36" s="90"/>
      <c r="BL36" s="92">
        <f>BH36+BI36-BJ36+BK36</f>
        <v>-37446</v>
      </c>
      <c r="BM36" s="89">
        <v>61748</v>
      </c>
      <c r="BN36" s="90">
        <v>-37469</v>
      </c>
      <c r="BO36" s="94">
        <f t="shared" si="14"/>
        <v>6615</v>
      </c>
      <c r="BP36" s="95">
        <f t="shared" si="15"/>
        <v>23</v>
      </c>
      <c r="BQ36" s="96">
        <f t="shared" si="16"/>
        <v>72.765000000000001</v>
      </c>
      <c r="BR36" s="188">
        <f>(BO36*9/12*1.1%)+(BO36*3/12*1.5%)</f>
        <v>79.38</v>
      </c>
      <c r="BS36" s="266">
        <f t="shared" si="11"/>
        <v>175.14499999999998</v>
      </c>
      <c r="BT36" s="299">
        <f t="shared" si="35"/>
        <v>6790.1450000000004</v>
      </c>
      <c r="BU36" s="189">
        <v>30917</v>
      </c>
      <c r="BV36" s="85">
        <f t="shared" si="17"/>
        <v>0</v>
      </c>
      <c r="CA36" s="294" t="s">
        <v>292</v>
      </c>
      <c r="CB36" s="357" t="b">
        <v>1</v>
      </c>
    </row>
    <row r="37" spans="1:80" s="88" customFormat="1" ht="16.8" thickBot="1" x14ac:dyDescent="0.3">
      <c r="A37" s="1">
        <v>12</v>
      </c>
      <c r="B37" s="1"/>
      <c r="C37" s="258" t="s">
        <v>245</v>
      </c>
      <c r="D37" s="257">
        <v>1595</v>
      </c>
      <c r="E37" s="110"/>
      <c r="F37" s="90"/>
      <c r="G37" s="90"/>
      <c r="H37" s="90"/>
      <c r="I37" s="91">
        <f t="shared" si="26"/>
        <v>0</v>
      </c>
      <c r="J37" s="90"/>
      <c r="K37" s="90"/>
      <c r="L37" s="90"/>
      <c r="M37" s="90"/>
      <c r="N37" s="92">
        <f t="shared" si="27"/>
        <v>0</v>
      </c>
      <c r="O37" s="93">
        <f>I37</f>
        <v>0</v>
      </c>
      <c r="P37" s="90"/>
      <c r="Q37" s="90"/>
      <c r="R37" s="188"/>
      <c r="S37" s="91">
        <f>O37+P37-Q37+SUM(R37:R37)</f>
        <v>0</v>
      </c>
      <c r="T37" s="94">
        <f>N37</f>
        <v>0</v>
      </c>
      <c r="U37" s="90"/>
      <c r="V37" s="90"/>
      <c r="W37" s="90"/>
      <c r="X37" s="92">
        <f>T37+U37-V37+W37</f>
        <v>0</v>
      </c>
      <c r="Y37" s="93">
        <f t="shared" si="32"/>
        <v>0</v>
      </c>
      <c r="Z37" s="188"/>
      <c r="AA37" s="188"/>
      <c r="AB37" s="188"/>
      <c r="AC37" s="91">
        <f>Y37+Z37-AA37+SUM(AB37:AB37)</f>
        <v>0</v>
      </c>
      <c r="AD37" s="94">
        <f>X37</f>
        <v>0</v>
      </c>
      <c r="AE37" s="188"/>
      <c r="AF37" s="188"/>
      <c r="AG37" s="188"/>
      <c r="AH37" s="92">
        <f>AD37+AE37-AF37+AG37</f>
        <v>0</v>
      </c>
      <c r="AI37" s="93">
        <f t="shared" si="3"/>
        <v>0</v>
      </c>
      <c r="AJ37" s="188">
        <v>186127</v>
      </c>
      <c r="AK37" s="188">
        <v>248860</v>
      </c>
      <c r="AL37" s="188"/>
      <c r="AM37" s="91">
        <f t="shared" si="12"/>
        <v>-62733</v>
      </c>
      <c r="AN37" s="94">
        <f t="shared" si="4"/>
        <v>0</v>
      </c>
      <c r="AO37" s="188">
        <v>-1503</v>
      </c>
      <c r="AP37" s="188">
        <v>57757</v>
      </c>
      <c r="AQ37" s="90"/>
      <c r="AR37" s="92">
        <f>AN37+AO37-AP37+AQ37</f>
        <v>-59260</v>
      </c>
      <c r="AS37" s="93">
        <f t="shared" si="33"/>
        <v>-62733</v>
      </c>
      <c r="AT37" s="188">
        <v>211714</v>
      </c>
      <c r="AU37" s="188"/>
      <c r="AV37" s="188"/>
      <c r="AW37" s="91">
        <f t="shared" si="6"/>
        <v>148981</v>
      </c>
      <c r="AX37" s="94">
        <f t="shared" si="7"/>
        <v>-59260</v>
      </c>
      <c r="AY37" s="188">
        <v>2015</v>
      </c>
      <c r="AZ37" s="188"/>
      <c r="BA37" s="90"/>
      <c r="BB37" s="92">
        <f>AX37+AY37-AZ37+BA37</f>
        <v>-57245</v>
      </c>
      <c r="BC37" s="93">
        <f t="shared" si="34"/>
        <v>148981</v>
      </c>
      <c r="BD37" s="188">
        <v>117</v>
      </c>
      <c r="BE37" s="188"/>
      <c r="BF37" s="90"/>
      <c r="BG37" s="91">
        <f t="shared" si="13"/>
        <v>149098</v>
      </c>
      <c r="BH37" s="94">
        <f t="shared" si="9"/>
        <v>-57245</v>
      </c>
      <c r="BI37" s="188">
        <v>1763</v>
      </c>
      <c r="BJ37" s="188"/>
      <c r="BK37" s="90"/>
      <c r="BL37" s="92">
        <f>BH37+BI37-BJ37+BK37</f>
        <v>-55482</v>
      </c>
      <c r="BM37" s="89">
        <v>148981</v>
      </c>
      <c r="BN37" s="90">
        <v>-55468</v>
      </c>
      <c r="BO37" s="94">
        <f t="shared" si="14"/>
        <v>117</v>
      </c>
      <c r="BP37" s="95">
        <f t="shared" si="15"/>
        <v>-14</v>
      </c>
      <c r="BQ37" s="96">
        <f t="shared" si="16"/>
        <v>1.2869999999999999</v>
      </c>
      <c r="BR37" s="188">
        <f t="shared" ref="BR37:BR39" si="36">(BO37*9/12*1.1%)+(BO37*3/12*1.5%)</f>
        <v>1.4039999999999999</v>
      </c>
      <c r="BS37" s="266">
        <f t="shared" si="11"/>
        <v>-11.309000000000001</v>
      </c>
      <c r="BT37" s="299">
        <f t="shared" si="35"/>
        <v>105.691</v>
      </c>
      <c r="BU37" s="189">
        <v>93616</v>
      </c>
      <c r="BV37" s="85">
        <f t="shared" si="17"/>
        <v>0</v>
      </c>
      <c r="CA37" s="294" t="s">
        <v>293</v>
      </c>
      <c r="CB37" s="357" t="b">
        <v>1</v>
      </c>
    </row>
    <row r="38" spans="1:80" s="88" customFormat="1" ht="16.8" thickBot="1" x14ac:dyDescent="0.3">
      <c r="A38" s="1">
        <v>13</v>
      </c>
      <c r="B38" s="1"/>
      <c r="C38" s="258" t="s">
        <v>246</v>
      </c>
      <c r="D38" s="257">
        <v>1595</v>
      </c>
      <c r="E38" s="110"/>
      <c r="F38" s="90"/>
      <c r="G38" s="90"/>
      <c r="H38" s="90"/>
      <c r="I38" s="91">
        <f t="shared" si="26"/>
        <v>0</v>
      </c>
      <c r="J38" s="90"/>
      <c r="K38" s="90"/>
      <c r="L38" s="90"/>
      <c r="M38" s="90"/>
      <c r="N38" s="92">
        <f t="shared" si="27"/>
        <v>0</v>
      </c>
      <c r="O38" s="93">
        <f>I38</f>
        <v>0</v>
      </c>
      <c r="P38" s="90"/>
      <c r="Q38" s="90"/>
      <c r="R38" s="188"/>
      <c r="S38" s="91">
        <f>O38+P38-Q38+SUM(R38:R38)</f>
        <v>0</v>
      </c>
      <c r="T38" s="94">
        <f>N38</f>
        <v>0</v>
      </c>
      <c r="U38" s="90"/>
      <c r="V38" s="90"/>
      <c r="W38" s="90"/>
      <c r="X38" s="92">
        <f>T38+U38-V38+W38</f>
        <v>0</v>
      </c>
      <c r="Y38" s="93">
        <f t="shared" si="32"/>
        <v>0</v>
      </c>
      <c r="Z38" s="188"/>
      <c r="AA38" s="188"/>
      <c r="AB38" s="188"/>
      <c r="AC38" s="91">
        <f>Y38+Z38-AA38+SUM(AB38:AB38)</f>
        <v>0</v>
      </c>
      <c r="AD38" s="94">
        <f>X38</f>
        <v>0</v>
      </c>
      <c r="AE38" s="188"/>
      <c r="AF38" s="188"/>
      <c r="AG38" s="188"/>
      <c r="AH38" s="92">
        <f>AD38+AE38-AF38+AG38</f>
        <v>0</v>
      </c>
      <c r="AI38" s="93">
        <f t="shared" si="3"/>
        <v>0</v>
      </c>
      <c r="AJ38" s="188"/>
      <c r="AK38" s="188"/>
      <c r="AL38" s="188"/>
      <c r="AM38" s="91">
        <f t="shared" si="12"/>
        <v>0</v>
      </c>
      <c r="AN38" s="94">
        <f t="shared" si="4"/>
        <v>0</v>
      </c>
      <c r="AO38" s="90"/>
      <c r="AP38" s="90"/>
      <c r="AQ38" s="90"/>
      <c r="AR38" s="92">
        <f>AN38+AO38-AP38+AQ38</f>
        <v>0</v>
      </c>
      <c r="AS38" s="93">
        <f t="shared" si="33"/>
        <v>0</v>
      </c>
      <c r="AT38" s="188"/>
      <c r="AU38" s="188"/>
      <c r="AV38" s="188"/>
      <c r="AW38" s="91">
        <f t="shared" si="6"/>
        <v>0</v>
      </c>
      <c r="AX38" s="94">
        <f t="shared" si="7"/>
        <v>0</v>
      </c>
      <c r="AY38" s="188"/>
      <c r="AZ38" s="188"/>
      <c r="BA38" s="90"/>
      <c r="BB38" s="92">
        <f>AX38+AY38-AZ38+BA38</f>
        <v>0</v>
      </c>
      <c r="BC38" s="93">
        <f t="shared" si="34"/>
        <v>0</v>
      </c>
      <c r="BD38" s="188"/>
      <c r="BE38" s="188"/>
      <c r="BF38" s="90"/>
      <c r="BG38" s="91">
        <f t="shared" si="13"/>
        <v>0</v>
      </c>
      <c r="BH38" s="94">
        <f t="shared" si="9"/>
        <v>0</v>
      </c>
      <c r="BI38" s="188"/>
      <c r="BJ38" s="188"/>
      <c r="BK38" s="90"/>
      <c r="BL38" s="92">
        <f>BH38+BI38-BJ38+BK38</f>
        <v>0</v>
      </c>
      <c r="BM38" s="89">
        <v>1254861</v>
      </c>
      <c r="BN38" s="90">
        <v>-1254861</v>
      </c>
      <c r="BO38" s="94">
        <f t="shared" si="14"/>
        <v>-1254861</v>
      </c>
      <c r="BP38" s="95">
        <f t="shared" si="15"/>
        <v>1254861</v>
      </c>
      <c r="BQ38" s="96">
        <f>BO38*0.011</f>
        <v>-13803.471</v>
      </c>
      <c r="BR38" s="188">
        <f t="shared" si="36"/>
        <v>-15058.332000000002</v>
      </c>
      <c r="BS38" s="266">
        <f t="shared" si="11"/>
        <v>1225999.1970000002</v>
      </c>
      <c r="BT38" s="299">
        <f t="shared" si="35"/>
        <v>-28861.803</v>
      </c>
      <c r="BU38" s="189"/>
      <c r="BV38" s="85">
        <f t="shared" si="17"/>
        <v>0</v>
      </c>
      <c r="CA38" s="294" t="s">
        <v>295</v>
      </c>
      <c r="CB38" s="357" t="b">
        <v>1</v>
      </c>
    </row>
    <row r="39" spans="1:80" s="88" customFormat="1" ht="16.8" thickBot="1" x14ac:dyDescent="0.3">
      <c r="A39" s="1">
        <v>14</v>
      </c>
      <c r="B39" s="1"/>
      <c r="C39" s="259" t="s">
        <v>318</v>
      </c>
      <c r="D39" s="273">
        <v>1595</v>
      </c>
      <c r="E39" s="110"/>
      <c r="F39" s="90"/>
      <c r="G39" s="90"/>
      <c r="H39" s="90"/>
      <c r="I39" s="91">
        <f t="shared" si="26"/>
        <v>0</v>
      </c>
      <c r="J39" s="90"/>
      <c r="K39" s="90"/>
      <c r="L39" s="90"/>
      <c r="M39" s="90"/>
      <c r="N39" s="92">
        <f t="shared" si="27"/>
        <v>0</v>
      </c>
      <c r="O39" s="93">
        <f>I39</f>
        <v>0</v>
      </c>
      <c r="P39" s="90"/>
      <c r="Q39" s="90"/>
      <c r="R39" s="188"/>
      <c r="S39" s="91">
        <f>O39+P39-Q39+SUM(R39:R39)</f>
        <v>0</v>
      </c>
      <c r="T39" s="94">
        <f>N39</f>
        <v>0</v>
      </c>
      <c r="U39" s="90"/>
      <c r="V39" s="90"/>
      <c r="W39" s="90"/>
      <c r="X39" s="92">
        <f>T39+U39-V39+W39</f>
        <v>0</v>
      </c>
      <c r="Y39" s="93">
        <f t="shared" si="32"/>
        <v>0</v>
      </c>
      <c r="Z39" s="188"/>
      <c r="AA39" s="188"/>
      <c r="AB39" s="188"/>
      <c r="AC39" s="91">
        <f>Y39+Z39-AA39+SUM(AB39:AB39)</f>
        <v>0</v>
      </c>
      <c r="AD39" s="94">
        <f>X39</f>
        <v>0</v>
      </c>
      <c r="AE39" s="90"/>
      <c r="AF39" s="90"/>
      <c r="AG39" s="90"/>
      <c r="AH39" s="92">
        <f>AD39+AE39-AF39+AG39</f>
        <v>0</v>
      </c>
      <c r="AI39" s="93">
        <f t="shared" si="3"/>
        <v>0</v>
      </c>
      <c r="AJ39" s="188"/>
      <c r="AK39" s="188"/>
      <c r="AL39" s="188"/>
      <c r="AM39" s="91">
        <f t="shared" si="12"/>
        <v>0</v>
      </c>
      <c r="AN39" s="94">
        <f t="shared" si="4"/>
        <v>0</v>
      </c>
      <c r="AO39" s="90"/>
      <c r="AP39" s="90"/>
      <c r="AQ39" s="90"/>
      <c r="AR39" s="92">
        <f>AN39+AO39-AP39+AQ39</f>
        <v>0</v>
      </c>
      <c r="AS39" s="93">
        <f t="shared" si="33"/>
        <v>0</v>
      </c>
      <c r="AT39" s="188"/>
      <c r="AU39" s="188"/>
      <c r="AV39" s="188"/>
      <c r="AW39" s="91">
        <f t="shared" si="6"/>
        <v>0</v>
      </c>
      <c r="AX39" s="94">
        <f t="shared" si="7"/>
        <v>0</v>
      </c>
      <c r="AY39" s="188"/>
      <c r="AZ39" s="188"/>
      <c r="BA39" s="90"/>
      <c r="BB39" s="92">
        <f>AX39+AY39-AZ39+BA39</f>
        <v>0</v>
      </c>
      <c r="BC39" s="93">
        <f t="shared" si="34"/>
        <v>0</v>
      </c>
      <c r="BD39" s="188">
        <v>-1108824</v>
      </c>
      <c r="BE39" s="188">
        <v>-1254861</v>
      </c>
      <c r="BF39" s="90"/>
      <c r="BG39" s="91">
        <f t="shared" si="13"/>
        <v>146037</v>
      </c>
      <c r="BH39" s="94">
        <f t="shared" si="9"/>
        <v>0</v>
      </c>
      <c r="BI39" s="188">
        <v>8677</v>
      </c>
      <c r="BJ39" s="188">
        <v>-47410</v>
      </c>
      <c r="BK39" s="90"/>
      <c r="BL39" s="92">
        <f>BH39+BI39-BJ39+BK39</f>
        <v>56087</v>
      </c>
      <c r="BM39" s="89">
        <v>0</v>
      </c>
      <c r="BN39" s="90"/>
      <c r="BO39" s="94">
        <f t="shared" si="14"/>
        <v>146037</v>
      </c>
      <c r="BP39" s="95">
        <f t="shared" si="15"/>
        <v>56087</v>
      </c>
      <c r="BQ39" s="96">
        <f t="shared" si="16"/>
        <v>1606.4069999999999</v>
      </c>
      <c r="BR39" s="188">
        <f t="shared" si="36"/>
        <v>1752.444</v>
      </c>
      <c r="BS39" s="266">
        <f t="shared" ref="BS39" si="37">BP39+BQ39+BR39</f>
        <v>59445.851000000002</v>
      </c>
      <c r="BT39" s="299">
        <f t="shared" si="35"/>
        <v>205482.851</v>
      </c>
      <c r="BU39" s="189">
        <v>202124</v>
      </c>
      <c r="BV39" s="85">
        <f t="shared" si="17"/>
        <v>0</v>
      </c>
      <c r="CA39" s="294" t="s">
        <v>294</v>
      </c>
      <c r="CB39" s="357" t="b">
        <v>1</v>
      </c>
    </row>
    <row r="40" spans="1:80" s="269" customFormat="1" ht="15" thickBot="1" x14ac:dyDescent="0.35">
      <c r="A40" s="263"/>
      <c r="B40" s="263"/>
      <c r="C40" s="333" t="s">
        <v>316</v>
      </c>
      <c r="D40" s="274"/>
      <c r="E40" s="264"/>
      <c r="F40" s="265"/>
      <c r="G40" s="265"/>
      <c r="H40" s="265"/>
      <c r="I40" s="91"/>
      <c r="J40" s="265"/>
      <c r="K40" s="265"/>
      <c r="L40" s="265"/>
      <c r="M40" s="265"/>
      <c r="N40" s="92"/>
      <c r="O40" s="111"/>
      <c r="P40" s="265"/>
      <c r="Q40" s="265"/>
      <c r="R40" s="265"/>
      <c r="S40" s="91"/>
      <c r="T40" s="91"/>
      <c r="U40" s="265"/>
      <c r="V40" s="265"/>
      <c r="W40" s="265"/>
      <c r="X40" s="92"/>
      <c r="Y40" s="111"/>
      <c r="Z40" s="265"/>
      <c r="AA40" s="265"/>
      <c r="AB40" s="265"/>
      <c r="AC40" s="91"/>
      <c r="AD40" s="91"/>
      <c r="AE40" s="265"/>
      <c r="AF40" s="265"/>
      <c r="AG40" s="265"/>
      <c r="AH40" s="92"/>
      <c r="AI40" s="111"/>
      <c r="AJ40" s="265"/>
      <c r="AK40" s="265"/>
      <c r="AL40" s="265"/>
      <c r="AM40" s="91"/>
      <c r="AN40" s="91"/>
      <c r="AO40" s="265"/>
      <c r="AP40" s="265"/>
      <c r="AQ40" s="265"/>
      <c r="AR40" s="92"/>
      <c r="AS40" s="111"/>
      <c r="AT40" s="265"/>
      <c r="AU40" s="265"/>
      <c r="AV40" s="265"/>
      <c r="AW40" s="91"/>
      <c r="AX40" s="91"/>
      <c r="AY40" s="265"/>
      <c r="AZ40" s="265"/>
      <c r="BA40" s="265"/>
      <c r="BB40" s="92"/>
      <c r="BC40" s="111"/>
      <c r="BD40" s="265"/>
      <c r="BE40" s="265"/>
      <c r="BF40" s="265"/>
      <c r="BG40" s="91"/>
      <c r="BH40" s="91"/>
      <c r="BI40" s="265"/>
      <c r="BJ40" s="265"/>
      <c r="BK40" s="265"/>
      <c r="BL40" s="92"/>
      <c r="BM40" s="264"/>
      <c r="BN40" s="265"/>
      <c r="BO40" s="91"/>
      <c r="BP40" s="92"/>
      <c r="BQ40" s="265"/>
      <c r="BR40" s="265"/>
      <c r="BS40" s="266"/>
      <c r="BT40" s="300"/>
      <c r="BU40" s="268"/>
      <c r="BV40" s="267"/>
      <c r="CB40" s="358"/>
    </row>
    <row r="41" spans="1:80" s="88" customFormat="1" ht="15" customHeight="1" x14ac:dyDescent="0.25">
      <c r="A41" s="1"/>
      <c r="B41" s="1"/>
      <c r="C41" s="272"/>
      <c r="D41" s="15"/>
      <c r="E41" s="111"/>
      <c r="F41" s="91"/>
      <c r="G41" s="91"/>
      <c r="H41" s="91"/>
      <c r="I41" s="91"/>
      <c r="J41" s="91"/>
      <c r="K41" s="91"/>
      <c r="L41" s="91"/>
      <c r="M41" s="91"/>
      <c r="N41" s="92"/>
      <c r="O41" s="98"/>
      <c r="P41" s="91"/>
      <c r="Q41" s="91"/>
      <c r="R41" s="91"/>
      <c r="S41" s="91"/>
      <c r="T41" s="91"/>
      <c r="U41" s="91"/>
      <c r="V41" s="91"/>
      <c r="W41" s="91"/>
      <c r="X41" s="92"/>
      <c r="Y41" s="98"/>
      <c r="Z41" s="91"/>
      <c r="AA41" s="91"/>
      <c r="AB41" s="91"/>
      <c r="AC41" s="91"/>
      <c r="AD41" s="91"/>
      <c r="AE41" s="91"/>
      <c r="AF41" s="91"/>
      <c r="AG41" s="91"/>
      <c r="AH41" s="92"/>
      <c r="AI41" s="98"/>
      <c r="AJ41" s="91"/>
      <c r="AK41" s="91"/>
      <c r="AL41" s="91"/>
      <c r="AM41" s="91"/>
      <c r="AN41" s="91"/>
      <c r="AO41" s="91"/>
      <c r="AP41" s="91"/>
      <c r="AQ41" s="91"/>
      <c r="AR41" s="92"/>
      <c r="AS41" s="98"/>
      <c r="AT41" s="91"/>
      <c r="AU41" s="91"/>
      <c r="AV41" s="91"/>
      <c r="AW41" s="91"/>
      <c r="AX41" s="91"/>
      <c r="AY41" s="91"/>
      <c r="AZ41" s="91"/>
      <c r="BA41" s="91"/>
      <c r="BB41" s="92"/>
      <c r="BC41" s="98"/>
      <c r="BD41" s="91"/>
      <c r="BE41" s="91"/>
      <c r="BF41" s="91"/>
      <c r="BG41" s="91"/>
      <c r="BH41" s="91"/>
      <c r="BI41" s="91"/>
      <c r="BJ41" s="91"/>
      <c r="BK41" s="91"/>
      <c r="BL41" s="92"/>
      <c r="BM41" s="98"/>
      <c r="BN41" s="91"/>
      <c r="BO41" s="91"/>
      <c r="BP41" s="92"/>
      <c r="BQ41" s="84"/>
      <c r="BR41" s="84"/>
      <c r="BS41" s="292"/>
      <c r="BT41" s="299"/>
      <c r="BU41" s="86"/>
      <c r="BV41" s="85"/>
      <c r="CB41" s="357"/>
    </row>
    <row r="42" spans="1:80" s="330" customFormat="1" ht="13.8" x14ac:dyDescent="0.25">
      <c r="A42" s="4"/>
      <c r="B42" s="4"/>
      <c r="C42" s="275" t="s">
        <v>82</v>
      </c>
      <c r="D42" s="276"/>
      <c r="E42" s="111">
        <f>SUM(E24:E39)</f>
        <v>540585</v>
      </c>
      <c r="F42" s="91">
        <f>SUM(F24:F39)</f>
        <v>-735458</v>
      </c>
      <c r="G42" s="91">
        <f t="shared" ref="G42:AJ42" si="38">SUM(G24:G39)</f>
        <v>632064</v>
      </c>
      <c r="H42" s="91">
        <f t="shared" si="38"/>
        <v>0</v>
      </c>
      <c r="I42" s="91">
        <f t="shared" si="38"/>
        <v>-826937</v>
      </c>
      <c r="J42" s="91">
        <f t="shared" si="38"/>
        <v>34429</v>
      </c>
      <c r="K42" s="91">
        <f t="shared" si="38"/>
        <v>9509</v>
      </c>
      <c r="L42" s="91">
        <f t="shared" si="38"/>
        <v>44655</v>
      </c>
      <c r="M42" s="91">
        <f t="shared" si="38"/>
        <v>0</v>
      </c>
      <c r="N42" s="91">
        <f t="shared" si="38"/>
        <v>-717</v>
      </c>
      <c r="O42" s="98">
        <f t="shared" si="38"/>
        <v>-826937</v>
      </c>
      <c r="P42" s="91">
        <f t="shared" si="38"/>
        <v>-271364</v>
      </c>
      <c r="Q42" s="91">
        <f t="shared" si="38"/>
        <v>-134698</v>
      </c>
      <c r="R42" s="91">
        <f t="shared" si="38"/>
        <v>0</v>
      </c>
      <c r="S42" s="91">
        <f t="shared" si="38"/>
        <v>-963603</v>
      </c>
      <c r="T42" s="91">
        <f t="shared" si="38"/>
        <v>-717</v>
      </c>
      <c r="U42" s="91">
        <f t="shared" si="38"/>
        <v>-12102</v>
      </c>
      <c r="V42" s="91">
        <f t="shared" si="38"/>
        <v>-574</v>
      </c>
      <c r="W42" s="91">
        <f t="shared" si="38"/>
        <v>-136889</v>
      </c>
      <c r="X42" s="91">
        <f t="shared" si="38"/>
        <v>-149134</v>
      </c>
      <c r="Y42" s="98">
        <f t="shared" si="38"/>
        <v>-963603</v>
      </c>
      <c r="Z42" s="91">
        <f t="shared" si="38"/>
        <v>-193210</v>
      </c>
      <c r="AA42" s="91">
        <f t="shared" si="38"/>
        <v>-692239</v>
      </c>
      <c r="AB42" s="91">
        <f t="shared" si="38"/>
        <v>0</v>
      </c>
      <c r="AC42" s="91">
        <f t="shared" si="38"/>
        <v>-464574</v>
      </c>
      <c r="AD42" s="91">
        <f t="shared" si="38"/>
        <v>-149134</v>
      </c>
      <c r="AE42" s="91">
        <f t="shared" si="38"/>
        <v>68966</v>
      </c>
      <c r="AF42" s="91">
        <f t="shared" si="38"/>
        <v>-23330</v>
      </c>
      <c r="AG42" s="91">
        <f t="shared" si="38"/>
        <v>0</v>
      </c>
      <c r="AH42" s="91">
        <f t="shared" si="38"/>
        <v>-56838</v>
      </c>
      <c r="AI42" s="98">
        <f t="shared" si="38"/>
        <v>-464574</v>
      </c>
      <c r="AJ42" s="91">
        <f t="shared" si="38"/>
        <v>1430995</v>
      </c>
      <c r="AK42" s="91">
        <f t="shared" ref="AK42:BU42" si="39">SUM(AK24:AK39)</f>
        <v>-22504</v>
      </c>
      <c r="AL42" s="91">
        <f t="shared" si="39"/>
        <v>0</v>
      </c>
      <c r="AM42" s="91">
        <f t="shared" si="39"/>
        <v>988925</v>
      </c>
      <c r="AN42" s="91">
        <f t="shared" si="39"/>
        <v>-56838</v>
      </c>
      <c r="AO42" s="91">
        <f t="shared" si="39"/>
        <v>-106141</v>
      </c>
      <c r="AP42" s="91">
        <f t="shared" si="39"/>
        <v>-23344</v>
      </c>
      <c r="AQ42" s="91">
        <f t="shared" si="39"/>
        <v>0</v>
      </c>
      <c r="AR42" s="91">
        <f t="shared" si="39"/>
        <v>-139635</v>
      </c>
      <c r="AS42" s="98">
        <f t="shared" si="39"/>
        <v>988925</v>
      </c>
      <c r="AT42" s="91">
        <f t="shared" si="39"/>
        <v>951524</v>
      </c>
      <c r="AU42" s="91">
        <f t="shared" si="39"/>
        <v>0</v>
      </c>
      <c r="AV42" s="91">
        <f t="shared" si="39"/>
        <v>0</v>
      </c>
      <c r="AW42" s="91">
        <f t="shared" si="39"/>
        <v>1940449</v>
      </c>
      <c r="AX42" s="91">
        <f t="shared" si="39"/>
        <v>-139635</v>
      </c>
      <c r="AY42" s="91">
        <f t="shared" si="39"/>
        <v>96351</v>
      </c>
      <c r="AZ42" s="91">
        <f t="shared" si="39"/>
        <v>0</v>
      </c>
      <c r="BA42" s="91">
        <f t="shared" si="39"/>
        <v>0</v>
      </c>
      <c r="BB42" s="91">
        <f t="shared" si="39"/>
        <v>-43284</v>
      </c>
      <c r="BC42" s="98">
        <f t="shared" si="39"/>
        <v>1940449</v>
      </c>
      <c r="BD42" s="91">
        <f t="shared" si="39"/>
        <v>-1209180</v>
      </c>
      <c r="BE42" s="91">
        <f t="shared" si="39"/>
        <v>0</v>
      </c>
      <c r="BF42" s="91">
        <f t="shared" si="39"/>
        <v>152548</v>
      </c>
      <c r="BG42" s="91">
        <f t="shared" si="39"/>
        <v>883817</v>
      </c>
      <c r="BH42" s="91">
        <f t="shared" si="39"/>
        <v>-43284</v>
      </c>
      <c r="BI42" s="91">
        <f t="shared" si="39"/>
        <v>14960</v>
      </c>
      <c r="BJ42" s="91">
        <f t="shared" si="39"/>
        <v>1</v>
      </c>
      <c r="BK42" s="91">
        <f t="shared" si="39"/>
        <v>0</v>
      </c>
      <c r="BL42" s="91">
        <f t="shared" si="39"/>
        <v>-28325</v>
      </c>
      <c r="BM42" s="98">
        <f t="shared" si="39"/>
        <v>1940449</v>
      </c>
      <c r="BN42" s="91">
        <f t="shared" si="39"/>
        <v>-1337380</v>
      </c>
      <c r="BO42" s="91">
        <f t="shared" si="39"/>
        <v>-1056632</v>
      </c>
      <c r="BP42" s="91">
        <f t="shared" si="39"/>
        <v>1309055</v>
      </c>
      <c r="BQ42" s="98">
        <f t="shared" si="39"/>
        <v>-11622.952000000001</v>
      </c>
      <c r="BR42" s="91">
        <f>SUM(BR24:BR39)</f>
        <v>-12682.788000000002</v>
      </c>
      <c r="BS42" s="91">
        <f>SUM(BS24:BS39)</f>
        <v>1284749.2600000002</v>
      </c>
      <c r="BT42" s="328">
        <f>SUM(BT24:BT39)</f>
        <v>228117.26000000007</v>
      </c>
      <c r="BU42" s="98">
        <f t="shared" si="39"/>
        <v>707113.84000000008</v>
      </c>
      <c r="BV42" s="329">
        <f t="shared" si="17"/>
        <v>-148378.15999999992</v>
      </c>
      <c r="CB42" s="359"/>
    </row>
    <row r="43" spans="1:80" s="330" customFormat="1" ht="13.8" x14ac:dyDescent="0.25">
      <c r="A43" s="4"/>
      <c r="B43" s="4"/>
      <c r="C43" s="275" t="s">
        <v>83</v>
      </c>
      <c r="D43" s="276"/>
      <c r="E43" s="111">
        <f>E42-E44</f>
        <v>224272</v>
      </c>
      <c r="F43" s="91">
        <f t="shared" ref="F43:AH43" si="40">F42-F44</f>
        <v>-704743</v>
      </c>
      <c r="G43" s="91">
        <f t="shared" si="40"/>
        <v>524547</v>
      </c>
      <c r="H43" s="91">
        <f t="shared" si="40"/>
        <v>0</v>
      </c>
      <c r="I43" s="91">
        <f t="shared" si="40"/>
        <v>-1005018</v>
      </c>
      <c r="J43" s="91">
        <f t="shared" si="40"/>
        <v>20927</v>
      </c>
      <c r="K43" s="91">
        <f t="shared" si="40"/>
        <v>7353</v>
      </c>
      <c r="L43" s="91">
        <f t="shared" si="40"/>
        <v>27213</v>
      </c>
      <c r="M43" s="91">
        <f t="shared" si="40"/>
        <v>0</v>
      </c>
      <c r="N43" s="92">
        <f t="shared" si="40"/>
        <v>1067</v>
      </c>
      <c r="O43" s="98">
        <f t="shared" si="40"/>
        <v>-1005018</v>
      </c>
      <c r="P43" s="91">
        <f t="shared" si="40"/>
        <v>-713341</v>
      </c>
      <c r="Q43" s="91">
        <f t="shared" si="40"/>
        <v>-343495</v>
      </c>
      <c r="R43" s="91">
        <f t="shared" si="40"/>
        <v>0</v>
      </c>
      <c r="S43" s="91">
        <f t="shared" si="40"/>
        <v>-1374864</v>
      </c>
      <c r="T43" s="91">
        <f t="shared" si="40"/>
        <v>1067</v>
      </c>
      <c r="U43" s="91">
        <f t="shared" si="40"/>
        <v>-16011</v>
      </c>
      <c r="V43" s="91">
        <f t="shared" si="40"/>
        <v>1248</v>
      </c>
      <c r="W43" s="91">
        <f t="shared" si="40"/>
        <v>-136889</v>
      </c>
      <c r="X43" s="92">
        <f t="shared" si="40"/>
        <v>-153081</v>
      </c>
      <c r="Y43" s="98">
        <f t="shared" si="40"/>
        <v>-1374864</v>
      </c>
      <c r="Z43" s="91">
        <f t="shared" si="40"/>
        <v>-313450</v>
      </c>
      <c r="AA43" s="91">
        <f t="shared" si="40"/>
        <v>-661523</v>
      </c>
      <c r="AB43" s="91">
        <f t="shared" si="40"/>
        <v>0</v>
      </c>
      <c r="AC43" s="91">
        <f t="shared" si="40"/>
        <v>-1026791</v>
      </c>
      <c r="AD43" s="91">
        <f t="shared" si="40"/>
        <v>-153081</v>
      </c>
      <c r="AE43" s="91">
        <f t="shared" si="40"/>
        <v>69413</v>
      </c>
      <c r="AF43" s="91">
        <f t="shared" si="40"/>
        <v>-19808</v>
      </c>
      <c r="AG43" s="91">
        <f t="shared" si="40"/>
        <v>0</v>
      </c>
      <c r="AH43" s="92">
        <f t="shared" si="40"/>
        <v>-63860</v>
      </c>
      <c r="AI43" s="98">
        <f t="shared" ref="AI43:AR43" si="41">AI42-AI44</f>
        <v>-1026791</v>
      </c>
      <c r="AJ43" s="91">
        <f t="shared" si="41"/>
        <v>953417</v>
      </c>
      <c r="AK43" s="91">
        <f t="shared" si="41"/>
        <v>-464481</v>
      </c>
      <c r="AL43" s="91">
        <f t="shared" si="41"/>
        <v>0</v>
      </c>
      <c r="AM43" s="91">
        <f t="shared" si="41"/>
        <v>391107</v>
      </c>
      <c r="AN43" s="91">
        <f t="shared" si="41"/>
        <v>-63860</v>
      </c>
      <c r="AO43" s="91">
        <f t="shared" si="41"/>
        <v>-113744</v>
      </c>
      <c r="AP43" s="91">
        <f t="shared" si="41"/>
        <v>-39476</v>
      </c>
      <c r="AQ43" s="91">
        <f t="shared" si="41"/>
        <v>0</v>
      </c>
      <c r="AR43" s="92">
        <f t="shared" si="41"/>
        <v>-138128</v>
      </c>
      <c r="AS43" s="98">
        <f t="shared" ref="AS43:BB43" si="42">AS42-AS44</f>
        <v>391107</v>
      </c>
      <c r="AT43" s="91">
        <f t="shared" si="42"/>
        <v>508309</v>
      </c>
      <c r="AU43" s="91">
        <f t="shared" si="42"/>
        <v>0</v>
      </c>
      <c r="AV43" s="91">
        <f t="shared" si="42"/>
        <v>0</v>
      </c>
      <c r="AW43" s="91">
        <f t="shared" si="42"/>
        <v>899416</v>
      </c>
      <c r="AX43" s="91">
        <f t="shared" si="42"/>
        <v>-138128</v>
      </c>
      <c r="AY43" s="91">
        <f t="shared" si="42"/>
        <v>90281</v>
      </c>
      <c r="AZ43" s="91">
        <f t="shared" si="42"/>
        <v>0</v>
      </c>
      <c r="BA43" s="91">
        <f t="shared" si="42"/>
        <v>0</v>
      </c>
      <c r="BB43" s="92">
        <f t="shared" si="42"/>
        <v>-47847</v>
      </c>
      <c r="BC43" s="98">
        <f t="shared" ref="BC43:BL43" si="43">BC42-BC44</f>
        <v>899416</v>
      </c>
      <c r="BD43" s="91">
        <f t="shared" si="43"/>
        <v>-1572816</v>
      </c>
      <c r="BE43" s="91">
        <f t="shared" si="43"/>
        <v>-597818</v>
      </c>
      <c r="BF43" s="91">
        <f t="shared" si="43"/>
        <v>152548</v>
      </c>
      <c r="BG43" s="91">
        <f t="shared" si="43"/>
        <v>76966</v>
      </c>
      <c r="BH43" s="91">
        <f t="shared" si="43"/>
        <v>-47847</v>
      </c>
      <c r="BI43" s="91">
        <f t="shared" si="43"/>
        <v>9877</v>
      </c>
      <c r="BJ43" s="91">
        <f t="shared" si="43"/>
        <v>-7280</v>
      </c>
      <c r="BK43" s="91">
        <f t="shared" si="43"/>
        <v>0</v>
      </c>
      <c r="BL43" s="92">
        <f t="shared" si="43"/>
        <v>-30690</v>
      </c>
      <c r="BM43" s="98">
        <f t="shared" ref="BM43:BQ43" si="44">BM42-BM44</f>
        <v>1497234</v>
      </c>
      <c r="BN43" s="91">
        <f t="shared" si="44"/>
        <v>-1339947</v>
      </c>
      <c r="BO43" s="91">
        <f t="shared" si="44"/>
        <v>-1420268</v>
      </c>
      <c r="BP43" s="92">
        <f t="shared" si="44"/>
        <v>1309257</v>
      </c>
      <c r="BQ43" s="91">
        <f t="shared" si="44"/>
        <v>-15622.948</v>
      </c>
      <c r="BR43" s="91">
        <f>BR42-BR44</f>
        <v>-17046.420000000002</v>
      </c>
      <c r="BS43" s="91">
        <f>BS42-BS44</f>
        <v>1276587.6320000002</v>
      </c>
      <c r="BT43" s="68">
        <f>BT42-BT44</f>
        <v>-143680.3679999999</v>
      </c>
      <c r="BU43" s="99">
        <f>BU42-BU44</f>
        <v>-102102.98999999999</v>
      </c>
      <c r="BV43" s="329">
        <f t="shared" si="17"/>
        <v>-148378.99</v>
      </c>
      <c r="CB43" s="359"/>
    </row>
    <row r="44" spans="1:80" s="330" customFormat="1" ht="13.8" x14ac:dyDescent="0.25">
      <c r="A44" s="4"/>
      <c r="B44" s="4"/>
      <c r="C44" s="277" t="str">
        <f>C32</f>
        <v>RSVA - Global Adjustment</v>
      </c>
      <c r="D44" s="278">
        <v>1589</v>
      </c>
      <c r="E44" s="111">
        <f>E32</f>
        <v>316313</v>
      </c>
      <c r="F44" s="91">
        <f t="shared" ref="F44:AJ44" si="45">F32</f>
        <v>-30715</v>
      </c>
      <c r="G44" s="91">
        <f t="shared" si="45"/>
        <v>107517</v>
      </c>
      <c r="H44" s="91">
        <f t="shared" si="45"/>
        <v>0</v>
      </c>
      <c r="I44" s="91">
        <f t="shared" si="45"/>
        <v>178081</v>
      </c>
      <c r="J44" s="91">
        <f t="shared" si="45"/>
        <v>13502</v>
      </c>
      <c r="K44" s="91">
        <f t="shared" si="45"/>
        <v>2156</v>
      </c>
      <c r="L44" s="91">
        <f t="shared" si="45"/>
        <v>17442</v>
      </c>
      <c r="M44" s="91">
        <f t="shared" si="45"/>
        <v>0</v>
      </c>
      <c r="N44" s="92">
        <f t="shared" si="45"/>
        <v>-1784</v>
      </c>
      <c r="O44" s="98">
        <f t="shared" si="45"/>
        <v>178081</v>
      </c>
      <c r="P44" s="91">
        <f t="shared" si="45"/>
        <v>441977</v>
      </c>
      <c r="Q44" s="91">
        <f t="shared" si="45"/>
        <v>208797</v>
      </c>
      <c r="R44" s="91">
        <f t="shared" si="45"/>
        <v>0</v>
      </c>
      <c r="S44" s="91">
        <f t="shared" si="45"/>
        <v>411261</v>
      </c>
      <c r="T44" s="91">
        <f t="shared" si="45"/>
        <v>-1784</v>
      </c>
      <c r="U44" s="91">
        <f t="shared" si="45"/>
        <v>3909</v>
      </c>
      <c r="V44" s="91">
        <f t="shared" si="45"/>
        <v>-1822</v>
      </c>
      <c r="W44" s="91">
        <f t="shared" si="45"/>
        <v>0</v>
      </c>
      <c r="X44" s="92">
        <f t="shared" si="45"/>
        <v>3947</v>
      </c>
      <c r="Y44" s="98">
        <f t="shared" si="45"/>
        <v>411261</v>
      </c>
      <c r="Z44" s="91">
        <f t="shared" si="45"/>
        <v>120240</v>
      </c>
      <c r="AA44" s="91">
        <f t="shared" si="45"/>
        <v>-30716</v>
      </c>
      <c r="AB44" s="91">
        <f t="shared" si="45"/>
        <v>0</v>
      </c>
      <c r="AC44" s="91">
        <f t="shared" si="45"/>
        <v>562217</v>
      </c>
      <c r="AD44" s="91">
        <f t="shared" si="45"/>
        <v>3947</v>
      </c>
      <c r="AE44" s="91">
        <f t="shared" si="45"/>
        <v>-447</v>
      </c>
      <c r="AF44" s="91">
        <f t="shared" si="45"/>
        <v>-3522</v>
      </c>
      <c r="AG44" s="91">
        <f t="shared" si="45"/>
        <v>0</v>
      </c>
      <c r="AH44" s="92">
        <f t="shared" si="45"/>
        <v>7022</v>
      </c>
      <c r="AI44" s="98">
        <f t="shared" si="45"/>
        <v>562217</v>
      </c>
      <c r="AJ44" s="91">
        <f t="shared" si="45"/>
        <v>477578</v>
      </c>
      <c r="AK44" s="91">
        <f t="shared" ref="AK44:BQ44" si="46">AK32</f>
        <v>441977</v>
      </c>
      <c r="AL44" s="91">
        <f t="shared" si="46"/>
        <v>0</v>
      </c>
      <c r="AM44" s="91">
        <f t="shared" si="46"/>
        <v>597818</v>
      </c>
      <c r="AN44" s="91">
        <f t="shared" si="46"/>
        <v>7022</v>
      </c>
      <c r="AO44" s="91">
        <f t="shared" si="46"/>
        <v>7603</v>
      </c>
      <c r="AP44" s="91">
        <f t="shared" si="46"/>
        <v>16132</v>
      </c>
      <c r="AQ44" s="91">
        <f t="shared" si="46"/>
        <v>0</v>
      </c>
      <c r="AR44" s="92">
        <f t="shared" si="46"/>
        <v>-1507</v>
      </c>
      <c r="AS44" s="98">
        <f t="shared" si="46"/>
        <v>597818</v>
      </c>
      <c r="AT44" s="91">
        <f t="shared" si="46"/>
        <v>443215</v>
      </c>
      <c r="AU44" s="91">
        <f t="shared" si="46"/>
        <v>0</v>
      </c>
      <c r="AV44" s="91">
        <f t="shared" si="46"/>
        <v>0</v>
      </c>
      <c r="AW44" s="91">
        <f t="shared" si="46"/>
        <v>1041033</v>
      </c>
      <c r="AX44" s="91">
        <f t="shared" si="46"/>
        <v>-1507</v>
      </c>
      <c r="AY44" s="91">
        <f t="shared" si="46"/>
        <v>6070</v>
      </c>
      <c r="AZ44" s="91">
        <f t="shared" si="46"/>
        <v>0</v>
      </c>
      <c r="BA44" s="91">
        <f t="shared" si="46"/>
        <v>0</v>
      </c>
      <c r="BB44" s="92">
        <f t="shared" si="46"/>
        <v>4563</v>
      </c>
      <c r="BC44" s="98">
        <f t="shared" ref="BC44:BL44" si="47">BC32</f>
        <v>1041033</v>
      </c>
      <c r="BD44" s="91">
        <f>BD32</f>
        <v>363636</v>
      </c>
      <c r="BE44" s="91">
        <f t="shared" si="47"/>
        <v>597818</v>
      </c>
      <c r="BF44" s="91">
        <f t="shared" si="47"/>
        <v>0</v>
      </c>
      <c r="BG44" s="91">
        <f t="shared" si="47"/>
        <v>806851</v>
      </c>
      <c r="BH44" s="91">
        <f t="shared" si="47"/>
        <v>4563</v>
      </c>
      <c r="BI44" s="91">
        <f t="shared" si="47"/>
        <v>5083</v>
      </c>
      <c r="BJ44" s="91">
        <f t="shared" si="47"/>
        <v>7281</v>
      </c>
      <c r="BK44" s="91">
        <f t="shared" si="47"/>
        <v>0</v>
      </c>
      <c r="BL44" s="92">
        <f t="shared" si="47"/>
        <v>2365</v>
      </c>
      <c r="BM44" s="98">
        <f t="shared" si="46"/>
        <v>443215</v>
      </c>
      <c r="BN44" s="91">
        <f t="shared" si="46"/>
        <v>2567</v>
      </c>
      <c r="BO44" s="91">
        <f t="shared" si="46"/>
        <v>363636</v>
      </c>
      <c r="BP44" s="92">
        <f t="shared" si="46"/>
        <v>-202</v>
      </c>
      <c r="BQ44" s="91">
        <f t="shared" si="46"/>
        <v>3999.9959999999996</v>
      </c>
      <c r="BR44" s="91">
        <f>BR32</f>
        <v>4363.6320000000005</v>
      </c>
      <c r="BS44" s="91">
        <f>BS32</f>
        <v>8161.6280000000006</v>
      </c>
      <c r="BT44" s="328">
        <f>SUM(BO44:BR44)</f>
        <v>371797.62799999997</v>
      </c>
      <c r="BU44" s="99">
        <f>BU32</f>
        <v>809216.83000000007</v>
      </c>
      <c r="BV44" s="329">
        <f t="shared" si="17"/>
        <v>0.83000000007450581</v>
      </c>
      <c r="CB44" s="359"/>
    </row>
    <row r="45" spans="1:80" s="88" customFormat="1" ht="13.8" x14ac:dyDescent="0.25">
      <c r="A45" s="1"/>
      <c r="B45" s="1"/>
      <c r="C45" s="277"/>
      <c r="D45" s="279"/>
      <c r="E45" s="111"/>
      <c r="F45" s="91"/>
      <c r="G45" s="91"/>
      <c r="H45" s="91"/>
      <c r="I45" s="91"/>
      <c r="J45" s="91"/>
      <c r="K45" s="91"/>
      <c r="L45" s="91"/>
      <c r="M45" s="91"/>
      <c r="N45" s="92"/>
      <c r="O45" s="98"/>
      <c r="P45" s="91"/>
      <c r="Q45" s="91"/>
      <c r="R45" s="91"/>
      <c r="S45" s="91"/>
      <c r="T45" s="91"/>
      <c r="U45" s="91"/>
      <c r="V45" s="91"/>
      <c r="W45" s="91"/>
      <c r="X45" s="92"/>
      <c r="Y45" s="98"/>
      <c r="Z45" s="91"/>
      <c r="AA45" s="91"/>
      <c r="AB45" s="91"/>
      <c r="AC45" s="91"/>
      <c r="AD45" s="91"/>
      <c r="AE45" s="91"/>
      <c r="AF45" s="91"/>
      <c r="AG45" s="91"/>
      <c r="AH45" s="92"/>
      <c r="AI45" s="98"/>
      <c r="AJ45" s="91"/>
      <c r="AK45" s="91"/>
      <c r="AL45" s="91"/>
      <c r="AM45" s="91"/>
      <c r="AN45" s="91"/>
      <c r="AO45" s="91"/>
      <c r="AP45" s="91"/>
      <c r="AQ45" s="91"/>
      <c r="AR45" s="92"/>
      <c r="AS45" s="98"/>
      <c r="AT45" s="91"/>
      <c r="AU45" s="91"/>
      <c r="AV45" s="91"/>
      <c r="AW45" s="91"/>
      <c r="AX45" s="91"/>
      <c r="AY45" s="91"/>
      <c r="AZ45" s="91"/>
      <c r="BA45" s="91"/>
      <c r="BB45" s="92"/>
      <c r="BC45" s="98"/>
      <c r="BD45" s="91"/>
      <c r="BE45" s="91"/>
      <c r="BF45" s="91"/>
      <c r="BG45" s="91"/>
      <c r="BH45" s="91"/>
      <c r="BI45" s="91"/>
      <c r="BJ45" s="91"/>
      <c r="BK45" s="91"/>
      <c r="BL45" s="92"/>
      <c r="BM45" s="98"/>
      <c r="BN45" s="91"/>
      <c r="BO45" s="91"/>
      <c r="BP45" s="92"/>
      <c r="BQ45" s="84"/>
      <c r="BR45" s="84"/>
      <c r="BS45" s="292"/>
      <c r="BT45" s="299"/>
      <c r="BU45" s="86"/>
      <c r="BV45" s="85"/>
      <c r="CB45" s="357"/>
    </row>
    <row r="46" spans="1:80" s="88" customFormat="1" ht="35.25" customHeight="1" thickBot="1" x14ac:dyDescent="0.3">
      <c r="A46" s="1"/>
      <c r="B46" s="1"/>
      <c r="C46" s="280" t="s">
        <v>27</v>
      </c>
      <c r="D46" s="279"/>
      <c r="E46" s="111"/>
      <c r="F46" s="91"/>
      <c r="G46" s="91"/>
      <c r="H46" s="91"/>
      <c r="I46" s="91"/>
      <c r="J46" s="91"/>
      <c r="K46" s="91"/>
      <c r="L46" s="91"/>
      <c r="M46" s="91"/>
      <c r="N46" s="92"/>
      <c r="O46" s="98"/>
      <c r="P46" s="91"/>
      <c r="Q46" s="91"/>
      <c r="R46" s="91"/>
      <c r="S46" s="91"/>
      <c r="T46" s="91"/>
      <c r="U46" s="91"/>
      <c r="V46" s="91"/>
      <c r="W46" s="91"/>
      <c r="X46" s="92"/>
      <c r="Y46" s="98"/>
      <c r="Z46" s="91"/>
      <c r="AA46" s="91"/>
      <c r="AB46" s="91"/>
      <c r="AC46" s="91"/>
      <c r="AD46" s="91"/>
      <c r="AE46" s="91"/>
      <c r="AF46" s="91"/>
      <c r="AG46" s="91"/>
      <c r="AH46" s="92"/>
      <c r="AI46" s="98"/>
      <c r="AJ46" s="91"/>
      <c r="AK46" s="91"/>
      <c r="AL46" s="91"/>
      <c r="AM46" s="91"/>
      <c r="AN46" s="91"/>
      <c r="AO46" s="91"/>
      <c r="AP46" s="91"/>
      <c r="AQ46" s="91"/>
      <c r="AR46" s="92"/>
      <c r="AS46" s="98"/>
      <c r="AT46" s="91"/>
      <c r="AU46" s="91"/>
      <c r="AV46" s="91"/>
      <c r="AW46" s="91"/>
      <c r="AX46" s="91"/>
      <c r="AY46" s="91"/>
      <c r="AZ46" s="91"/>
      <c r="BA46" s="91"/>
      <c r="BB46" s="92"/>
      <c r="BC46" s="98"/>
      <c r="BD46" s="91"/>
      <c r="BE46" s="91"/>
      <c r="BF46" s="91"/>
      <c r="BG46" s="91"/>
      <c r="BH46" s="91"/>
      <c r="BI46" s="91"/>
      <c r="BJ46" s="91"/>
      <c r="BK46" s="91"/>
      <c r="BL46" s="92"/>
      <c r="BM46" s="98"/>
      <c r="BN46" s="91"/>
      <c r="BO46" s="91"/>
      <c r="BP46" s="92"/>
      <c r="BQ46" s="84"/>
      <c r="BR46" s="84"/>
      <c r="BS46" s="292"/>
      <c r="BT46" s="299"/>
      <c r="BU46" s="86"/>
      <c r="BV46" s="85"/>
      <c r="CB46" s="357"/>
    </row>
    <row r="47" spans="1:80" s="88" customFormat="1" ht="14.4" thickBot="1" x14ac:dyDescent="0.3">
      <c r="A47" s="1">
        <v>15</v>
      </c>
      <c r="B47" s="1"/>
      <c r="C47" s="272" t="s">
        <v>33</v>
      </c>
      <c r="D47" s="257">
        <v>1508</v>
      </c>
      <c r="E47" s="184">
        <v>1362</v>
      </c>
      <c r="F47" s="188">
        <v>116694</v>
      </c>
      <c r="G47" s="188"/>
      <c r="H47" s="188"/>
      <c r="I47" s="91">
        <f t="shared" ref="I47:I58" si="48">E47+F47-G47+H47</f>
        <v>118056</v>
      </c>
      <c r="J47" s="188">
        <v>7</v>
      </c>
      <c r="K47" s="224">
        <v>397</v>
      </c>
      <c r="L47" s="90"/>
      <c r="M47" s="90"/>
      <c r="N47" s="92">
        <f t="shared" ref="N47:N58" si="49">J47+K47-L47+M47</f>
        <v>404</v>
      </c>
      <c r="O47" s="93">
        <f t="shared" ref="O47:O54" si="50">I47</f>
        <v>118056</v>
      </c>
      <c r="P47" s="235">
        <v>180979</v>
      </c>
      <c r="Q47" s="90"/>
      <c r="R47" s="188"/>
      <c r="S47" s="91">
        <f t="shared" ref="S47:S58" si="51">O47+P47-Q47+SUM(R47:R47)</f>
        <v>299035</v>
      </c>
      <c r="T47" s="94">
        <f t="shared" ref="T47:T58" si="52">N47</f>
        <v>404</v>
      </c>
      <c r="U47" s="246">
        <v>3164</v>
      </c>
      <c r="V47" s="90"/>
      <c r="W47" s="188"/>
      <c r="X47" s="92">
        <f t="shared" ref="X47:X58" si="53">T47+U47-V47+W47</f>
        <v>3568</v>
      </c>
      <c r="Y47" s="93">
        <f t="shared" ref="Y47:Y58" si="54">S47</f>
        <v>299035</v>
      </c>
      <c r="Z47" s="188">
        <v>27732</v>
      </c>
      <c r="AA47" s="188"/>
      <c r="AB47" s="90"/>
      <c r="AC47" s="91">
        <f t="shared" ref="AC47:AC58" si="55">Y47+Z47-AA47+SUM(AB47:AB47)</f>
        <v>326767</v>
      </c>
      <c r="AD47" s="94">
        <f t="shared" ref="AD47:AD58" si="56">X47</f>
        <v>3568</v>
      </c>
      <c r="AE47" s="188">
        <v>4520</v>
      </c>
      <c r="AF47" s="90"/>
      <c r="AG47" s="90"/>
      <c r="AH47" s="92">
        <f t="shared" ref="AH47:AH58" si="57">AD47+AE47-AF47+AG47</f>
        <v>8088</v>
      </c>
      <c r="AI47" s="93">
        <f t="shared" ref="AI47:AI54" si="58">AC47</f>
        <v>326767</v>
      </c>
      <c r="AJ47" s="188">
        <v>-173101</v>
      </c>
      <c r="AK47" s="188">
        <v>9569</v>
      </c>
      <c r="AL47" s="90"/>
      <c r="AM47" s="91">
        <f t="shared" ref="AM47:AM58" si="59">AI47+AJ47-AK47+SUM(AL47:AL47)</f>
        <v>144097</v>
      </c>
      <c r="AN47" s="94">
        <f t="shared" ref="AN47:AN58" si="60">AH47</f>
        <v>8088</v>
      </c>
      <c r="AO47" s="188">
        <v>4136</v>
      </c>
      <c r="AP47" s="188">
        <v>496</v>
      </c>
      <c r="AQ47" s="90"/>
      <c r="AR47" s="92">
        <f t="shared" ref="AR47:AR52" si="61">AN47+AO47-AP47+AQ47</f>
        <v>11728</v>
      </c>
      <c r="AS47" s="93">
        <f t="shared" ref="AS47:AS54" si="62">AM47</f>
        <v>144097</v>
      </c>
      <c r="AT47" s="188">
        <v>-144437</v>
      </c>
      <c r="AU47" s="90"/>
      <c r="AV47" s="90"/>
      <c r="AW47" s="91">
        <f t="shared" ref="AW47:AW58" si="63">AS47+AT47-AU47+SUM(AV47:AV47)</f>
        <v>-340</v>
      </c>
      <c r="AX47" s="94">
        <f t="shared" ref="AX47:AX58" si="64">AR47</f>
        <v>11728</v>
      </c>
      <c r="AY47" s="188">
        <v>509</v>
      </c>
      <c r="AZ47" s="90"/>
      <c r="BA47" s="90"/>
      <c r="BB47" s="92">
        <f>AX47+AY47-AZ47+BA47</f>
        <v>12237</v>
      </c>
      <c r="BC47" s="93">
        <f t="shared" ref="BC47:BC54" si="65">AW47</f>
        <v>-340</v>
      </c>
      <c r="BD47" s="188">
        <v>22</v>
      </c>
      <c r="BE47" s="188"/>
      <c r="BF47" s="188"/>
      <c r="BG47" s="91">
        <f t="shared" ref="BG47:BG58" si="66">BC47+BD47-BE47+SUM(BF47:BF47)</f>
        <v>-318</v>
      </c>
      <c r="BH47" s="94">
        <f t="shared" ref="BH47:BH58" si="67">BB47</f>
        <v>12237</v>
      </c>
      <c r="BI47" s="188">
        <v>10</v>
      </c>
      <c r="BJ47" s="90"/>
      <c r="BK47" s="90"/>
      <c r="BL47" s="92">
        <f t="shared" ref="BL47:BL52" si="68">BH47+BI47-BJ47+BK47</f>
        <v>12247</v>
      </c>
      <c r="BM47" s="89"/>
      <c r="BN47" s="90"/>
      <c r="BO47" s="94">
        <f t="shared" ref="BO47" si="69">BG47-BM47</f>
        <v>-318</v>
      </c>
      <c r="BP47" s="95">
        <f t="shared" ref="BP47" si="70">BL47-BN47</f>
        <v>12247</v>
      </c>
      <c r="BQ47" s="96"/>
      <c r="BR47" s="188">
        <f t="shared" ref="BR47:BR58" si="71">(BO47*9/12*1.1%)+(BO47*3/12*1.5%)</f>
        <v>-3.8160000000000003</v>
      </c>
      <c r="BS47" s="266">
        <f t="shared" ref="BS47:BS58" si="72">BP47+BQ47+BR47</f>
        <v>12243.183999999999</v>
      </c>
      <c r="BT47" s="299">
        <f>SUM(BO47:BR47)</f>
        <v>11925.183999999999</v>
      </c>
      <c r="BU47" s="189">
        <v>14492.449999999953</v>
      </c>
      <c r="BV47" s="85">
        <f t="shared" ref="BV47:BV58" si="73">BU47-SUM(BG47,BL47)</f>
        <v>2563.4499999999534</v>
      </c>
      <c r="CB47" s="357"/>
    </row>
    <row r="48" spans="1:80" s="88" customFormat="1" ht="14.4" thickBot="1" x14ac:dyDescent="0.3">
      <c r="A48" s="1">
        <v>16</v>
      </c>
      <c r="B48" s="1"/>
      <c r="C48" s="272" t="s">
        <v>34</v>
      </c>
      <c r="D48" s="257">
        <v>1508</v>
      </c>
      <c r="E48" s="184"/>
      <c r="F48" s="188"/>
      <c r="G48" s="188"/>
      <c r="H48" s="188"/>
      <c r="I48" s="91">
        <f>E48+F48-G48+H48</f>
        <v>0</v>
      </c>
      <c r="J48" s="188"/>
      <c r="K48" s="188"/>
      <c r="L48" s="90"/>
      <c r="M48" s="90"/>
      <c r="N48" s="92">
        <f>J48+K48-L48+M48</f>
        <v>0</v>
      </c>
      <c r="O48" s="93">
        <f>I48</f>
        <v>0</v>
      </c>
      <c r="P48" s="188"/>
      <c r="Q48" s="90"/>
      <c r="R48" s="188"/>
      <c r="S48" s="91">
        <f t="shared" si="51"/>
        <v>0</v>
      </c>
      <c r="T48" s="94">
        <f t="shared" si="52"/>
        <v>0</v>
      </c>
      <c r="U48" s="188"/>
      <c r="V48" s="90"/>
      <c r="W48" s="188"/>
      <c r="X48" s="92">
        <f>T48+U48-V48+W48</f>
        <v>0</v>
      </c>
      <c r="Y48" s="93">
        <f t="shared" si="54"/>
        <v>0</v>
      </c>
      <c r="Z48" s="188"/>
      <c r="AA48" s="188"/>
      <c r="AB48" s="90"/>
      <c r="AC48" s="91">
        <f t="shared" si="55"/>
        <v>0</v>
      </c>
      <c r="AD48" s="94">
        <f t="shared" si="56"/>
        <v>0</v>
      </c>
      <c r="AE48" s="188"/>
      <c r="AF48" s="90"/>
      <c r="AG48" s="90"/>
      <c r="AH48" s="92">
        <f t="shared" si="57"/>
        <v>0</v>
      </c>
      <c r="AI48" s="93">
        <f t="shared" si="58"/>
        <v>0</v>
      </c>
      <c r="AJ48" s="188"/>
      <c r="AK48" s="188"/>
      <c r="AL48" s="90"/>
      <c r="AM48" s="91">
        <f t="shared" si="59"/>
        <v>0</v>
      </c>
      <c r="AN48" s="94">
        <f t="shared" si="60"/>
        <v>0</v>
      </c>
      <c r="AO48" s="188"/>
      <c r="AP48" s="188"/>
      <c r="AQ48" s="90"/>
      <c r="AR48" s="92">
        <f t="shared" si="61"/>
        <v>0</v>
      </c>
      <c r="AS48" s="93">
        <f t="shared" si="62"/>
        <v>0</v>
      </c>
      <c r="AT48" s="188"/>
      <c r="AU48" s="90"/>
      <c r="AV48" s="90"/>
      <c r="AW48" s="91">
        <f t="shared" si="63"/>
        <v>0</v>
      </c>
      <c r="AX48" s="94">
        <f t="shared" si="64"/>
        <v>0</v>
      </c>
      <c r="AY48" s="188"/>
      <c r="AZ48" s="90"/>
      <c r="BA48" s="90"/>
      <c r="BB48" s="92">
        <f t="shared" ref="BB48:BB52" si="74">AX48+AY48-AZ48+BA48</f>
        <v>0</v>
      </c>
      <c r="BC48" s="93">
        <f t="shared" si="65"/>
        <v>0</v>
      </c>
      <c r="BD48" s="188"/>
      <c r="BE48" s="188"/>
      <c r="BF48" s="188"/>
      <c r="BG48" s="91">
        <f t="shared" si="66"/>
        <v>0</v>
      </c>
      <c r="BH48" s="94">
        <f t="shared" si="67"/>
        <v>0</v>
      </c>
      <c r="BI48" s="188"/>
      <c r="BJ48" s="90"/>
      <c r="BK48" s="90"/>
      <c r="BL48" s="92">
        <f t="shared" si="68"/>
        <v>0</v>
      </c>
      <c r="BM48" s="89"/>
      <c r="BN48" s="90"/>
      <c r="BO48" s="94">
        <f t="shared" ref="BO48:BO58" si="75">BG48-BM48</f>
        <v>0</v>
      </c>
      <c r="BP48" s="95">
        <f t="shared" ref="BP48:BP58" si="76">BL48-BN48</f>
        <v>0</v>
      </c>
      <c r="BQ48" s="96"/>
      <c r="BR48" s="188">
        <f t="shared" si="71"/>
        <v>0</v>
      </c>
      <c r="BS48" s="266">
        <f t="shared" si="72"/>
        <v>0</v>
      </c>
      <c r="BT48" s="299">
        <f>SUM(BO48:BR48)</f>
        <v>0</v>
      </c>
      <c r="BU48" s="189"/>
      <c r="BV48" s="85">
        <f t="shared" si="73"/>
        <v>0</v>
      </c>
      <c r="CB48" s="357"/>
    </row>
    <row r="49" spans="1:80" s="88" customFormat="1" ht="30.6" thickBot="1" x14ac:dyDescent="0.3">
      <c r="A49" s="1">
        <v>17</v>
      </c>
      <c r="B49" s="1"/>
      <c r="C49" s="281" t="s">
        <v>239</v>
      </c>
      <c r="D49" s="257">
        <v>1508</v>
      </c>
      <c r="E49" s="111"/>
      <c r="F49" s="100"/>
      <c r="G49" s="100"/>
      <c r="H49" s="100"/>
      <c r="I49" s="91"/>
      <c r="J49" s="94"/>
      <c r="K49" s="100"/>
      <c r="L49" s="100"/>
      <c r="M49" s="100"/>
      <c r="N49" s="92"/>
      <c r="O49" s="93">
        <f t="shared" ref="O49" si="77">I49</f>
        <v>0</v>
      </c>
      <c r="P49" s="235"/>
      <c r="Q49" s="188"/>
      <c r="R49" s="188"/>
      <c r="S49" s="91">
        <f t="shared" ref="S49" si="78">O49+P49-Q49+SUM(R49:R49)</f>
        <v>0</v>
      </c>
      <c r="T49" s="94">
        <f t="shared" ref="T49" si="79">N49</f>
        <v>0</v>
      </c>
      <c r="U49" s="246"/>
      <c r="V49" s="188"/>
      <c r="W49" s="188"/>
      <c r="X49" s="92">
        <f t="shared" ref="X49" si="80">T49+U49-V49+W49</f>
        <v>0</v>
      </c>
      <c r="Y49" s="93">
        <f>S49</f>
        <v>0</v>
      </c>
      <c r="Z49" s="188"/>
      <c r="AA49" s="188"/>
      <c r="AB49" s="90"/>
      <c r="AC49" s="91">
        <f t="shared" si="55"/>
        <v>0</v>
      </c>
      <c r="AD49" s="94">
        <f t="shared" si="56"/>
        <v>0</v>
      </c>
      <c r="AE49" s="188"/>
      <c r="AF49" s="90"/>
      <c r="AG49" s="90"/>
      <c r="AH49" s="92">
        <f t="shared" si="57"/>
        <v>0</v>
      </c>
      <c r="AI49" s="93">
        <f t="shared" si="58"/>
        <v>0</v>
      </c>
      <c r="AJ49" s="188"/>
      <c r="AK49" s="188"/>
      <c r="AL49" s="90"/>
      <c r="AM49" s="91">
        <f t="shared" si="59"/>
        <v>0</v>
      </c>
      <c r="AN49" s="94">
        <f t="shared" si="60"/>
        <v>0</v>
      </c>
      <c r="AO49" s="188"/>
      <c r="AP49" s="188"/>
      <c r="AQ49" s="90"/>
      <c r="AR49" s="92">
        <f t="shared" si="61"/>
        <v>0</v>
      </c>
      <c r="AS49" s="93">
        <f t="shared" si="62"/>
        <v>0</v>
      </c>
      <c r="AT49" s="188"/>
      <c r="AU49" s="90"/>
      <c r="AV49" s="90"/>
      <c r="AW49" s="91">
        <f t="shared" si="63"/>
        <v>0</v>
      </c>
      <c r="AX49" s="94">
        <f t="shared" si="64"/>
        <v>0</v>
      </c>
      <c r="AY49" s="188"/>
      <c r="AZ49" s="90"/>
      <c r="BA49" s="90"/>
      <c r="BB49" s="92">
        <f t="shared" si="74"/>
        <v>0</v>
      </c>
      <c r="BC49" s="93">
        <f t="shared" si="65"/>
        <v>0</v>
      </c>
      <c r="BD49" s="188"/>
      <c r="BE49" s="188"/>
      <c r="BF49" s="188"/>
      <c r="BG49" s="91">
        <f t="shared" si="66"/>
        <v>0</v>
      </c>
      <c r="BH49" s="94">
        <f t="shared" si="67"/>
        <v>0</v>
      </c>
      <c r="BI49" s="188"/>
      <c r="BJ49" s="90"/>
      <c r="BK49" s="90"/>
      <c r="BL49" s="92">
        <f t="shared" si="68"/>
        <v>0</v>
      </c>
      <c r="BM49" s="89"/>
      <c r="BN49" s="90"/>
      <c r="BO49" s="94">
        <f t="shared" si="75"/>
        <v>0</v>
      </c>
      <c r="BP49" s="95">
        <f t="shared" si="76"/>
        <v>0</v>
      </c>
      <c r="BQ49" s="96"/>
      <c r="BR49" s="188">
        <f t="shared" si="71"/>
        <v>0</v>
      </c>
      <c r="BS49" s="266">
        <f t="shared" si="72"/>
        <v>0</v>
      </c>
      <c r="BT49" s="299">
        <f>SUM(BO49:BR49)</f>
        <v>0</v>
      </c>
      <c r="BU49" s="189"/>
      <c r="BV49" s="85">
        <f t="shared" si="73"/>
        <v>0</v>
      </c>
      <c r="CB49" s="357"/>
    </row>
    <row r="50" spans="1:80" s="88" customFormat="1" ht="16.8" thickBot="1" x14ac:dyDescent="0.3">
      <c r="A50" s="1">
        <v>18</v>
      </c>
      <c r="B50" s="1"/>
      <c r="C50" s="272" t="s">
        <v>43</v>
      </c>
      <c r="D50" s="257">
        <v>1508</v>
      </c>
      <c r="E50" s="184"/>
      <c r="F50" s="188"/>
      <c r="G50" s="188"/>
      <c r="H50" s="188"/>
      <c r="I50" s="91">
        <f t="shared" si="48"/>
        <v>0</v>
      </c>
      <c r="J50" s="188"/>
      <c r="K50" s="188"/>
      <c r="L50" s="90"/>
      <c r="M50" s="90"/>
      <c r="N50" s="92">
        <f t="shared" si="49"/>
        <v>0</v>
      </c>
      <c r="O50" s="93">
        <f t="shared" si="50"/>
        <v>0</v>
      </c>
      <c r="P50" s="236"/>
      <c r="Q50" s="90"/>
      <c r="R50" s="188"/>
      <c r="S50" s="91">
        <f t="shared" si="51"/>
        <v>0</v>
      </c>
      <c r="T50" s="94">
        <f t="shared" si="52"/>
        <v>0</v>
      </c>
      <c r="U50" s="188"/>
      <c r="V50" s="90"/>
      <c r="W50" s="188"/>
      <c r="X50" s="92">
        <f t="shared" si="53"/>
        <v>0</v>
      </c>
      <c r="Y50" s="93">
        <f t="shared" si="54"/>
        <v>0</v>
      </c>
      <c r="Z50" s="188"/>
      <c r="AA50" s="188"/>
      <c r="AB50" s="90"/>
      <c r="AC50" s="91">
        <f t="shared" si="55"/>
        <v>0</v>
      </c>
      <c r="AD50" s="94">
        <f t="shared" si="56"/>
        <v>0</v>
      </c>
      <c r="AE50" s="188"/>
      <c r="AF50" s="90"/>
      <c r="AG50" s="90"/>
      <c r="AH50" s="92">
        <f t="shared" si="57"/>
        <v>0</v>
      </c>
      <c r="AI50" s="93">
        <f t="shared" si="58"/>
        <v>0</v>
      </c>
      <c r="AJ50" s="188"/>
      <c r="AK50" s="188"/>
      <c r="AL50" s="90"/>
      <c r="AM50" s="91">
        <f t="shared" si="59"/>
        <v>0</v>
      </c>
      <c r="AN50" s="94">
        <f t="shared" si="60"/>
        <v>0</v>
      </c>
      <c r="AO50" s="188"/>
      <c r="AP50" s="188"/>
      <c r="AQ50" s="90"/>
      <c r="AR50" s="92">
        <f t="shared" si="61"/>
        <v>0</v>
      </c>
      <c r="AS50" s="93">
        <f t="shared" si="62"/>
        <v>0</v>
      </c>
      <c r="AT50" s="188"/>
      <c r="AU50" s="90"/>
      <c r="AV50" s="90"/>
      <c r="AW50" s="91">
        <f t="shared" si="63"/>
        <v>0</v>
      </c>
      <c r="AX50" s="94">
        <f t="shared" si="64"/>
        <v>0</v>
      </c>
      <c r="AY50" s="188"/>
      <c r="AZ50" s="90"/>
      <c r="BA50" s="90"/>
      <c r="BB50" s="92">
        <f t="shared" si="74"/>
        <v>0</v>
      </c>
      <c r="BC50" s="93">
        <f t="shared" si="65"/>
        <v>0</v>
      </c>
      <c r="BD50" s="188">
        <v>2565.0700000000002</v>
      </c>
      <c r="BE50" s="188"/>
      <c r="BF50" s="188"/>
      <c r="BG50" s="91">
        <f t="shared" si="66"/>
        <v>2565.0700000000002</v>
      </c>
      <c r="BH50" s="94">
        <f t="shared" si="67"/>
        <v>0</v>
      </c>
      <c r="BI50" s="188"/>
      <c r="BJ50" s="90"/>
      <c r="BK50" s="90"/>
      <c r="BL50" s="92">
        <f t="shared" si="68"/>
        <v>0</v>
      </c>
      <c r="BM50" s="89"/>
      <c r="BN50" s="90"/>
      <c r="BO50" s="94">
        <f t="shared" si="75"/>
        <v>2565.0700000000002</v>
      </c>
      <c r="BP50" s="95">
        <f t="shared" si="76"/>
        <v>0</v>
      </c>
      <c r="BQ50" s="96"/>
      <c r="BR50" s="188">
        <f t="shared" si="71"/>
        <v>30.780840000000001</v>
      </c>
      <c r="BS50" s="266">
        <f t="shared" si="72"/>
        <v>30.780840000000001</v>
      </c>
      <c r="BT50" s="299">
        <f>IF(CB50=TRUE, SUM(BO50:BR50), 0)</f>
        <v>2595.8508400000001</v>
      </c>
      <c r="BU50" s="189"/>
      <c r="BV50" s="85">
        <f t="shared" si="73"/>
        <v>-2565.0700000000002</v>
      </c>
      <c r="CA50" s="296">
        <v>1508</v>
      </c>
      <c r="CB50" s="357" t="b">
        <v>1</v>
      </c>
    </row>
    <row r="51" spans="1:80" s="88" customFormat="1" ht="14.4" thickBot="1" x14ac:dyDescent="0.3">
      <c r="A51" s="1">
        <v>19</v>
      </c>
      <c r="B51" s="1"/>
      <c r="C51" s="272" t="s">
        <v>4</v>
      </c>
      <c r="D51" s="257">
        <v>1518</v>
      </c>
      <c r="E51" s="208">
        <v>728</v>
      </c>
      <c r="F51" s="209">
        <v>18696</v>
      </c>
      <c r="G51" s="188"/>
      <c r="H51" s="188"/>
      <c r="I51" s="91">
        <f t="shared" si="48"/>
        <v>19424</v>
      </c>
      <c r="J51" s="225">
        <v>-2171</v>
      </c>
      <c r="K51" s="226">
        <v>77</v>
      </c>
      <c r="L51" s="90"/>
      <c r="M51" s="90"/>
      <c r="N51" s="92">
        <f t="shared" si="49"/>
        <v>-2094</v>
      </c>
      <c r="O51" s="93">
        <f t="shared" si="50"/>
        <v>19424</v>
      </c>
      <c r="P51" s="188">
        <v>12985</v>
      </c>
      <c r="Q51" s="90"/>
      <c r="R51" s="188"/>
      <c r="S51" s="91">
        <f t="shared" si="51"/>
        <v>32409</v>
      </c>
      <c r="T51" s="94">
        <f t="shared" si="52"/>
        <v>-2094</v>
      </c>
      <c r="U51" s="247">
        <v>387</v>
      </c>
      <c r="V51" s="90"/>
      <c r="W51" s="188"/>
      <c r="X51" s="92">
        <f t="shared" si="53"/>
        <v>-1707</v>
      </c>
      <c r="Y51" s="93">
        <f t="shared" si="54"/>
        <v>32409</v>
      </c>
      <c r="Z51" s="188">
        <v>25167</v>
      </c>
      <c r="AA51" s="188"/>
      <c r="AB51" s="90"/>
      <c r="AC51" s="91">
        <f t="shared" si="55"/>
        <v>57576</v>
      </c>
      <c r="AD51" s="94">
        <f t="shared" si="56"/>
        <v>-1707</v>
      </c>
      <c r="AE51" s="188">
        <v>636</v>
      </c>
      <c r="AF51" s="90"/>
      <c r="AG51" s="90"/>
      <c r="AH51" s="92">
        <f t="shared" si="57"/>
        <v>-1071</v>
      </c>
      <c r="AI51" s="93">
        <f t="shared" si="58"/>
        <v>57576</v>
      </c>
      <c r="AJ51" s="188">
        <v>6366</v>
      </c>
      <c r="AK51" s="188">
        <v>32409</v>
      </c>
      <c r="AL51" s="90"/>
      <c r="AM51" s="91">
        <f t="shared" si="59"/>
        <v>31533</v>
      </c>
      <c r="AN51" s="94">
        <f t="shared" si="60"/>
        <v>-1071</v>
      </c>
      <c r="AO51" s="188">
        <v>621</v>
      </c>
      <c r="AP51" s="188">
        <v>-1071</v>
      </c>
      <c r="AQ51" s="90"/>
      <c r="AR51" s="92">
        <f t="shared" si="61"/>
        <v>621</v>
      </c>
      <c r="AS51" s="93">
        <f t="shared" si="62"/>
        <v>31533</v>
      </c>
      <c r="AT51" s="188">
        <v>16785</v>
      </c>
      <c r="AU51" s="90"/>
      <c r="AV51" s="90"/>
      <c r="AW51" s="91">
        <f t="shared" si="63"/>
        <v>48318</v>
      </c>
      <c r="AX51" s="94">
        <f t="shared" si="64"/>
        <v>621</v>
      </c>
      <c r="AY51" s="188">
        <v>601</v>
      </c>
      <c r="AZ51" s="90"/>
      <c r="BA51" s="90"/>
      <c r="BB51" s="92">
        <f t="shared" si="74"/>
        <v>1222</v>
      </c>
      <c r="BC51" s="93">
        <f t="shared" si="65"/>
        <v>48318</v>
      </c>
      <c r="BD51" s="188">
        <v>11011</v>
      </c>
      <c r="BE51" s="188"/>
      <c r="BF51" s="188"/>
      <c r="BG51" s="91">
        <f>BC51+BD51-BE51+SUM(BF51:BF51)</f>
        <v>59329</v>
      </c>
      <c r="BH51" s="94">
        <f t="shared" si="67"/>
        <v>1222</v>
      </c>
      <c r="BI51" s="188">
        <v>620</v>
      </c>
      <c r="BJ51" s="90"/>
      <c r="BK51" s="90"/>
      <c r="BL51" s="92">
        <f t="shared" si="68"/>
        <v>1842</v>
      </c>
      <c r="BM51" s="89"/>
      <c r="BN51" s="90"/>
      <c r="BO51" s="94">
        <f t="shared" si="75"/>
        <v>59329</v>
      </c>
      <c r="BP51" s="95">
        <f t="shared" si="76"/>
        <v>1842</v>
      </c>
      <c r="BQ51" s="96"/>
      <c r="BR51" s="188">
        <f t="shared" si="71"/>
        <v>711.94800000000009</v>
      </c>
      <c r="BS51" s="266">
        <f t="shared" si="72"/>
        <v>2553.9480000000003</v>
      </c>
      <c r="BT51" s="299">
        <f>SUM(BO51:BR51)</f>
        <v>61882.947999999997</v>
      </c>
      <c r="BU51" s="189">
        <v>61171.35</v>
      </c>
      <c r="BV51" s="85">
        <f t="shared" si="73"/>
        <v>0.34999999999854481</v>
      </c>
      <c r="CB51" s="357"/>
    </row>
    <row r="52" spans="1:80" s="88" customFormat="1" ht="14.4" thickBot="1" x14ac:dyDescent="0.3">
      <c r="A52" s="1">
        <v>20</v>
      </c>
      <c r="B52" s="1"/>
      <c r="C52" s="272" t="s">
        <v>9</v>
      </c>
      <c r="D52" s="257">
        <v>1525</v>
      </c>
      <c r="E52" s="183"/>
      <c r="F52" s="186"/>
      <c r="G52" s="186"/>
      <c r="H52" s="186"/>
      <c r="I52" s="91">
        <f t="shared" si="48"/>
        <v>0</v>
      </c>
      <c r="J52" s="227"/>
      <c r="K52" s="186"/>
      <c r="L52" s="102"/>
      <c r="M52" s="102"/>
      <c r="N52" s="92">
        <f t="shared" si="49"/>
        <v>0</v>
      </c>
      <c r="O52" s="93">
        <f t="shared" si="50"/>
        <v>0</v>
      </c>
      <c r="P52" s="188"/>
      <c r="Q52" s="90"/>
      <c r="R52" s="188"/>
      <c r="S52" s="91">
        <f t="shared" si="51"/>
        <v>0</v>
      </c>
      <c r="T52" s="94">
        <f t="shared" si="52"/>
        <v>0</v>
      </c>
      <c r="U52" s="247"/>
      <c r="V52" s="102"/>
      <c r="W52" s="186"/>
      <c r="X52" s="92">
        <f t="shared" si="53"/>
        <v>0</v>
      </c>
      <c r="Y52" s="93">
        <f t="shared" si="54"/>
        <v>0</v>
      </c>
      <c r="Z52" s="188"/>
      <c r="AA52" s="188"/>
      <c r="AB52" s="90"/>
      <c r="AC52" s="91">
        <f t="shared" si="55"/>
        <v>0</v>
      </c>
      <c r="AD52" s="94">
        <f t="shared" si="56"/>
        <v>0</v>
      </c>
      <c r="AE52" s="188"/>
      <c r="AF52" s="102"/>
      <c r="AG52" s="102"/>
      <c r="AH52" s="92">
        <f t="shared" si="57"/>
        <v>0</v>
      </c>
      <c r="AI52" s="93">
        <f t="shared" si="58"/>
        <v>0</v>
      </c>
      <c r="AJ52" s="188"/>
      <c r="AK52" s="188"/>
      <c r="AL52" s="90"/>
      <c r="AM52" s="91">
        <f t="shared" si="59"/>
        <v>0</v>
      </c>
      <c r="AN52" s="94">
        <f t="shared" si="60"/>
        <v>0</v>
      </c>
      <c r="AO52" s="188"/>
      <c r="AP52" s="186"/>
      <c r="AQ52" s="102"/>
      <c r="AR52" s="92">
        <f t="shared" si="61"/>
        <v>0</v>
      </c>
      <c r="AS52" s="93">
        <f t="shared" si="62"/>
        <v>0</v>
      </c>
      <c r="AT52" s="188"/>
      <c r="AU52" s="90"/>
      <c r="AV52" s="90"/>
      <c r="AW52" s="91">
        <f t="shared" si="63"/>
        <v>0</v>
      </c>
      <c r="AX52" s="94">
        <f t="shared" si="64"/>
        <v>0</v>
      </c>
      <c r="AY52" s="188"/>
      <c r="AZ52" s="102"/>
      <c r="BA52" s="102"/>
      <c r="BB52" s="92">
        <f t="shared" si="74"/>
        <v>0</v>
      </c>
      <c r="BC52" s="93">
        <f t="shared" si="65"/>
        <v>0</v>
      </c>
      <c r="BD52" s="188"/>
      <c r="BE52" s="188"/>
      <c r="BF52" s="188"/>
      <c r="BG52" s="91">
        <f>BC52+BD52-BE52+SUM(BF52:BF52)</f>
        <v>0</v>
      </c>
      <c r="BH52" s="94">
        <f t="shared" si="67"/>
        <v>0</v>
      </c>
      <c r="BI52" s="188"/>
      <c r="BJ52" s="102"/>
      <c r="BK52" s="102"/>
      <c r="BL52" s="92">
        <f t="shared" si="68"/>
        <v>0</v>
      </c>
      <c r="BM52" s="89"/>
      <c r="BN52" s="90"/>
      <c r="BO52" s="94">
        <f t="shared" si="75"/>
        <v>0</v>
      </c>
      <c r="BP52" s="95">
        <f t="shared" si="76"/>
        <v>0</v>
      </c>
      <c r="BQ52" s="96"/>
      <c r="BR52" s="188">
        <f t="shared" si="71"/>
        <v>0</v>
      </c>
      <c r="BS52" s="266">
        <f t="shared" si="72"/>
        <v>0</v>
      </c>
      <c r="BT52" s="299">
        <f>IF(CB52=TRUE, SUM(BO52:BR52), 0)</f>
        <v>0</v>
      </c>
      <c r="BU52" s="189"/>
      <c r="BV52" s="85">
        <f t="shared" si="73"/>
        <v>0</v>
      </c>
      <c r="CA52" s="69">
        <v>1525</v>
      </c>
      <c r="CB52" s="357" t="b">
        <v>1</v>
      </c>
    </row>
    <row r="53" spans="1:80" s="88" customFormat="1" ht="14.4" thickBot="1" x14ac:dyDescent="0.3">
      <c r="A53" s="1">
        <v>21</v>
      </c>
      <c r="B53" s="1"/>
      <c r="C53" s="272" t="s">
        <v>5</v>
      </c>
      <c r="D53" s="257">
        <v>1548</v>
      </c>
      <c r="E53" s="216">
        <v>51376</v>
      </c>
      <c r="F53" s="215">
        <v>11843</v>
      </c>
      <c r="G53" s="102"/>
      <c r="H53" s="102"/>
      <c r="I53" s="91">
        <f>E53+F53-G53+H53</f>
        <v>63219</v>
      </c>
      <c r="J53" s="218">
        <v>11134</v>
      </c>
      <c r="K53" s="219">
        <v>450</v>
      </c>
      <c r="L53" s="188"/>
      <c r="M53" s="90"/>
      <c r="N53" s="92">
        <f>J53+K53-L53+M53</f>
        <v>11584</v>
      </c>
      <c r="O53" s="93">
        <f>I53</f>
        <v>63219</v>
      </c>
      <c r="P53" s="188">
        <v>8445</v>
      </c>
      <c r="Q53" s="90"/>
      <c r="R53" s="188"/>
      <c r="S53" s="91">
        <f>O53+P53-Q53+SUM(R53:R53)</f>
        <v>71664</v>
      </c>
      <c r="T53" s="94">
        <f>N53</f>
        <v>11584</v>
      </c>
      <c r="U53" s="243">
        <v>985</v>
      </c>
      <c r="V53" s="103"/>
      <c r="W53" s="103"/>
      <c r="X53" s="92">
        <f>T53+U53-V53+W53</f>
        <v>12569</v>
      </c>
      <c r="Y53" s="93">
        <f>S53</f>
        <v>71664</v>
      </c>
      <c r="Z53" s="188">
        <v>7843</v>
      </c>
      <c r="AA53" s="90"/>
      <c r="AB53" s="90"/>
      <c r="AC53" s="91">
        <f>Y53+Z53-AA53+SUM(AB53:AB53)</f>
        <v>79507</v>
      </c>
      <c r="AD53" s="94">
        <f>X53</f>
        <v>12569</v>
      </c>
      <c r="AE53" s="188">
        <v>1113</v>
      </c>
      <c r="AF53" s="103"/>
      <c r="AG53" s="102"/>
      <c r="AH53" s="92">
        <f>AD53+AE53-AF53+AG53</f>
        <v>13682</v>
      </c>
      <c r="AI53" s="93">
        <f>AC53</f>
        <v>79507</v>
      </c>
      <c r="AJ53" s="188">
        <v>6648</v>
      </c>
      <c r="AK53" s="188">
        <v>71664</v>
      </c>
      <c r="AL53" s="188"/>
      <c r="AM53" s="91">
        <f>AI53+AJ53-AK53+SUM(AL53:AL53)</f>
        <v>14491</v>
      </c>
      <c r="AN53" s="94">
        <f>AH53</f>
        <v>13682</v>
      </c>
      <c r="AO53" s="188">
        <v>593</v>
      </c>
      <c r="AP53" s="103">
        <v>13974</v>
      </c>
      <c r="AQ53" s="102"/>
      <c r="AR53" s="92">
        <f t="shared" ref="AR53:AR58" si="81">AN53+AO53-AP53+AQ53</f>
        <v>301</v>
      </c>
      <c r="AS53" s="93">
        <f>AM53</f>
        <v>14491</v>
      </c>
      <c r="AT53" s="188">
        <v>13247</v>
      </c>
      <c r="AU53" s="90"/>
      <c r="AV53" s="90"/>
      <c r="AW53" s="91">
        <f>AS53+AT53-AU53+SUM(AV53:AV53)</f>
        <v>27738</v>
      </c>
      <c r="AX53" s="94">
        <f>AR53</f>
        <v>301</v>
      </c>
      <c r="AY53" s="188">
        <v>272</v>
      </c>
      <c r="AZ53" s="103"/>
      <c r="BA53" s="102"/>
      <c r="BB53" s="92">
        <f t="shared" ref="BB53:BB58" si="82">AX53+AY53-AZ53+BA53</f>
        <v>573</v>
      </c>
      <c r="BC53" s="93">
        <f>AW53</f>
        <v>27738</v>
      </c>
      <c r="BD53" s="188">
        <v>-2641</v>
      </c>
      <c r="BE53" s="90"/>
      <c r="BF53" s="90"/>
      <c r="BG53" s="91">
        <f>BC53+BD53-BE53+SUM(BF53:BF53)</f>
        <v>25097</v>
      </c>
      <c r="BH53" s="94">
        <f>BB53</f>
        <v>573</v>
      </c>
      <c r="BI53" s="188">
        <v>301</v>
      </c>
      <c r="BJ53" s="103"/>
      <c r="BK53" s="102"/>
      <c r="BL53" s="92">
        <f t="shared" ref="BL53:BL58" si="83">BH53+BI53-BJ53+BK53</f>
        <v>874</v>
      </c>
      <c r="BM53" s="89"/>
      <c r="BN53" s="90"/>
      <c r="BO53" s="94">
        <f>BG53-BM53</f>
        <v>25097</v>
      </c>
      <c r="BP53" s="95">
        <f>BL53-BN53</f>
        <v>874</v>
      </c>
      <c r="BQ53" s="96">
        <v>276</v>
      </c>
      <c r="BR53" s="188">
        <f t="shared" si="71"/>
        <v>301.16400000000004</v>
      </c>
      <c r="BS53" s="266">
        <f t="shared" si="72"/>
        <v>1451.164</v>
      </c>
      <c r="BT53" s="299">
        <f>SUM(BO53:BR53)</f>
        <v>26548.164000000001</v>
      </c>
      <c r="BU53" s="189">
        <v>25971.250000000004</v>
      </c>
      <c r="BV53" s="85">
        <f>BU53-SUM(BG53,BL53)</f>
        <v>0.25000000000363798</v>
      </c>
      <c r="CB53" s="357"/>
    </row>
    <row r="54" spans="1:80" s="88" customFormat="1" ht="14.4" thickBot="1" x14ac:dyDescent="0.3">
      <c r="A54" s="1">
        <v>22</v>
      </c>
      <c r="B54" s="1"/>
      <c r="C54" s="272" t="s">
        <v>32</v>
      </c>
      <c r="D54" s="257">
        <v>1567</v>
      </c>
      <c r="E54" s="183"/>
      <c r="F54" s="186"/>
      <c r="G54" s="186"/>
      <c r="H54" s="186"/>
      <c r="I54" s="91">
        <f t="shared" ref="I54" si="84">E54+F54-G54+H54</f>
        <v>0</v>
      </c>
      <c r="J54" s="227"/>
      <c r="K54" s="186"/>
      <c r="L54" s="186"/>
      <c r="M54" s="186"/>
      <c r="N54" s="92">
        <f t="shared" ref="N54" si="85">J54+K54-L54+M54</f>
        <v>0</v>
      </c>
      <c r="O54" s="93">
        <f t="shared" si="50"/>
        <v>0</v>
      </c>
      <c r="P54" s="90"/>
      <c r="Q54" s="90"/>
      <c r="R54" s="188"/>
      <c r="S54" s="91">
        <f t="shared" si="51"/>
        <v>0</v>
      </c>
      <c r="T54" s="94">
        <f t="shared" si="52"/>
        <v>0</v>
      </c>
      <c r="U54" s="188"/>
      <c r="V54" s="90"/>
      <c r="W54" s="90"/>
      <c r="X54" s="92">
        <f>T54+U54-V54+W54</f>
        <v>0</v>
      </c>
      <c r="Y54" s="93">
        <f t="shared" si="54"/>
        <v>0</v>
      </c>
      <c r="Z54" s="188"/>
      <c r="AA54" s="188"/>
      <c r="AB54" s="90"/>
      <c r="AC54" s="91">
        <f t="shared" si="55"/>
        <v>0</v>
      </c>
      <c r="AD54" s="94">
        <f t="shared" si="56"/>
        <v>0</v>
      </c>
      <c r="AE54" s="188"/>
      <c r="AF54" s="90"/>
      <c r="AG54" s="90"/>
      <c r="AH54" s="92">
        <f t="shared" si="57"/>
        <v>0</v>
      </c>
      <c r="AI54" s="93">
        <f t="shared" si="58"/>
        <v>0</v>
      </c>
      <c r="AJ54" s="188"/>
      <c r="AK54" s="188"/>
      <c r="AL54" s="90"/>
      <c r="AM54" s="91">
        <f t="shared" si="59"/>
        <v>0</v>
      </c>
      <c r="AN54" s="94">
        <f t="shared" si="60"/>
        <v>0</v>
      </c>
      <c r="AO54" s="188"/>
      <c r="AP54" s="188"/>
      <c r="AQ54" s="90"/>
      <c r="AR54" s="92">
        <f t="shared" si="81"/>
        <v>0</v>
      </c>
      <c r="AS54" s="93">
        <f t="shared" si="62"/>
        <v>0</v>
      </c>
      <c r="AT54" s="188"/>
      <c r="AU54" s="90"/>
      <c r="AV54" s="90"/>
      <c r="AW54" s="91">
        <f t="shared" si="63"/>
        <v>0</v>
      </c>
      <c r="AX54" s="94">
        <f t="shared" si="64"/>
        <v>0</v>
      </c>
      <c r="AY54" s="188"/>
      <c r="AZ54" s="90"/>
      <c r="BA54" s="90"/>
      <c r="BB54" s="92">
        <f t="shared" si="82"/>
        <v>0</v>
      </c>
      <c r="BC54" s="93">
        <f t="shared" si="65"/>
        <v>0</v>
      </c>
      <c r="BD54" s="188"/>
      <c r="BE54" s="188"/>
      <c r="BF54" s="188"/>
      <c r="BG54" s="91">
        <f t="shared" si="66"/>
        <v>0</v>
      </c>
      <c r="BH54" s="94">
        <f t="shared" si="67"/>
        <v>0</v>
      </c>
      <c r="BI54" s="188"/>
      <c r="BJ54" s="90"/>
      <c r="BK54" s="90"/>
      <c r="BL54" s="92">
        <f t="shared" si="83"/>
        <v>0</v>
      </c>
      <c r="BM54" s="89"/>
      <c r="BN54" s="90"/>
      <c r="BO54" s="94">
        <f t="shared" si="75"/>
        <v>0</v>
      </c>
      <c r="BP54" s="95">
        <f t="shared" si="76"/>
        <v>0</v>
      </c>
      <c r="BQ54" s="96"/>
      <c r="BR54" s="188">
        <f t="shared" si="71"/>
        <v>0</v>
      </c>
      <c r="BS54" s="266">
        <f t="shared" si="72"/>
        <v>0</v>
      </c>
      <c r="BT54" s="299">
        <f>SUM(BO54:BR54)</f>
        <v>0</v>
      </c>
      <c r="BU54" s="189"/>
      <c r="BV54" s="85">
        <f t="shared" si="73"/>
        <v>0</v>
      </c>
      <c r="CB54" s="357"/>
    </row>
    <row r="55" spans="1:80" s="88" customFormat="1" ht="14.4" thickBot="1" x14ac:dyDescent="0.3">
      <c r="A55" s="1">
        <v>23</v>
      </c>
      <c r="B55" s="1"/>
      <c r="C55" s="272" t="s">
        <v>10</v>
      </c>
      <c r="D55" s="257">
        <v>1572</v>
      </c>
      <c r="E55" s="184"/>
      <c r="F55" s="188"/>
      <c r="G55" s="188"/>
      <c r="H55" s="188"/>
      <c r="I55" s="91">
        <f t="shared" si="48"/>
        <v>0</v>
      </c>
      <c r="J55" s="186"/>
      <c r="K55" s="188"/>
      <c r="L55" s="90"/>
      <c r="M55" s="90"/>
      <c r="N55" s="92">
        <f t="shared" si="49"/>
        <v>0</v>
      </c>
      <c r="O55" s="93">
        <f>I55</f>
        <v>0</v>
      </c>
      <c r="P55" s="90"/>
      <c r="Q55" s="90"/>
      <c r="R55" s="188"/>
      <c r="S55" s="91">
        <f t="shared" si="51"/>
        <v>0</v>
      </c>
      <c r="T55" s="94">
        <f t="shared" si="52"/>
        <v>0</v>
      </c>
      <c r="U55" s="188"/>
      <c r="V55" s="90"/>
      <c r="W55" s="90"/>
      <c r="X55" s="92">
        <f t="shared" si="53"/>
        <v>0</v>
      </c>
      <c r="Y55" s="93">
        <f t="shared" si="54"/>
        <v>0</v>
      </c>
      <c r="Z55" s="188"/>
      <c r="AA55" s="188"/>
      <c r="AB55" s="90"/>
      <c r="AC55" s="91">
        <f t="shared" si="55"/>
        <v>0</v>
      </c>
      <c r="AD55" s="94">
        <f t="shared" si="56"/>
        <v>0</v>
      </c>
      <c r="AE55" s="188"/>
      <c r="AF55" s="90"/>
      <c r="AG55" s="90"/>
      <c r="AH55" s="92">
        <f t="shared" si="57"/>
        <v>0</v>
      </c>
      <c r="AI55" s="93">
        <f>AC55</f>
        <v>0</v>
      </c>
      <c r="AJ55" s="188"/>
      <c r="AK55" s="188"/>
      <c r="AL55" s="90"/>
      <c r="AM55" s="91">
        <f t="shared" si="59"/>
        <v>0</v>
      </c>
      <c r="AN55" s="94">
        <f t="shared" si="60"/>
        <v>0</v>
      </c>
      <c r="AO55" s="188"/>
      <c r="AP55" s="90"/>
      <c r="AQ55" s="90"/>
      <c r="AR55" s="92">
        <f t="shared" si="81"/>
        <v>0</v>
      </c>
      <c r="AS55" s="93">
        <f>AM55</f>
        <v>0</v>
      </c>
      <c r="AT55" s="188"/>
      <c r="AU55" s="90"/>
      <c r="AV55" s="90"/>
      <c r="AW55" s="91">
        <f t="shared" si="63"/>
        <v>0</v>
      </c>
      <c r="AX55" s="94">
        <f t="shared" si="64"/>
        <v>0</v>
      </c>
      <c r="AY55" s="188"/>
      <c r="AZ55" s="90"/>
      <c r="BA55" s="90"/>
      <c r="BB55" s="92">
        <f t="shared" si="82"/>
        <v>0</v>
      </c>
      <c r="BC55" s="93">
        <f>AW55</f>
        <v>0</v>
      </c>
      <c r="BD55" s="188"/>
      <c r="BE55" s="188"/>
      <c r="BF55" s="188"/>
      <c r="BG55" s="91">
        <f t="shared" si="66"/>
        <v>0</v>
      </c>
      <c r="BH55" s="94">
        <f t="shared" si="67"/>
        <v>0</v>
      </c>
      <c r="BI55" s="188"/>
      <c r="BJ55" s="90"/>
      <c r="BK55" s="90"/>
      <c r="BL55" s="92">
        <f t="shared" si="83"/>
        <v>0</v>
      </c>
      <c r="BM55" s="89"/>
      <c r="BN55" s="188"/>
      <c r="BO55" s="94">
        <f t="shared" si="75"/>
        <v>0</v>
      </c>
      <c r="BP55" s="95">
        <f t="shared" si="76"/>
        <v>0</v>
      </c>
      <c r="BQ55" s="96"/>
      <c r="BR55" s="188">
        <f t="shared" si="71"/>
        <v>0</v>
      </c>
      <c r="BS55" s="266">
        <f t="shared" si="72"/>
        <v>0</v>
      </c>
      <c r="BT55" s="299">
        <f>SUM(BO55:BR55)</f>
        <v>0</v>
      </c>
      <c r="BU55" s="189"/>
      <c r="BV55" s="85">
        <f t="shared" si="73"/>
        <v>0</v>
      </c>
      <c r="CB55" s="357"/>
    </row>
    <row r="56" spans="1:80" s="88" customFormat="1" ht="14.4" thickBot="1" x14ac:dyDescent="0.3">
      <c r="A56" s="1">
        <v>24</v>
      </c>
      <c r="B56" s="1"/>
      <c r="C56" s="272" t="s">
        <v>6</v>
      </c>
      <c r="D56" s="257">
        <v>1574</v>
      </c>
      <c r="E56" s="184"/>
      <c r="F56" s="188"/>
      <c r="G56" s="188"/>
      <c r="H56" s="188"/>
      <c r="I56" s="91">
        <f t="shared" si="48"/>
        <v>0</v>
      </c>
      <c r="J56" s="186"/>
      <c r="K56" s="188"/>
      <c r="L56" s="90"/>
      <c r="M56" s="90"/>
      <c r="N56" s="92">
        <f t="shared" si="49"/>
        <v>0</v>
      </c>
      <c r="O56" s="93">
        <f>I56</f>
        <v>0</v>
      </c>
      <c r="P56" s="90"/>
      <c r="Q56" s="90"/>
      <c r="R56" s="188"/>
      <c r="S56" s="91">
        <f t="shared" si="51"/>
        <v>0</v>
      </c>
      <c r="T56" s="94">
        <f t="shared" si="52"/>
        <v>0</v>
      </c>
      <c r="U56" s="188"/>
      <c r="V56" s="90"/>
      <c r="W56" s="90"/>
      <c r="X56" s="92">
        <f t="shared" si="53"/>
        <v>0</v>
      </c>
      <c r="Y56" s="93">
        <f t="shared" si="54"/>
        <v>0</v>
      </c>
      <c r="Z56" s="188"/>
      <c r="AA56" s="188"/>
      <c r="AB56" s="90"/>
      <c r="AC56" s="91">
        <f t="shared" si="55"/>
        <v>0</v>
      </c>
      <c r="AD56" s="94">
        <f t="shared" si="56"/>
        <v>0</v>
      </c>
      <c r="AE56" s="188"/>
      <c r="AF56" s="90"/>
      <c r="AG56" s="90"/>
      <c r="AH56" s="92">
        <f t="shared" si="57"/>
        <v>0</v>
      </c>
      <c r="AI56" s="93">
        <f>AC56</f>
        <v>0</v>
      </c>
      <c r="AJ56" s="188"/>
      <c r="AK56" s="188"/>
      <c r="AL56" s="90"/>
      <c r="AM56" s="91">
        <f t="shared" si="59"/>
        <v>0</v>
      </c>
      <c r="AN56" s="94">
        <f t="shared" si="60"/>
        <v>0</v>
      </c>
      <c r="AO56" s="188"/>
      <c r="AP56" s="90"/>
      <c r="AQ56" s="90"/>
      <c r="AR56" s="92">
        <f t="shared" si="81"/>
        <v>0</v>
      </c>
      <c r="AS56" s="93">
        <f>AM56</f>
        <v>0</v>
      </c>
      <c r="AT56" s="188"/>
      <c r="AU56" s="90"/>
      <c r="AV56" s="90"/>
      <c r="AW56" s="91">
        <f t="shared" si="63"/>
        <v>0</v>
      </c>
      <c r="AX56" s="94">
        <f t="shared" si="64"/>
        <v>0</v>
      </c>
      <c r="AY56" s="188"/>
      <c r="AZ56" s="90"/>
      <c r="BA56" s="90"/>
      <c r="BB56" s="92">
        <f t="shared" si="82"/>
        <v>0</v>
      </c>
      <c r="BC56" s="93">
        <f>AW56</f>
        <v>0</v>
      </c>
      <c r="BD56" s="188"/>
      <c r="BE56" s="188"/>
      <c r="BF56" s="188"/>
      <c r="BG56" s="91">
        <f t="shared" si="66"/>
        <v>0</v>
      </c>
      <c r="BH56" s="94">
        <f t="shared" si="67"/>
        <v>0</v>
      </c>
      <c r="BI56" s="188"/>
      <c r="BJ56" s="90"/>
      <c r="BK56" s="90"/>
      <c r="BL56" s="92">
        <f t="shared" si="83"/>
        <v>0</v>
      </c>
      <c r="BM56" s="89"/>
      <c r="BN56" s="90"/>
      <c r="BO56" s="94">
        <f t="shared" si="75"/>
        <v>0</v>
      </c>
      <c r="BP56" s="95">
        <f t="shared" si="76"/>
        <v>0</v>
      </c>
      <c r="BQ56" s="96"/>
      <c r="BR56" s="188">
        <f t="shared" si="71"/>
        <v>0</v>
      </c>
      <c r="BS56" s="266">
        <f t="shared" si="72"/>
        <v>0</v>
      </c>
      <c r="BT56" s="299">
        <f>SUM(BO56:BR56)</f>
        <v>0</v>
      </c>
      <c r="BU56" s="189"/>
      <c r="BV56" s="85">
        <f t="shared" si="73"/>
        <v>0</v>
      </c>
      <c r="CB56" s="357"/>
    </row>
    <row r="57" spans="1:80" s="88" customFormat="1" ht="14.4" thickBot="1" x14ac:dyDescent="0.3">
      <c r="A57" s="1">
        <v>25</v>
      </c>
      <c r="B57" s="1"/>
      <c r="C57" s="256" t="s">
        <v>29</v>
      </c>
      <c r="D57" s="257">
        <v>1582</v>
      </c>
      <c r="E57" s="210">
        <v>77920</v>
      </c>
      <c r="F57" s="211">
        <v>6740</v>
      </c>
      <c r="G57" s="188"/>
      <c r="H57" s="188"/>
      <c r="I57" s="91">
        <f t="shared" si="48"/>
        <v>84660</v>
      </c>
      <c r="J57" s="228">
        <v>8627</v>
      </c>
      <c r="K57" s="188">
        <v>649</v>
      </c>
      <c r="L57" s="90"/>
      <c r="M57" s="90"/>
      <c r="N57" s="92">
        <f t="shared" si="49"/>
        <v>9276</v>
      </c>
      <c r="O57" s="93">
        <f>I57</f>
        <v>84660</v>
      </c>
      <c r="P57" s="90">
        <v>-13480</v>
      </c>
      <c r="Q57" s="90"/>
      <c r="R57" s="188"/>
      <c r="S57" s="91">
        <f t="shared" si="51"/>
        <v>71180</v>
      </c>
      <c r="T57" s="94">
        <f t="shared" si="52"/>
        <v>9276</v>
      </c>
      <c r="U57" s="248">
        <v>1290</v>
      </c>
      <c r="V57" s="90"/>
      <c r="W57" s="90"/>
      <c r="X57" s="92">
        <f t="shared" si="53"/>
        <v>10566</v>
      </c>
      <c r="Y57" s="93">
        <f t="shared" si="54"/>
        <v>71180</v>
      </c>
      <c r="Z57" s="188"/>
      <c r="AA57" s="188"/>
      <c r="AB57" s="90"/>
      <c r="AC57" s="91">
        <f t="shared" si="55"/>
        <v>71180</v>
      </c>
      <c r="AD57" s="94">
        <f t="shared" si="56"/>
        <v>10566</v>
      </c>
      <c r="AE57" s="188">
        <v>1049.22</v>
      </c>
      <c r="AF57" s="90"/>
      <c r="AG57" s="90"/>
      <c r="AH57" s="92">
        <f t="shared" si="57"/>
        <v>11615.22</v>
      </c>
      <c r="AI57" s="93">
        <f>AC57</f>
        <v>71180</v>
      </c>
      <c r="AJ57" s="90"/>
      <c r="AK57" s="90">
        <v>71180.350000000006</v>
      </c>
      <c r="AL57" s="90"/>
      <c r="AM57" s="91">
        <f t="shared" si="59"/>
        <v>-0.35000000000582077</v>
      </c>
      <c r="AN57" s="94">
        <f t="shared" si="60"/>
        <v>11615.22</v>
      </c>
      <c r="AO57" s="188">
        <v>346.87</v>
      </c>
      <c r="AP57" s="90">
        <v>11962.18</v>
      </c>
      <c r="AQ57" s="90"/>
      <c r="AR57" s="92">
        <f t="shared" si="81"/>
        <v>-9.0000000000145519E-2</v>
      </c>
      <c r="AS57" s="93">
        <f>AM57</f>
        <v>-0.35000000000582077</v>
      </c>
      <c r="AT57" s="188"/>
      <c r="AU57" s="90"/>
      <c r="AV57" s="90"/>
      <c r="AW57" s="91">
        <f t="shared" si="63"/>
        <v>-0.35000000000582077</v>
      </c>
      <c r="AX57" s="94">
        <f t="shared" si="64"/>
        <v>-9.0000000000145519E-2</v>
      </c>
      <c r="AY57" s="188"/>
      <c r="AZ57" s="90"/>
      <c r="BA57" s="90"/>
      <c r="BB57" s="92">
        <f t="shared" si="82"/>
        <v>-9.0000000000145519E-2</v>
      </c>
      <c r="BC57" s="93">
        <f>AW57</f>
        <v>-0.35000000000582077</v>
      </c>
      <c r="BD57" s="188"/>
      <c r="BE57" s="90"/>
      <c r="BF57" s="90"/>
      <c r="BG57" s="91">
        <f t="shared" si="66"/>
        <v>-0.35000000000582077</v>
      </c>
      <c r="BH57" s="94">
        <f t="shared" si="67"/>
        <v>-9.0000000000145519E-2</v>
      </c>
      <c r="BI57" s="188"/>
      <c r="BJ57" s="90"/>
      <c r="BK57" s="90"/>
      <c r="BL57" s="92">
        <f t="shared" si="83"/>
        <v>-9.0000000000145519E-2</v>
      </c>
      <c r="BM57" s="89"/>
      <c r="BN57" s="90"/>
      <c r="BO57" s="94">
        <f t="shared" si="75"/>
        <v>-0.35000000000582077</v>
      </c>
      <c r="BP57" s="95">
        <f t="shared" si="76"/>
        <v>-9.0000000000145519E-2</v>
      </c>
      <c r="BQ57" s="96"/>
      <c r="BR57" s="188">
        <f t="shared" si="71"/>
        <v>-4.2000000000698492E-3</v>
      </c>
      <c r="BS57" s="266">
        <f t="shared" si="72"/>
        <v>-9.4200000000215361E-2</v>
      </c>
      <c r="BT57" s="299">
        <f>SUM(BO57:BR57)</f>
        <v>-0.44420000000603616</v>
      </c>
      <c r="BU57" s="189"/>
      <c r="BV57" s="85">
        <f t="shared" si="73"/>
        <v>0.44000000000596629</v>
      </c>
      <c r="CB57" s="357"/>
    </row>
    <row r="58" spans="1:80" s="88" customFormat="1" ht="14.4" thickBot="1" x14ac:dyDescent="0.3">
      <c r="A58" s="1">
        <v>26</v>
      </c>
      <c r="B58" s="1"/>
      <c r="C58" s="272" t="s">
        <v>7</v>
      </c>
      <c r="D58" s="257">
        <v>2425</v>
      </c>
      <c r="E58" s="184">
        <v>-31681</v>
      </c>
      <c r="F58" s="188">
        <v>-4841</v>
      </c>
      <c r="G58" s="188"/>
      <c r="H58" s="188"/>
      <c r="I58" s="91">
        <f t="shared" si="48"/>
        <v>-36522</v>
      </c>
      <c r="J58" s="186">
        <v>-47</v>
      </c>
      <c r="K58" s="188">
        <v>-262</v>
      </c>
      <c r="L58" s="90"/>
      <c r="M58" s="90"/>
      <c r="N58" s="92">
        <f t="shared" si="49"/>
        <v>-309</v>
      </c>
      <c r="O58" s="93">
        <f>I58</f>
        <v>-36522</v>
      </c>
      <c r="P58" s="90">
        <v>-59531</v>
      </c>
      <c r="Q58" s="90"/>
      <c r="R58" s="188"/>
      <c r="S58" s="91">
        <f t="shared" si="51"/>
        <v>-96053</v>
      </c>
      <c r="T58" s="94">
        <f t="shared" si="52"/>
        <v>-309</v>
      </c>
      <c r="U58" s="188">
        <v>-537</v>
      </c>
      <c r="V58" s="90"/>
      <c r="W58" s="90"/>
      <c r="X58" s="92">
        <f t="shared" si="53"/>
        <v>-846</v>
      </c>
      <c r="Y58" s="93">
        <f t="shared" si="54"/>
        <v>-96053</v>
      </c>
      <c r="Z58" s="188">
        <v>-6520</v>
      </c>
      <c r="AA58" s="188"/>
      <c r="AB58" s="90"/>
      <c r="AC58" s="91">
        <f t="shared" si="55"/>
        <v>-102573</v>
      </c>
      <c r="AD58" s="94">
        <f t="shared" si="56"/>
        <v>-846</v>
      </c>
      <c r="AE58" s="188">
        <v>-540</v>
      </c>
      <c r="AF58" s="90"/>
      <c r="AG58" s="90"/>
      <c r="AH58" s="92">
        <f t="shared" si="57"/>
        <v>-1386</v>
      </c>
      <c r="AI58" s="93">
        <f>AC58</f>
        <v>-102573</v>
      </c>
      <c r="AJ58" s="90"/>
      <c r="AK58" s="90">
        <v>-102573</v>
      </c>
      <c r="AL58" s="90"/>
      <c r="AM58" s="91">
        <f t="shared" si="59"/>
        <v>0</v>
      </c>
      <c r="AN58" s="94">
        <f t="shared" si="60"/>
        <v>-1386</v>
      </c>
      <c r="AO58" s="188"/>
      <c r="AP58" s="90">
        <v>-1386</v>
      </c>
      <c r="AQ58" s="90"/>
      <c r="AR58" s="92">
        <f t="shared" si="81"/>
        <v>0</v>
      </c>
      <c r="AS58" s="93">
        <f>AM58</f>
        <v>0</v>
      </c>
      <c r="AT58" s="188"/>
      <c r="AU58" s="90"/>
      <c r="AV58" s="90"/>
      <c r="AW58" s="91">
        <f t="shared" si="63"/>
        <v>0</v>
      </c>
      <c r="AX58" s="94">
        <f t="shared" si="64"/>
        <v>0</v>
      </c>
      <c r="AY58" s="188"/>
      <c r="AZ58" s="90"/>
      <c r="BA58" s="90"/>
      <c r="BB58" s="92">
        <f t="shared" si="82"/>
        <v>0</v>
      </c>
      <c r="BC58" s="93">
        <f>AW58</f>
        <v>0</v>
      </c>
      <c r="BD58" s="188"/>
      <c r="BE58" s="90"/>
      <c r="BF58" s="90"/>
      <c r="BG58" s="91">
        <f t="shared" si="66"/>
        <v>0</v>
      </c>
      <c r="BH58" s="94">
        <f t="shared" si="67"/>
        <v>0</v>
      </c>
      <c r="BI58" s="188"/>
      <c r="BJ58" s="90"/>
      <c r="BK58" s="90"/>
      <c r="BL58" s="92">
        <f t="shared" si="83"/>
        <v>0</v>
      </c>
      <c r="BM58" s="89"/>
      <c r="BN58" s="90"/>
      <c r="BO58" s="94">
        <f t="shared" si="75"/>
        <v>0</v>
      </c>
      <c r="BP58" s="95">
        <f t="shared" si="76"/>
        <v>0</v>
      </c>
      <c r="BQ58" s="96"/>
      <c r="BR58" s="188">
        <f t="shared" si="71"/>
        <v>0</v>
      </c>
      <c r="BS58" s="266">
        <f t="shared" si="72"/>
        <v>0</v>
      </c>
      <c r="BT58" s="299">
        <f>IF(CB58=TRUE, SUM(BO58:BR58), 0)</f>
        <v>0</v>
      </c>
      <c r="BU58" s="189"/>
      <c r="BV58" s="85">
        <f t="shared" si="73"/>
        <v>0</v>
      </c>
      <c r="CA58" s="69">
        <v>2425</v>
      </c>
      <c r="CB58" s="357" t="b">
        <v>1</v>
      </c>
    </row>
    <row r="59" spans="1:80" s="88" customFormat="1" ht="13.8" x14ac:dyDescent="0.25">
      <c r="A59" s="1"/>
      <c r="B59" s="1"/>
      <c r="C59" s="272"/>
      <c r="D59" s="15"/>
      <c r="E59" s="111"/>
      <c r="F59" s="91"/>
      <c r="G59" s="91"/>
      <c r="H59" s="91"/>
      <c r="I59" s="91"/>
      <c r="J59" s="91"/>
      <c r="K59" s="91"/>
      <c r="L59" s="91"/>
      <c r="M59" s="91"/>
      <c r="N59" s="92"/>
      <c r="O59" s="98"/>
      <c r="P59" s="91"/>
      <c r="Q59" s="91"/>
      <c r="R59" s="91"/>
      <c r="S59" s="91"/>
      <c r="T59" s="91"/>
      <c r="U59" s="91"/>
      <c r="V59" s="91"/>
      <c r="W59" s="91"/>
      <c r="X59" s="92"/>
      <c r="Y59" s="98"/>
      <c r="Z59" s="91"/>
      <c r="AA59" s="91"/>
      <c r="AB59" s="91"/>
      <c r="AC59" s="91"/>
      <c r="AD59" s="91"/>
      <c r="AE59" s="91"/>
      <c r="AF59" s="91"/>
      <c r="AG59" s="91"/>
      <c r="AH59" s="92"/>
      <c r="AI59" s="98"/>
      <c r="AJ59" s="91"/>
      <c r="AK59" s="91"/>
      <c r="AL59" s="91"/>
      <c r="AM59" s="91"/>
      <c r="AN59" s="91"/>
      <c r="AO59" s="91"/>
      <c r="AP59" s="91"/>
      <c r="AQ59" s="91"/>
      <c r="AR59" s="92"/>
      <c r="AS59" s="98"/>
      <c r="AT59" s="91"/>
      <c r="AU59" s="91"/>
      <c r="AV59" s="91"/>
      <c r="AW59" s="91"/>
      <c r="AX59" s="91"/>
      <c r="AY59" s="91"/>
      <c r="AZ59" s="91"/>
      <c r="BA59" s="91"/>
      <c r="BB59" s="92"/>
      <c r="BC59" s="98"/>
      <c r="BD59" s="91"/>
      <c r="BE59" s="91"/>
      <c r="BF59" s="91"/>
      <c r="BG59" s="91"/>
      <c r="BH59" s="91"/>
      <c r="BI59" s="91"/>
      <c r="BJ59" s="91"/>
      <c r="BK59" s="91"/>
      <c r="BL59" s="92"/>
      <c r="BM59" s="98"/>
      <c r="BN59" s="91"/>
      <c r="BO59" s="91"/>
      <c r="BP59" s="92"/>
      <c r="BQ59" s="84"/>
      <c r="BR59" s="84"/>
      <c r="BS59" s="292"/>
      <c r="BT59" s="299"/>
      <c r="BU59" s="86"/>
      <c r="BV59" s="85"/>
      <c r="CB59" s="357"/>
    </row>
    <row r="60" spans="1:80" s="330" customFormat="1" ht="13.8" x14ac:dyDescent="0.25">
      <c r="A60" s="4"/>
      <c r="B60" s="4"/>
      <c r="C60" s="282" t="s">
        <v>15</v>
      </c>
      <c r="D60" s="15"/>
      <c r="E60" s="111"/>
      <c r="F60" s="91">
        <f t="shared" ref="F60:AK60" si="86">SUM(F47:F58)</f>
        <v>149132</v>
      </c>
      <c r="G60" s="91">
        <f t="shared" si="86"/>
        <v>0</v>
      </c>
      <c r="H60" s="91">
        <f t="shared" si="86"/>
        <v>0</v>
      </c>
      <c r="I60" s="91">
        <f t="shared" si="86"/>
        <v>248837</v>
      </c>
      <c r="J60" s="91">
        <f t="shared" si="86"/>
        <v>17550</v>
      </c>
      <c r="K60" s="91">
        <f t="shared" si="86"/>
        <v>1311</v>
      </c>
      <c r="L60" s="91">
        <f t="shared" si="86"/>
        <v>0</v>
      </c>
      <c r="M60" s="91">
        <f t="shared" si="86"/>
        <v>0</v>
      </c>
      <c r="N60" s="92">
        <f t="shared" si="86"/>
        <v>18861</v>
      </c>
      <c r="O60" s="98">
        <f t="shared" si="86"/>
        <v>248837</v>
      </c>
      <c r="P60" s="91">
        <f t="shared" si="86"/>
        <v>129398</v>
      </c>
      <c r="Q60" s="91">
        <f t="shared" si="86"/>
        <v>0</v>
      </c>
      <c r="R60" s="91">
        <f t="shared" si="86"/>
        <v>0</v>
      </c>
      <c r="S60" s="91">
        <f t="shared" si="86"/>
        <v>378235</v>
      </c>
      <c r="T60" s="91">
        <f t="shared" si="86"/>
        <v>18861</v>
      </c>
      <c r="U60" s="91">
        <f t="shared" si="86"/>
        <v>5289</v>
      </c>
      <c r="V60" s="91">
        <f t="shared" si="86"/>
        <v>0</v>
      </c>
      <c r="W60" s="91">
        <f t="shared" si="86"/>
        <v>0</v>
      </c>
      <c r="X60" s="92">
        <f t="shared" si="86"/>
        <v>24150</v>
      </c>
      <c r="Y60" s="98">
        <f t="shared" si="86"/>
        <v>378235</v>
      </c>
      <c r="Z60" s="91">
        <f t="shared" si="86"/>
        <v>54222</v>
      </c>
      <c r="AA60" s="91">
        <f t="shared" si="86"/>
        <v>0</v>
      </c>
      <c r="AB60" s="91">
        <f t="shared" si="86"/>
        <v>0</v>
      </c>
      <c r="AC60" s="91">
        <f t="shared" si="86"/>
        <v>432457</v>
      </c>
      <c r="AD60" s="91">
        <f t="shared" si="86"/>
        <v>24150</v>
      </c>
      <c r="AE60" s="91">
        <f t="shared" si="86"/>
        <v>6778.22</v>
      </c>
      <c r="AF60" s="91">
        <f t="shared" si="86"/>
        <v>0</v>
      </c>
      <c r="AG60" s="91">
        <f t="shared" si="86"/>
        <v>0</v>
      </c>
      <c r="AH60" s="92">
        <f t="shared" si="86"/>
        <v>30928.22</v>
      </c>
      <c r="AI60" s="98">
        <f t="shared" si="86"/>
        <v>432457</v>
      </c>
      <c r="AJ60" s="91">
        <f t="shared" si="86"/>
        <v>-160087</v>
      </c>
      <c r="AK60" s="91">
        <f t="shared" si="86"/>
        <v>82249.350000000006</v>
      </c>
      <c r="AL60" s="91">
        <f t="shared" ref="AL60:BU60" si="87">SUM(AL47:AL58)</f>
        <v>0</v>
      </c>
      <c r="AM60" s="91">
        <f t="shared" si="87"/>
        <v>190120.65</v>
      </c>
      <c r="AN60" s="91">
        <f t="shared" si="87"/>
        <v>30928.22</v>
      </c>
      <c r="AO60" s="91">
        <f t="shared" si="87"/>
        <v>5696.87</v>
      </c>
      <c r="AP60" s="91">
        <f t="shared" si="87"/>
        <v>23975.18</v>
      </c>
      <c r="AQ60" s="91">
        <f t="shared" si="87"/>
        <v>0</v>
      </c>
      <c r="AR60" s="92">
        <f t="shared" si="87"/>
        <v>12649.91</v>
      </c>
      <c r="AS60" s="98">
        <f t="shared" si="87"/>
        <v>190120.65</v>
      </c>
      <c r="AT60" s="91">
        <f t="shared" si="87"/>
        <v>-114405</v>
      </c>
      <c r="AU60" s="91">
        <f t="shared" si="87"/>
        <v>0</v>
      </c>
      <c r="AV60" s="91">
        <f t="shared" si="87"/>
        <v>0</v>
      </c>
      <c r="AW60" s="91">
        <f t="shared" si="87"/>
        <v>75715.649999999994</v>
      </c>
      <c r="AX60" s="91">
        <f t="shared" si="87"/>
        <v>12649.91</v>
      </c>
      <c r="AY60" s="91">
        <f t="shared" si="87"/>
        <v>1382</v>
      </c>
      <c r="AZ60" s="91">
        <f t="shared" si="87"/>
        <v>0</v>
      </c>
      <c r="BA60" s="91">
        <f t="shared" si="87"/>
        <v>0</v>
      </c>
      <c r="BB60" s="92">
        <f t="shared" si="87"/>
        <v>14031.91</v>
      </c>
      <c r="BC60" s="98">
        <f t="shared" si="87"/>
        <v>75715.649999999994</v>
      </c>
      <c r="BD60" s="91">
        <f t="shared" si="87"/>
        <v>10957.07</v>
      </c>
      <c r="BE60" s="91">
        <f t="shared" si="87"/>
        <v>0</v>
      </c>
      <c r="BF60" s="91">
        <f t="shared" si="87"/>
        <v>0</v>
      </c>
      <c r="BG60" s="91">
        <f t="shared" si="87"/>
        <v>86672.72</v>
      </c>
      <c r="BH60" s="91">
        <f t="shared" si="87"/>
        <v>14031.91</v>
      </c>
      <c r="BI60" s="91">
        <f t="shared" si="87"/>
        <v>931</v>
      </c>
      <c r="BJ60" s="91">
        <f t="shared" si="87"/>
        <v>0</v>
      </c>
      <c r="BK60" s="91">
        <f t="shared" si="87"/>
        <v>0</v>
      </c>
      <c r="BL60" s="92">
        <f t="shared" si="87"/>
        <v>14962.91</v>
      </c>
      <c r="BM60" s="98">
        <f t="shared" si="87"/>
        <v>0</v>
      </c>
      <c r="BN60" s="91">
        <f t="shared" si="87"/>
        <v>0</v>
      </c>
      <c r="BO60" s="91">
        <f t="shared" si="87"/>
        <v>86672.72</v>
      </c>
      <c r="BP60" s="92">
        <f t="shared" si="87"/>
        <v>14962.91</v>
      </c>
      <c r="BQ60" s="91">
        <f t="shared" si="87"/>
        <v>276</v>
      </c>
      <c r="BR60" s="91">
        <f t="shared" si="87"/>
        <v>1040.0726400000001</v>
      </c>
      <c r="BS60" s="91">
        <f t="shared" si="87"/>
        <v>16278.98264</v>
      </c>
      <c r="BT60" s="68">
        <f t="shared" si="87"/>
        <v>102951.70263999999</v>
      </c>
      <c r="BU60" s="99">
        <f t="shared" si="87"/>
        <v>101635.04999999996</v>
      </c>
      <c r="BV60" s="329">
        <f t="shared" ref="BV60" si="88">BU60-SUM(BG60,BL60)</f>
        <v>-0.58000000004540198</v>
      </c>
      <c r="CB60" s="359"/>
    </row>
    <row r="61" spans="1:80" s="88" customFormat="1" ht="14.4" thickBot="1" x14ac:dyDescent="0.3">
      <c r="A61" s="1"/>
      <c r="B61" s="1"/>
      <c r="C61" s="272"/>
      <c r="D61" s="15"/>
      <c r="E61" s="111"/>
      <c r="F61" s="91"/>
      <c r="G61" s="91"/>
      <c r="H61" s="91"/>
      <c r="I61" s="91"/>
      <c r="J61" s="91"/>
      <c r="K61" s="91"/>
      <c r="L61" s="91"/>
      <c r="M61" s="91"/>
      <c r="N61" s="92"/>
      <c r="O61" s="98"/>
      <c r="P61" s="91"/>
      <c r="Q61" s="91"/>
      <c r="R61" s="91"/>
      <c r="S61" s="91"/>
      <c r="T61" s="91"/>
      <c r="U61" s="91"/>
      <c r="V61" s="91"/>
      <c r="W61" s="91"/>
      <c r="X61" s="92"/>
      <c r="Y61" s="98"/>
      <c r="Z61" s="91"/>
      <c r="AA61" s="91"/>
      <c r="AB61" s="91"/>
      <c r="AC61" s="91"/>
      <c r="AD61" s="91"/>
      <c r="AE61" s="91"/>
      <c r="AF61" s="91"/>
      <c r="AG61" s="91"/>
      <c r="AH61" s="92"/>
      <c r="AI61" s="98"/>
      <c r="AJ61" s="91"/>
      <c r="AK61" s="91"/>
      <c r="AL61" s="91"/>
      <c r="AM61" s="91"/>
      <c r="AN61" s="91"/>
      <c r="AO61" s="91"/>
      <c r="AP61" s="91"/>
      <c r="AQ61" s="91"/>
      <c r="AR61" s="92"/>
      <c r="AS61" s="98"/>
      <c r="AT61" s="91"/>
      <c r="AU61" s="91"/>
      <c r="AV61" s="91"/>
      <c r="AW61" s="91"/>
      <c r="AX61" s="91"/>
      <c r="AY61" s="91"/>
      <c r="AZ61" s="91"/>
      <c r="BA61" s="91"/>
      <c r="BB61" s="92"/>
      <c r="BC61" s="98"/>
      <c r="BD61" s="91"/>
      <c r="BE61" s="91"/>
      <c r="BF61" s="91"/>
      <c r="BG61" s="91"/>
      <c r="BH61" s="91"/>
      <c r="BI61" s="91"/>
      <c r="BJ61" s="91"/>
      <c r="BK61" s="91"/>
      <c r="BL61" s="92"/>
      <c r="BM61" s="98"/>
      <c r="BN61" s="91"/>
      <c r="BO61" s="91"/>
      <c r="BP61" s="92"/>
      <c r="BQ61" s="84"/>
      <c r="BR61" s="84"/>
      <c r="BS61" s="292"/>
      <c r="BT61" s="299"/>
      <c r="BU61" s="86"/>
      <c r="BV61" s="85"/>
      <c r="CB61" s="357"/>
    </row>
    <row r="62" spans="1:80" s="88" customFormat="1" ht="28.2" thickBot="1" x14ac:dyDescent="0.3">
      <c r="A62" s="1">
        <v>27</v>
      </c>
      <c r="B62" s="1"/>
      <c r="C62" s="283" t="s">
        <v>36</v>
      </c>
      <c r="D62" s="284">
        <v>1592</v>
      </c>
      <c r="E62" s="212"/>
      <c r="F62" s="90"/>
      <c r="G62" s="90"/>
      <c r="H62" s="90"/>
      <c r="I62" s="91">
        <f>E62+F62-G62+H62</f>
        <v>0</v>
      </c>
      <c r="J62" s="222"/>
      <c r="K62" s="223"/>
      <c r="L62" s="90"/>
      <c r="M62" s="90"/>
      <c r="N62" s="92">
        <f>J62+K62-L62+M62</f>
        <v>0</v>
      </c>
      <c r="O62" s="93">
        <f>I62</f>
        <v>0</v>
      </c>
      <c r="P62" s="90"/>
      <c r="Q62" s="90"/>
      <c r="R62" s="90"/>
      <c r="S62" s="91">
        <f>O62+P62-Q62+SUM(R62:R62)</f>
        <v>0</v>
      </c>
      <c r="T62" s="94">
        <f>N62</f>
        <v>0</v>
      </c>
      <c r="U62" s="245"/>
      <c r="V62" s="90"/>
      <c r="W62" s="90"/>
      <c r="X62" s="92">
        <f>T62+U62-V62+W62</f>
        <v>0</v>
      </c>
      <c r="Y62" s="93">
        <f>S62</f>
        <v>0</v>
      </c>
      <c r="Z62" s="188"/>
      <c r="AA62" s="188"/>
      <c r="AB62" s="188"/>
      <c r="AC62" s="91">
        <f>Y62+Z62-AA62+SUM(AB62:AB62)</f>
        <v>0</v>
      </c>
      <c r="AD62" s="94">
        <f>X62</f>
        <v>0</v>
      </c>
      <c r="AE62" s="188"/>
      <c r="AF62" s="188"/>
      <c r="AG62" s="90"/>
      <c r="AH62" s="92">
        <f>AD62+AE62-AF62+AG62</f>
        <v>0</v>
      </c>
      <c r="AI62" s="93">
        <f>AC62</f>
        <v>0</v>
      </c>
      <c r="AJ62" s="90"/>
      <c r="AK62" s="90"/>
      <c r="AL62" s="90"/>
      <c r="AM62" s="91">
        <f>AI62+AJ62-AK62+SUM(AL62:AL62)</f>
        <v>0</v>
      </c>
      <c r="AN62" s="94">
        <f>AH62</f>
        <v>0</v>
      </c>
      <c r="AO62" s="90"/>
      <c r="AP62" s="90"/>
      <c r="AQ62" s="90"/>
      <c r="AR62" s="92">
        <f>AN62+AO62-AP62+AQ62</f>
        <v>0</v>
      </c>
      <c r="AS62" s="93">
        <f>AM62</f>
        <v>0</v>
      </c>
      <c r="AT62" s="90"/>
      <c r="AU62" s="90"/>
      <c r="AV62" s="90"/>
      <c r="AW62" s="91">
        <f>AS62+AT62-AU62+SUM(AV62:AV62)</f>
        <v>0</v>
      </c>
      <c r="AX62" s="94">
        <f>AR62</f>
        <v>0</v>
      </c>
      <c r="AY62" s="90"/>
      <c r="AZ62" s="90"/>
      <c r="BA62" s="90"/>
      <c r="BB62" s="92">
        <f>AX62+AY62-AZ62+BA62</f>
        <v>0</v>
      </c>
      <c r="BC62" s="93">
        <f>AW62</f>
        <v>0</v>
      </c>
      <c r="BD62" s="188"/>
      <c r="BE62" s="90"/>
      <c r="BF62" s="90"/>
      <c r="BG62" s="91">
        <f>BC62+BD62-BE62+SUM(BF62:BF62)</f>
        <v>0</v>
      </c>
      <c r="BH62" s="94">
        <f>BB62</f>
        <v>0</v>
      </c>
      <c r="BI62" s="90"/>
      <c r="BJ62" s="90"/>
      <c r="BK62" s="90"/>
      <c r="BL62" s="92">
        <f>BH62+BI62-BJ62+BK62</f>
        <v>0</v>
      </c>
      <c r="BM62" s="89"/>
      <c r="BN62" s="90"/>
      <c r="BO62" s="94">
        <f t="shared" ref="BO62" si="89">BG62-BM62</f>
        <v>0</v>
      </c>
      <c r="BP62" s="95">
        <f t="shared" ref="BP62" si="90">BL62-BN62</f>
        <v>0</v>
      </c>
      <c r="BQ62" s="96"/>
      <c r="BR62" s="90"/>
      <c r="BS62" s="266">
        <f t="shared" ref="BS62:BS63" si="91">BP62+BQ62+BR62</f>
        <v>0</v>
      </c>
      <c r="BT62" s="299">
        <f t="shared" si="31"/>
        <v>0</v>
      </c>
      <c r="BU62" s="97"/>
      <c r="BV62" s="85">
        <f t="shared" ref="BV62:BV63" si="92">BU62-SUM(BG62,BL62)</f>
        <v>0</v>
      </c>
      <c r="CB62" s="357"/>
    </row>
    <row r="63" spans="1:80" s="88" customFormat="1" ht="28.2" thickBot="1" x14ac:dyDescent="0.3">
      <c r="A63" s="1">
        <v>28</v>
      </c>
      <c r="B63" s="1"/>
      <c r="C63" s="283" t="s">
        <v>319</v>
      </c>
      <c r="D63" s="284">
        <v>1592</v>
      </c>
      <c r="E63" s="110"/>
      <c r="F63" s="90">
        <v>-14870</v>
      </c>
      <c r="G63" s="90"/>
      <c r="H63" s="90"/>
      <c r="I63" s="91">
        <f>E63+F63-G63+H63</f>
        <v>-14870</v>
      </c>
      <c r="J63" s="102"/>
      <c r="K63" s="102"/>
      <c r="L63" s="102"/>
      <c r="M63" s="102"/>
      <c r="N63" s="92">
        <f>J63+K63-L63+M63</f>
        <v>0</v>
      </c>
      <c r="O63" s="93">
        <f>I63</f>
        <v>-14870</v>
      </c>
      <c r="P63" s="237">
        <v>-33762</v>
      </c>
      <c r="Q63" s="90"/>
      <c r="R63" s="90"/>
      <c r="S63" s="91">
        <f>O63+P63-Q63+SUM(R63:R63)</f>
        <v>-48632</v>
      </c>
      <c r="T63" s="94">
        <f>N63</f>
        <v>0</v>
      </c>
      <c r="U63" s="90"/>
      <c r="V63" s="90"/>
      <c r="W63" s="90"/>
      <c r="X63" s="92">
        <f>T63+U63-V63+W63</f>
        <v>0</v>
      </c>
      <c r="Y63" s="93">
        <f>S63</f>
        <v>-48632</v>
      </c>
      <c r="Z63" s="188"/>
      <c r="AA63" s="188"/>
      <c r="AB63" s="188"/>
      <c r="AC63" s="91">
        <f>Y63+Z63-AA63+SUM(AB63:AB63)</f>
        <v>-48632</v>
      </c>
      <c r="AD63" s="94">
        <f>X63</f>
        <v>0</v>
      </c>
      <c r="AE63" s="90"/>
      <c r="AF63" s="90"/>
      <c r="AG63" s="90"/>
      <c r="AH63" s="92">
        <f>AD63+AE63-AF63+AG63</f>
        <v>0</v>
      </c>
      <c r="AI63" s="93">
        <f>AC63</f>
        <v>-48632</v>
      </c>
      <c r="AJ63" s="90"/>
      <c r="AK63" s="90"/>
      <c r="AL63" s="90">
        <v>72700</v>
      </c>
      <c r="AM63" s="91">
        <f>AI63+AJ63-AK63+SUM(AL63:AL63)</f>
        <v>24068</v>
      </c>
      <c r="AN63" s="94">
        <f>AH63</f>
        <v>0</v>
      </c>
      <c r="AO63" s="90"/>
      <c r="AP63" s="90"/>
      <c r="AQ63" s="90"/>
      <c r="AR63" s="92">
        <f>AN63+AO63-AP63+AQ63</f>
        <v>0</v>
      </c>
      <c r="AS63" s="93">
        <f>AM63</f>
        <v>24068</v>
      </c>
      <c r="AT63" s="90">
        <v>-22391</v>
      </c>
      <c r="AU63" s="90"/>
      <c r="AV63" s="90"/>
      <c r="AW63" s="91">
        <f>AS63+AT63-AU63+SUM(AV63:AV63)</f>
        <v>1677</v>
      </c>
      <c r="AX63" s="94">
        <f>AR63</f>
        <v>0</v>
      </c>
      <c r="AY63" s="90"/>
      <c r="AZ63" s="90"/>
      <c r="BA63" s="90"/>
      <c r="BB63" s="92">
        <f>AX63+AY63-AZ63+BA63</f>
        <v>0</v>
      </c>
      <c r="BC63" s="93">
        <f>AW63</f>
        <v>1677</v>
      </c>
      <c r="BD63" s="188">
        <v>-64</v>
      </c>
      <c r="BE63" s="90"/>
      <c r="BF63" s="90"/>
      <c r="BG63" s="91">
        <f>BC63+BD63-BE63+SUM(BF63:BF63)</f>
        <v>1613</v>
      </c>
      <c r="BH63" s="94">
        <f>BB63</f>
        <v>0</v>
      </c>
      <c r="BI63" s="90"/>
      <c r="BJ63" s="90"/>
      <c r="BK63" s="90"/>
      <c r="BL63" s="92">
        <f>BH63+BI63-BJ63+BK63</f>
        <v>0</v>
      </c>
      <c r="BM63" s="89"/>
      <c r="BN63" s="90"/>
      <c r="BO63" s="94">
        <f t="shared" ref="BO63" si="93">BG63-BM63</f>
        <v>1613</v>
      </c>
      <c r="BP63" s="95">
        <f t="shared" ref="BP63" si="94">BL63-BN63</f>
        <v>0</v>
      </c>
      <c r="BQ63" s="96"/>
      <c r="BR63" s="188"/>
      <c r="BS63" s="266">
        <f t="shared" si="91"/>
        <v>0</v>
      </c>
      <c r="BT63" s="299">
        <f t="shared" si="31"/>
        <v>1613</v>
      </c>
      <c r="BU63" s="189">
        <v>1613.23</v>
      </c>
      <c r="BV63" s="85">
        <f t="shared" si="92"/>
        <v>0.23000000000001819</v>
      </c>
      <c r="CB63" s="357"/>
    </row>
    <row r="64" spans="1:80" s="88" customFormat="1" ht="14.4" thickBot="1" x14ac:dyDescent="0.3">
      <c r="A64" s="1"/>
      <c r="B64" s="1"/>
      <c r="C64" s="272"/>
      <c r="D64" s="15"/>
      <c r="E64" s="111"/>
      <c r="F64" s="91"/>
      <c r="G64" s="91"/>
      <c r="H64" s="91"/>
      <c r="I64" s="91"/>
      <c r="J64" s="91"/>
      <c r="K64" s="91"/>
      <c r="L64" s="91"/>
      <c r="M64" s="91"/>
      <c r="N64" s="92"/>
      <c r="O64" s="98"/>
      <c r="P64" s="91"/>
      <c r="Q64" s="91"/>
      <c r="R64" s="91"/>
      <c r="S64" s="91"/>
      <c r="T64" s="91"/>
      <c r="U64" s="91"/>
      <c r="V64" s="91"/>
      <c r="W64" s="91"/>
      <c r="X64" s="92"/>
      <c r="Y64" s="98"/>
      <c r="Z64" s="91"/>
      <c r="AA64" s="91"/>
      <c r="AB64" s="91"/>
      <c r="AC64" s="91"/>
      <c r="AD64" s="91"/>
      <c r="AE64" s="91"/>
      <c r="AF64" s="91"/>
      <c r="AG64" s="91"/>
      <c r="AH64" s="92"/>
      <c r="AI64" s="98"/>
      <c r="AJ64" s="91"/>
      <c r="AK64" s="91"/>
      <c r="AL64" s="91"/>
      <c r="AM64" s="91"/>
      <c r="AN64" s="91"/>
      <c r="AO64" s="91"/>
      <c r="AP64" s="91"/>
      <c r="AQ64" s="91"/>
      <c r="AR64" s="92"/>
      <c r="AS64" s="98"/>
      <c r="AT64" s="91"/>
      <c r="AU64" s="91"/>
      <c r="AV64" s="91"/>
      <c r="AW64" s="91"/>
      <c r="AX64" s="91"/>
      <c r="AY64" s="91"/>
      <c r="AZ64" s="91"/>
      <c r="BA64" s="91"/>
      <c r="BB64" s="92"/>
      <c r="BC64" s="98"/>
      <c r="BD64" s="91"/>
      <c r="BE64" s="91"/>
      <c r="BF64" s="91"/>
      <c r="BG64" s="91"/>
      <c r="BH64" s="91"/>
      <c r="BI64" s="91"/>
      <c r="BJ64" s="91"/>
      <c r="BK64" s="91"/>
      <c r="BL64" s="92"/>
      <c r="BM64" s="98"/>
      <c r="BN64" s="91"/>
      <c r="BO64" s="91"/>
      <c r="BP64" s="92"/>
      <c r="BQ64" s="84"/>
      <c r="BR64" s="84"/>
      <c r="BS64" s="292"/>
      <c r="BT64" s="299"/>
      <c r="BU64" s="86"/>
      <c r="BV64" s="85"/>
      <c r="CB64" s="357"/>
    </row>
    <row r="65" spans="1:80" s="330" customFormat="1" ht="14.4" thickBot="1" x14ac:dyDescent="0.3">
      <c r="A65" s="4"/>
      <c r="B65" s="4"/>
      <c r="C65" s="282" t="s">
        <v>317</v>
      </c>
      <c r="D65" s="15"/>
      <c r="E65" s="111">
        <f t="shared" ref="E65:AJ65" si="95">SUM(E62:E63,E60, E42)</f>
        <v>540585</v>
      </c>
      <c r="F65" s="91">
        <f t="shared" si="95"/>
        <v>-601196</v>
      </c>
      <c r="G65" s="91">
        <f t="shared" si="95"/>
        <v>632064</v>
      </c>
      <c r="H65" s="91">
        <f t="shared" si="95"/>
        <v>0</v>
      </c>
      <c r="I65" s="91">
        <f t="shared" si="95"/>
        <v>-592970</v>
      </c>
      <c r="J65" s="91">
        <f t="shared" si="95"/>
        <v>51979</v>
      </c>
      <c r="K65" s="91">
        <f t="shared" si="95"/>
        <v>10820</v>
      </c>
      <c r="L65" s="91">
        <f t="shared" si="95"/>
        <v>44655</v>
      </c>
      <c r="M65" s="91">
        <f t="shared" si="95"/>
        <v>0</v>
      </c>
      <c r="N65" s="91">
        <f t="shared" si="95"/>
        <v>18144</v>
      </c>
      <c r="O65" s="93">
        <f t="shared" si="95"/>
        <v>-592970</v>
      </c>
      <c r="P65" s="91">
        <f t="shared" si="95"/>
        <v>-175728</v>
      </c>
      <c r="Q65" s="91">
        <f t="shared" si="95"/>
        <v>-134698</v>
      </c>
      <c r="R65" s="91">
        <f t="shared" si="95"/>
        <v>0</v>
      </c>
      <c r="S65" s="91">
        <f t="shared" si="95"/>
        <v>-634000</v>
      </c>
      <c r="T65" s="91">
        <f t="shared" si="95"/>
        <v>18144</v>
      </c>
      <c r="U65" s="91">
        <f t="shared" si="95"/>
        <v>-6813</v>
      </c>
      <c r="V65" s="91">
        <f t="shared" si="95"/>
        <v>-574</v>
      </c>
      <c r="W65" s="91">
        <f t="shared" si="95"/>
        <v>-136889</v>
      </c>
      <c r="X65" s="91">
        <f t="shared" si="95"/>
        <v>-124984</v>
      </c>
      <c r="Y65" s="93">
        <f t="shared" si="95"/>
        <v>-634000</v>
      </c>
      <c r="Z65" s="91">
        <f t="shared" si="95"/>
        <v>-138988</v>
      </c>
      <c r="AA65" s="91">
        <f t="shared" si="95"/>
        <v>-692239</v>
      </c>
      <c r="AB65" s="91">
        <f t="shared" si="95"/>
        <v>0</v>
      </c>
      <c r="AC65" s="91">
        <f t="shared" si="95"/>
        <v>-80749</v>
      </c>
      <c r="AD65" s="91">
        <f t="shared" si="95"/>
        <v>-124984</v>
      </c>
      <c r="AE65" s="91">
        <f t="shared" si="95"/>
        <v>75744.22</v>
      </c>
      <c r="AF65" s="91">
        <f t="shared" si="95"/>
        <v>-23330</v>
      </c>
      <c r="AG65" s="91">
        <f t="shared" si="95"/>
        <v>0</v>
      </c>
      <c r="AH65" s="91">
        <f t="shared" si="95"/>
        <v>-25909.78</v>
      </c>
      <c r="AI65" s="93">
        <f t="shared" si="95"/>
        <v>-80749</v>
      </c>
      <c r="AJ65" s="91">
        <f t="shared" si="95"/>
        <v>1270908</v>
      </c>
      <c r="AK65" s="91">
        <f t="shared" ref="AK65:BU65" si="96">SUM(AK62:AK63,AK60, AK42)</f>
        <v>59745.350000000006</v>
      </c>
      <c r="AL65" s="91">
        <f t="shared" si="96"/>
        <v>72700</v>
      </c>
      <c r="AM65" s="91">
        <f t="shared" si="96"/>
        <v>1203113.6499999999</v>
      </c>
      <c r="AN65" s="91">
        <f t="shared" si="96"/>
        <v>-25909.78</v>
      </c>
      <c r="AO65" s="91">
        <f t="shared" si="96"/>
        <v>-100444.13</v>
      </c>
      <c r="AP65" s="91">
        <f t="shared" si="96"/>
        <v>631.18000000000029</v>
      </c>
      <c r="AQ65" s="91">
        <f t="shared" si="96"/>
        <v>0</v>
      </c>
      <c r="AR65" s="91">
        <f t="shared" si="96"/>
        <v>-126985.09</v>
      </c>
      <c r="AS65" s="93">
        <f t="shared" si="96"/>
        <v>1203113.6499999999</v>
      </c>
      <c r="AT65" s="91">
        <f t="shared" si="96"/>
        <v>814728</v>
      </c>
      <c r="AU65" s="91">
        <f t="shared" si="96"/>
        <v>0</v>
      </c>
      <c r="AV65" s="91">
        <f t="shared" si="96"/>
        <v>0</v>
      </c>
      <c r="AW65" s="91">
        <f t="shared" si="96"/>
        <v>2017841.65</v>
      </c>
      <c r="AX65" s="91">
        <f t="shared" si="96"/>
        <v>-126985.09</v>
      </c>
      <c r="AY65" s="91">
        <f t="shared" si="96"/>
        <v>97733</v>
      </c>
      <c r="AZ65" s="91">
        <f t="shared" si="96"/>
        <v>0</v>
      </c>
      <c r="BA65" s="91">
        <f t="shared" si="96"/>
        <v>0</v>
      </c>
      <c r="BB65" s="91">
        <f t="shared" si="96"/>
        <v>-29252.09</v>
      </c>
      <c r="BC65" s="93">
        <f t="shared" si="96"/>
        <v>2017841.65</v>
      </c>
      <c r="BD65" s="91">
        <f t="shared" si="96"/>
        <v>-1198286.93</v>
      </c>
      <c r="BE65" s="91">
        <f t="shared" si="96"/>
        <v>0</v>
      </c>
      <c r="BF65" s="91">
        <f t="shared" si="96"/>
        <v>152548</v>
      </c>
      <c r="BG65" s="91">
        <f t="shared" si="96"/>
        <v>972102.72</v>
      </c>
      <c r="BH65" s="91">
        <f t="shared" si="96"/>
        <v>-29252.09</v>
      </c>
      <c r="BI65" s="91">
        <f t="shared" si="96"/>
        <v>15891</v>
      </c>
      <c r="BJ65" s="91">
        <f t="shared" si="96"/>
        <v>1</v>
      </c>
      <c r="BK65" s="91">
        <f t="shared" si="96"/>
        <v>0</v>
      </c>
      <c r="BL65" s="91">
        <f t="shared" si="96"/>
        <v>-13362.09</v>
      </c>
      <c r="BM65" s="93">
        <f t="shared" si="96"/>
        <v>1940449</v>
      </c>
      <c r="BN65" s="91">
        <f t="shared" si="96"/>
        <v>-1337380</v>
      </c>
      <c r="BO65" s="91">
        <f t="shared" si="96"/>
        <v>-968346.28</v>
      </c>
      <c r="BP65" s="91">
        <f t="shared" si="96"/>
        <v>1324017.9099999999</v>
      </c>
      <c r="BQ65" s="93">
        <f t="shared" si="96"/>
        <v>-11346.952000000001</v>
      </c>
      <c r="BR65" s="91">
        <f t="shared" si="96"/>
        <v>-11642.715360000002</v>
      </c>
      <c r="BS65" s="91">
        <f t="shared" si="96"/>
        <v>1301028.2426400003</v>
      </c>
      <c r="BT65" s="68">
        <f t="shared" si="96"/>
        <v>332681.96264000004</v>
      </c>
      <c r="BU65" s="99">
        <f t="shared" si="96"/>
        <v>810362.12</v>
      </c>
      <c r="BV65" s="329">
        <f>BU65-SUM(BG65,BL65)</f>
        <v>-148378.51</v>
      </c>
      <c r="BW65" s="93"/>
      <c r="CB65" s="359"/>
    </row>
    <row r="66" spans="1:80" s="88" customFormat="1" ht="13.8" x14ac:dyDescent="0.25">
      <c r="A66" s="1"/>
      <c r="B66" s="1"/>
      <c r="C66" s="285"/>
      <c r="D66" s="286"/>
      <c r="E66" s="111"/>
      <c r="F66" s="91"/>
      <c r="G66" s="91"/>
      <c r="H66" s="91"/>
      <c r="I66" s="91"/>
      <c r="J66" s="91"/>
      <c r="K66" s="91"/>
      <c r="L66" s="91"/>
      <c r="M66" s="91"/>
      <c r="N66" s="92"/>
      <c r="O66" s="98"/>
      <c r="P66" s="91"/>
      <c r="Q66" s="91"/>
      <c r="R66" s="91"/>
      <c r="S66" s="91"/>
      <c r="T66" s="91"/>
      <c r="U66" s="91"/>
      <c r="V66" s="91"/>
      <c r="W66" s="91"/>
      <c r="X66" s="92"/>
      <c r="Y66" s="98"/>
      <c r="Z66" s="91"/>
      <c r="AA66" s="91"/>
      <c r="AB66" s="91"/>
      <c r="AC66" s="91"/>
      <c r="AD66" s="91"/>
      <c r="AE66" s="91"/>
      <c r="AF66" s="91"/>
      <c r="AG66" s="91"/>
      <c r="AH66" s="92"/>
      <c r="AI66" s="98"/>
      <c r="AJ66" s="91"/>
      <c r="AK66" s="91"/>
      <c r="AL66" s="91"/>
      <c r="AM66" s="91"/>
      <c r="AN66" s="91"/>
      <c r="AO66" s="91"/>
      <c r="AP66" s="91"/>
      <c r="AQ66" s="91"/>
      <c r="AR66" s="92"/>
      <c r="AS66" s="98"/>
      <c r="AT66" s="91"/>
      <c r="AU66" s="91"/>
      <c r="AV66" s="91"/>
      <c r="AW66" s="91"/>
      <c r="AX66" s="91"/>
      <c r="AY66" s="91"/>
      <c r="AZ66" s="91"/>
      <c r="BA66" s="91"/>
      <c r="BB66" s="92"/>
      <c r="BC66" s="98"/>
      <c r="BD66" s="91"/>
      <c r="BE66" s="91"/>
      <c r="BF66" s="91"/>
      <c r="BG66" s="91"/>
      <c r="BH66" s="91"/>
      <c r="BI66" s="91"/>
      <c r="BJ66" s="91"/>
      <c r="BK66" s="91"/>
      <c r="BL66" s="92"/>
      <c r="BM66" s="98"/>
      <c r="BN66" s="91"/>
      <c r="BO66" s="91"/>
      <c r="BP66" s="92"/>
      <c r="BQ66" s="84"/>
      <c r="BR66" s="84"/>
      <c r="BS66" s="292"/>
      <c r="BT66" s="299"/>
      <c r="BU66" s="86"/>
      <c r="BV66" s="85"/>
      <c r="CB66" s="357"/>
    </row>
    <row r="67" spans="1:80" s="88" customFormat="1" ht="14.4" thickBot="1" x14ac:dyDescent="0.3">
      <c r="A67" s="1"/>
      <c r="B67" s="1"/>
      <c r="C67" s="285"/>
      <c r="D67" s="286"/>
      <c r="E67" s="111"/>
      <c r="F67" s="91"/>
      <c r="G67" s="91"/>
      <c r="H67" s="91"/>
      <c r="I67" s="91"/>
      <c r="J67" s="91"/>
      <c r="K67" s="91"/>
      <c r="L67" s="91"/>
      <c r="M67" s="91"/>
      <c r="N67" s="92"/>
      <c r="O67" s="98"/>
      <c r="P67" s="91"/>
      <c r="Q67" s="91"/>
      <c r="R67" s="91"/>
      <c r="S67" s="91"/>
      <c r="T67" s="91"/>
      <c r="U67" s="91"/>
      <c r="V67" s="91"/>
      <c r="W67" s="91"/>
      <c r="X67" s="92"/>
      <c r="Y67" s="98"/>
      <c r="Z67" s="91"/>
      <c r="AA67" s="91"/>
      <c r="AB67" s="91"/>
      <c r="AC67" s="91"/>
      <c r="AD67" s="91"/>
      <c r="AE67" s="91"/>
      <c r="AF67" s="91"/>
      <c r="AG67" s="91"/>
      <c r="AH67" s="92"/>
      <c r="AI67" s="98"/>
      <c r="AJ67" s="91"/>
      <c r="AK67" s="91"/>
      <c r="AL67" s="91"/>
      <c r="AM67" s="91"/>
      <c r="AN67" s="91"/>
      <c r="AO67" s="91"/>
      <c r="AP67" s="91"/>
      <c r="AQ67" s="91"/>
      <c r="AR67" s="92"/>
      <c r="AS67" s="98"/>
      <c r="AT67" s="91"/>
      <c r="AU67" s="91"/>
      <c r="AV67" s="91"/>
      <c r="AW67" s="91"/>
      <c r="AX67" s="91"/>
      <c r="AY67" s="91"/>
      <c r="AZ67" s="91"/>
      <c r="BA67" s="91"/>
      <c r="BB67" s="92"/>
      <c r="BC67" s="98"/>
      <c r="BD67" s="91"/>
      <c r="BE67" s="91"/>
      <c r="BF67" s="91"/>
      <c r="BG67" s="91"/>
      <c r="BH67" s="91"/>
      <c r="BI67" s="91"/>
      <c r="BJ67" s="91"/>
      <c r="BK67" s="91"/>
      <c r="BL67" s="92"/>
      <c r="BM67" s="98"/>
      <c r="BN67" s="91"/>
      <c r="BO67" s="91"/>
      <c r="BP67" s="92"/>
      <c r="BQ67" s="84"/>
      <c r="BR67" s="84"/>
      <c r="BS67" s="292"/>
      <c r="BT67" s="299"/>
      <c r="BU67" s="86"/>
      <c r="BV67" s="85"/>
      <c r="CB67" s="357"/>
    </row>
    <row r="68" spans="1:80" s="88" customFormat="1" ht="16.8" thickBot="1" x14ac:dyDescent="0.3">
      <c r="A68" s="1">
        <v>29</v>
      </c>
      <c r="B68" s="1"/>
      <c r="C68" s="287" t="s">
        <v>335</v>
      </c>
      <c r="D68" s="288">
        <v>1568</v>
      </c>
      <c r="E68" s="183"/>
      <c r="F68" s="186"/>
      <c r="G68" s="186"/>
      <c r="H68" s="186"/>
      <c r="I68" s="91">
        <f t="shared" ref="I68" si="97">E68+F68-G68+H68</f>
        <v>0</v>
      </c>
      <c r="J68" s="227"/>
      <c r="K68" s="186"/>
      <c r="L68" s="186"/>
      <c r="M68" s="186"/>
      <c r="N68" s="92">
        <f t="shared" ref="N68" si="98">J68+K68-L68+M68</f>
        <v>0</v>
      </c>
      <c r="O68" s="93">
        <f>I68</f>
        <v>0</v>
      </c>
      <c r="P68" s="104"/>
      <c r="Q68" s="104"/>
      <c r="R68" s="104"/>
      <c r="S68" s="91">
        <f>O68+P68-Q68+SUM(R68:R68)</f>
        <v>0</v>
      </c>
      <c r="T68" s="94">
        <f>N68</f>
        <v>0</v>
      </c>
      <c r="U68" s="104"/>
      <c r="V68" s="104"/>
      <c r="W68" s="104"/>
      <c r="X68" s="92">
        <f>T68+U68-V68+W68</f>
        <v>0</v>
      </c>
      <c r="Y68" s="93">
        <f>S68</f>
        <v>0</v>
      </c>
      <c r="Z68" s="104"/>
      <c r="AA68" s="104"/>
      <c r="AB68" s="104"/>
      <c r="AC68" s="91">
        <f>Y68+Z68-AA68+SUM(AB68:AB68)</f>
        <v>0</v>
      </c>
      <c r="AD68" s="91">
        <f>X68</f>
        <v>0</v>
      </c>
      <c r="AE68" s="104"/>
      <c r="AF68" s="104"/>
      <c r="AG68" s="90"/>
      <c r="AH68" s="92">
        <f>AD68+AE68-AF68+AG68</f>
        <v>0</v>
      </c>
      <c r="AI68" s="93">
        <f>AC68</f>
        <v>0</v>
      </c>
      <c r="AJ68" s="104">
        <v>30207</v>
      </c>
      <c r="AK68" s="104"/>
      <c r="AL68" s="104"/>
      <c r="AM68" s="91">
        <f>AI68+AJ68-AK68+SUM(AL68:AL68)</f>
        <v>30207</v>
      </c>
      <c r="AN68" s="91">
        <f>AH68</f>
        <v>0</v>
      </c>
      <c r="AO68" s="104">
        <v>74</v>
      </c>
      <c r="AP68" s="104"/>
      <c r="AQ68" s="90"/>
      <c r="AR68" s="92">
        <f>AN68+AO68-AP68+AQ68</f>
        <v>74</v>
      </c>
      <c r="AS68" s="93">
        <f>AM68</f>
        <v>30207</v>
      </c>
      <c r="AT68" s="104">
        <v>-12249</v>
      </c>
      <c r="AU68" s="104"/>
      <c r="AV68" s="104"/>
      <c r="AW68" s="91">
        <f>AS68+AT68-AU68+SUM(AV68:AV68)</f>
        <v>17958</v>
      </c>
      <c r="AX68" s="91">
        <f>AR68</f>
        <v>74</v>
      </c>
      <c r="AY68" s="104">
        <v>698</v>
      </c>
      <c r="AZ68" s="104"/>
      <c r="BA68" s="90"/>
      <c r="BB68" s="92">
        <f>AX68+AY68-AZ68+BA68</f>
        <v>772</v>
      </c>
      <c r="BC68" s="93">
        <f>AW68</f>
        <v>17958</v>
      </c>
      <c r="BD68" s="188">
        <v>7055</v>
      </c>
      <c r="BE68" s="104"/>
      <c r="BF68" s="104"/>
      <c r="BG68" s="91">
        <f>BC68+BD68-BE68+SUM(BF68:BF68)</f>
        <v>25013</v>
      </c>
      <c r="BH68" s="91">
        <f>BB68</f>
        <v>772</v>
      </c>
      <c r="BI68" s="104">
        <v>581</v>
      </c>
      <c r="BJ68" s="104"/>
      <c r="BK68" s="104"/>
      <c r="BL68" s="92">
        <f>BH68+BI68-BJ68+BK68</f>
        <v>1353</v>
      </c>
      <c r="BM68" s="104">
        <v>0</v>
      </c>
      <c r="BN68" s="104"/>
      <c r="BO68" s="94">
        <f t="shared" ref="BO68" si="99">BG68-BM68</f>
        <v>25013</v>
      </c>
      <c r="BP68" s="95">
        <f t="shared" ref="BP68" si="100">BL68-BN68</f>
        <v>1353</v>
      </c>
      <c r="BQ68" s="96"/>
      <c r="BR68" s="104"/>
      <c r="BS68" s="266">
        <f t="shared" ref="BS68" si="101">BP68+BQ68+BR68</f>
        <v>1353</v>
      </c>
      <c r="BT68" s="299">
        <f>SUM(BO68:BR68)</f>
        <v>26366</v>
      </c>
      <c r="BU68" s="105">
        <v>26366.539999999997</v>
      </c>
      <c r="BV68" s="85">
        <f t="shared" ref="BV68" si="102">BU68-SUM(BG68,BL68)</f>
        <v>0.53999999999723514</v>
      </c>
      <c r="CB68" s="357"/>
    </row>
    <row r="69" spans="1:80" s="88" customFormat="1" ht="13.8" x14ac:dyDescent="0.25">
      <c r="A69" s="1"/>
      <c r="B69" s="1"/>
      <c r="C69" s="287"/>
      <c r="D69" s="288"/>
      <c r="E69" s="111"/>
      <c r="F69" s="91"/>
      <c r="G69" s="91"/>
      <c r="H69" s="91"/>
      <c r="I69" s="91"/>
      <c r="J69" s="91"/>
      <c r="K69" s="91"/>
      <c r="L69" s="91"/>
      <c r="M69" s="91"/>
      <c r="N69" s="91"/>
      <c r="O69" s="98"/>
      <c r="P69" s="91"/>
      <c r="Q69" s="91"/>
      <c r="R69" s="91"/>
      <c r="S69" s="91"/>
      <c r="T69" s="91"/>
      <c r="U69" s="91"/>
      <c r="V69" s="91"/>
      <c r="W69" s="91"/>
      <c r="X69" s="91"/>
      <c r="Y69" s="98"/>
      <c r="Z69" s="91"/>
      <c r="AA69" s="91"/>
      <c r="AB69" s="91"/>
      <c r="AC69" s="91"/>
      <c r="AD69" s="91"/>
      <c r="AE69" s="91"/>
      <c r="AF69" s="91"/>
      <c r="AG69" s="91"/>
      <c r="AH69" s="91"/>
      <c r="AI69" s="98"/>
      <c r="AJ69" s="91"/>
      <c r="AK69" s="91"/>
      <c r="AL69" s="91"/>
      <c r="AM69" s="91"/>
      <c r="AN69" s="91"/>
      <c r="AO69" s="91"/>
      <c r="AP69" s="91"/>
      <c r="AQ69" s="91"/>
      <c r="AR69" s="91"/>
      <c r="AS69" s="98"/>
      <c r="AT69" s="91"/>
      <c r="AU69" s="91"/>
      <c r="AV69" s="91"/>
      <c r="AW69" s="91"/>
      <c r="AX69" s="91"/>
      <c r="AY69" s="91"/>
      <c r="AZ69" s="91"/>
      <c r="BA69" s="91"/>
      <c r="BB69" s="91"/>
      <c r="BC69" s="98"/>
      <c r="BD69" s="91"/>
      <c r="BE69" s="91"/>
      <c r="BF69" s="91"/>
      <c r="BG69" s="91"/>
      <c r="BH69" s="91"/>
      <c r="BI69" s="91"/>
      <c r="BJ69" s="91"/>
      <c r="BK69" s="91"/>
      <c r="BL69" s="91"/>
      <c r="BM69" s="98"/>
      <c r="BN69" s="91"/>
      <c r="BO69" s="91"/>
      <c r="BP69" s="92"/>
      <c r="BQ69" s="84"/>
      <c r="BR69" s="84"/>
      <c r="BS69" s="292"/>
      <c r="BT69" s="299"/>
      <c r="BU69" s="86"/>
      <c r="BV69" s="85"/>
      <c r="CB69" s="357"/>
    </row>
    <row r="70" spans="1:80" s="88" customFormat="1" ht="13.8" x14ac:dyDescent="0.25">
      <c r="A70" s="1"/>
      <c r="B70" s="1"/>
      <c r="C70" s="287"/>
      <c r="D70" s="288"/>
      <c r="E70" s="111"/>
      <c r="F70" s="91"/>
      <c r="G70" s="91"/>
      <c r="H70" s="91"/>
      <c r="I70" s="91"/>
      <c r="J70" s="91"/>
      <c r="K70" s="91"/>
      <c r="L70" s="91"/>
      <c r="M70" s="91"/>
      <c r="N70" s="91"/>
      <c r="O70" s="98"/>
      <c r="P70" s="91"/>
      <c r="Q70" s="91"/>
      <c r="R70" s="91"/>
      <c r="S70" s="91"/>
      <c r="T70" s="91"/>
      <c r="U70" s="91"/>
      <c r="V70" s="91"/>
      <c r="W70" s="91"/>
      <c r="X70" s="91"/>
      <c r="Y70" s="98"/>
      <c r="Z70" s="91"/>
      <c r="AA70" s="91"/>
      <c r="AB70" s="91"/>
      <c r="AC70" s="91"/>
      <c r="AD70" s="91"/>
      <c r="AE70" s="91"/>
      <c r="AF70" s="91"/>
      <c r="AG70" s="91"/>
      <c r="AH70" s="91"/>
      <c r="AI70" s="98"/>
      <c r="AJ70" s="91"/>
      <c r="AK70" s="91"/>
      <c r="AL70" s="91"/>
      <c r="AM70" s="91"/>
      <c r="AN70" s="91"/>
      <c r="AO70" s="91"/>
      <c r="AP70" s="91"/>
      <c r="AQ70" s="91"/>
      <c r="AR70" s="91"/>
      <c r="AS70" s="98"/>
      <c r="AT70" s="91"/>
      <c r="AU70" s="91"/>
      <c r="AV70" s="91"/>
      <c r="AW70" s="91"/>
      <c r="AX70" s="91"/>
      <c r="AY70" s="91"/>
      <c r="AZ70" s="91"/>
      <c r="BA70" s="91"/>
      <c r="BB70" s="91"/>
      <c r="BC70" s="98"/>
      <c r="BD70" s="91"/>
      <c r="BE70" s="91"/>
      <c r="BF70" s="91"/>
      <c r="BG70" s="91"/>
      <c r="BH70" s="91"/>
      <c r="BI70" s="91"/>
      <c r="BJ70" s="91"/>
      <c r="BK70" s="91"/>
      <c r="BL70" s="91"/>
      <c r="BM70" s="98"/>
      <c r="BN70" s="91"/>
      <c r="BO70" s="91"/>
      <c r="BP70" s="92"/>
      <c r="BQ70" s="84"/>
      <c r="BR70" s="84"/>
      <c r="BS70" s="292"/>
      <c r="BT70" s="299"/>
      <c r="BU70" s="86"/>
      <c r="BV70" s="85"/>
      <c r="CB70" s="357"/>
    </row>
    <row r="71" spans="1:80" s="330" customFormat="1" ht="13.8" x14ac:dyDescent="0.25">
      <c r="A71" s="4"/>
      <c r="B71" s="4"/>
      <c r="C71" s="289" t="s">
        <v>94</v>
      </c>
      <c r="D71" s="286"/>
      <c r="E71" s="111"/>
      <c r="F71" s="91">
        <f t="shared" ref="F71:AB71" si="103">F65+F68</f>
        <v>-601196</v>
      </c>
      <c r="G71" s="91">
        <f t="shared" si="103"/>
        <v>632064</v>
      </c>
      <c r="H71" s="91">
        <f t="shared" si="103"/>
        <v>0</v>
      </c>
      <c r="I71" s="91">
        <f t="shared" si="103"/>
        <v>-592970</v>
      </c>
      <c r="J71" s="91">
        <f t="shared" si="103"/>
        <v>51979</v>
      </c>
      <c r="K71" s="91">
        <f t="shared" si="103"/>
        <v>10820</v>
      </c>
      <c r="L71" s="91">
        <f t="shared" si="103"/>
        <v>44655</v>
      </c>
      <c r="M71" s="91">
        <f t="shared" si="103"/>
        <v>0</v>
      </c>
      <c r="N71" s="92">
        <f t="shared" si="103"/>
        <v>18144</v>
      </c>
      <c r="O71" s="98">
        <f t="shared" si="103"/>
        <v>-592970</v>
      </c>
      <c r="P71" s="91">
        <f t="shared" si="103"/>
        <v>-175728</v>
      </c>
      <c r="Q71" s="91">
        <f t="shared" si="103"/>
        <v>-134698</v>
      </c>
      <c r="R71" s="91">
        <f t="shared" si="103"/>
        <v>0</v>
      </c>
      <c r="S71" s="91">
        <f t="shared" si="103"/>
        <v>-634000</v>
      </c>
      <c r="T71" s="91">
        <f t="shared" si="103"/>
        <v>18144</v>
      </c>
      <c r="U71" s="91">
        <f t="shared" si="103"/>
        <v>-6813</v>
      </c>
      <c r="V71" s="91">
        <f t="shared" si="103"/>
        <v>-574</v>
      </c>
      <c r="W71" s="91">
        <f t="shared" si="103"/>
        <v>-136889</v>
      </c>
      <c r="X71" s="92">
        <f t="shared" si="103"/>
        <v>-124984</v>
      </c>
      <c r="Y71" s="98">
        <f t="shared" si="103"/>
        <v>-634000</v>
      </c>
      <c r="Z71" s="91">
        <f t="shared" si="103"/>
        <v>-138988</v>
      </c>
      <c r="AA71" s="91">
        <f t="shared" si="103"/>
        <v>-692239</v>
      </c>
      <c r="AB71" s="91">
        <f t="shared" si="103"/>
        <v>0</v>
      </c>
      <c r="AC71" s="91">
        <f t="shared" ref="AC71:BU71" si="104">AC65+AC68</f>
        <v>-80749</v>
      </c>
      <c r="AD71" s="91">
        <f t="shared" si="104"/>
        <v>-124984</v>
      </c>
      <c r="AE71" s="91">
        <f t="shared" si="104"/>
        <v>75744.22</v>
      </c>
      <c r="AF71" s="91">
        <f t="shared" si="104"/>
        <v>-23330</v>
      </c>
      <c r="AG71" s="91">
        <f t="shared" si="104"/>
        <v>0</v>
      </c>
      <c r="AH71" s="92">
        <f t="shared" si="104"/>
        <v>-25909.78</v>
      </c>
      <c r="AI71" s="98">
        <f t="shared" si="104"/>
        <v>-80749</v>
      </c>
      <c r="AJ71" s="91">
        <f t="shared" si="104"/>
        <v>1301115</v>
      </c>
      <c r="AK71" s="91">
        <f t="shared" si="104"/>
        <v>59745.350000000006</v>
      </c>
      <c r="AL71" s="91">
        <f t="shared" si="104"/>
        <v>72700</v>
      </c>
      <c r="AM71" s="91">
        <f t="shared" si="104"/>
        <v>1233320.6499999999</v>
      </c>
      <c r="AN71" s="91">
        <f t="shared" si="104"/>
        <v>-25909.78</v>
      </c>
      <c r="AO71" s="91">
        <f t="shared" si="104"/>
        <v>-100370.13</v>
      </c>
      <c r="AP71" s="91">
        <f t="shared" si="104"/>
        <v>631.18000000000029</v>
      </c>
      <c r="AQ71" s="91">
        <f t="shared" si="104"/>
        <v>0</v>
      </c>
      <c r="AR71" s="92">
        <f t="shared" si="104"/>
        <v>-126911.09</v>
      </c>
      <c r="AS71" s="98">
        <f t="shared" ref="AS71:BB71" si="105">AS65+AS68</f>
        <v>1233320.6499999999</v>
      </c>
      <c r="AT71" s="91">
        <f t="shared" si="105"/>
        <v>802479</v>
      </c>
      <c r="AU71" s="91">
        <f t="shared" si="105"/>
        <v>0</v>
      </c>
      <c r="AV71" s="91">
        <f t="shared" si="105"/>
        <v>0</v>
      </c>
      <c r="AW71" s="91">
        <f t="shared" si="105"/>
        <v>2035799.65</v>
      </c>
      <c r="AX71" s="91">
        <f t="shared" si="105"/>
        <v>-126911.09</v>
      </c>
      <c r="AY71" s="91">
        <f t="shared" si="105"/>
        <v>98431</v>
      </c>
      <c r="AZ71" s="91">
        <f t="shared" si="105"/>
        <v>0</v>
      </c>
      <c r="BA71" s="91">
        <f t="shared" si="105"/>
        <v>0</v>
      </c>
      <c r="BB71" s="92">
        <f t="shared" si="105"/>
        <v>-28480.09</v>
      </c>
      <c r="BC71" s="98">
        <f t="shared" ref="BC71:BL71" si="106">BC65+BC68</f>
        <v>2035799.65</v>
      </c>
      <c r="BD71" s="91">
        <f t="shared" si="106"/>
        <v>-1191231.93</v>
      </c>
      <c r="BE71" s="91">
        <f t="shared" si="106"/>
        <v>0</v>
      </c>
      <c r="BF71" s="91">
        <f t="shared" si="106"/>
        <v>152548</v>
      </c>
      <c r="BG71" s="91">
        <f t="shared" si="106"/>
        <v>997115.72</v>
      </c>
      <c r="BH71" s="91">
        <f t="shared" si="106"/>
        <v>-28480.09</v>
      </c>
      <c r="BI71" s="91">
        <f t="shared" si="106"/>
        <v>16472</v>
      </c>
      <c r="BJ71" s="91">
        <f t="shared" si="106"/>
        <v>1</v>
      </c>
      <c r="BK71" s="91">
        <f t="shared" si="106"/>
        <v>0</v>
      </c>
      <c r="BL71" s="92">
        <f t="shared" si="106"/>
        <v>-12009.09</v>
      </c>
      <c r="BM71" s="98">
        <f t="shared" si="104"/>
        <v>1940449</v>
      </c>
      <c r="BN71" s="91">
        <f t="shared" si="104"/>
        <v>-1337380</v>
      </c>
      <c r="BO71" s="91">
        <f t="shared" si="104"/>
        <v>-943333.28</v>
      </c>
      <c r="BP71" s="92">
        <f t="shared" si="104"/>
        <v>1325370.9099999999</v>
      </c>
      <c r="BQ71" s="98">
        <f t="shared" si="104"/>
        <v>-11346.952000000001</v>
      </c>
      <c r="BR71" s="91">
        <f t="shared" si="104"/>
        <v>-11642.715360000002</v>
      </c>
      <c r="BS71" s="91">
        <f t="shared" si="104"/>
        <v>1302381.2426400003</v>
      </c>
      <c r="BT71" s="301">
        <f>BT65+BT68</f>
        <v>359047.96264000004</v>
      </c>
      <c r="BU71" s="92">
        <f t="shared" si="104"/>
        <v>836728.66</v>
      </c>
      <c r="BV71" s="329">
        <f t="shared" ref="BV71" si="107">BU71-SUM(BG71,BL71)</f>
        <v>-148377.96999999997</v>
      </c>
      <c r="CB71" s="359"/>
    </row>
    <row r="72" spans="1:80" s="88" customFormat="1" ht="14.4" thickBot="1" x14ac:dyDescent="0.3">
      <c r="A72" s="1"/>
      <c r="B72" s="1"/>
      <c r="C72" s="285"/>
      <c r="D72" s="286"/>
      <c r="E72" s="111"/>
      <c r="F72" s="91"/>
      <c r="G72" s="91"/>
      <c r="H72" s="91"/>
      <c r="I72" s="91"/>
      <c r="J72" s="91"/>
      <c r="K72" s="91"/>
      <c r="L72" s="91"/>
      <c r="M72" s="91"/>
      <c r="N72" s="92"/>
      <c r="O72" s="98"/>
      <c r="P72" s="91"/>
      <c r="Q72" s="91"/>
      <c r="R72" s="91"/>
      <c r="S72" s="91"/>
      <c r="T72" s="91"/>
      <c r="U72" s="91"/>
      <c r="V72" s="91"/>
      <c r="W72" s="91"/>
      <c r="X72" s="92"/>
      <c r="Y72" s="98"/>
      <c r="Z72" s="91"/>
      <c r="AA72" s="91"/>
      <c r="AB72" s="91"/>
      <c r="AC72" s="91"/>
      <c r="AD72" s="91"/>
      <c r="AE72" s="91"/>
      <c r="AF72" s="91"/>
      <c r="AG72" s="91"/>
      <c r="AH72" s="92"/>
      <c r="AI72" s="98"/>
      <c r="AJ72" s="91"/>
      <c r="AK72" s="91"/>
      <c r="AL72" s="91"/>
      <c r="AM72" s="91"/>
      <c r="AN72" s="91"/>
      <c r="AO72" s="91"/>
      <c r="AP72" s="91"/>
      <c r="AQ72" s="91"/>
      <c r="AR72" s="92"/>
      <c r="AS72" s="98"/>
      <c r="AT72" s="91"/>
      <c r="AU72" s="91"/>
      <c r="AV72" s="91"/>
      <c r="AW72" s="91"/>
      <c r="AX72" s="91"/>
      <c r="AY72" s="91"/>
      <c r="AZ72" s="91"/>
      <c r="BA72" s="91"/>
      <c r="BB72" s="92"/>
      <c r="BC72" s="98"/>
      <c r="BD72" s="91"/>
      <c r="BE72" s="91"/>
      <c r="BF72" s="91"/>
      <c r="BG72" s="91"/>
      <c r="BH72" s="91"/>
      <c r="BI72" s="91"/>
      <c r="BJ72" s="91"/>
      <c r="BK72" s="91"/>
      <c r="BL72" s="92"/>
      <c r="BM72" s="98"/>
      <c r="BN72" s="91"/>
      <c r="BO72" s="91"/>
      <c r="BP72" s="92"/>
      <c r="BQ72" s="84"/>
      <c r="BR72" s="84"/>
      <c r="BS72" s="292"/>
      <c r="BT72" s="299"/>
      <c r="BU72" s="86"/>
      <c r="BV72" s="85"/>
      <c r="CB72" s="357"/>
    </row>
    <row r="73" spans="1:80" s="88" customFormat="1" ht="16.8" thickBot="1" x14ac:dyDescent="0.3">
      <c r="A73" s="1">
        <v>30</v>
      </c>
      <c r="B73" s="1"/>
      <c r="C73" s="272" t="s">
        <v>320</v>
      </c>
      <c r="D73" s="257">
        <v>1531</v>
      </c>
      <c r="E73" s="217"/>
      <c r="F73" s="186"/>
      <c r="G73" s="102"/>
      <c r="H73" s="102"/>
      <c r="I73" s="91">
        <f t="shared" ref="I73:I82" si="108">E73+F73-G73+H73</f>
        <v>0</v>
      </c>
      <c r="J73" s="186"/>
      <c r="K73" s="186"/>
      <c r="L73" s="186"/>
      <c r="M73" s="102"/>
      <c r="N73" s="92">
        <f t="shared" ref="N73:N82" si="109">J73+K73-L73+M73</f>
        <v>0</v>
      </c>
      <c r="O73" s="93">
        <f t="shared" ref="O73:O82" si="110">I73</f>
        <v>0</v>
      </c>
      <c r="P73" s="188"/>
      <c r="Q73" s="90"/>
      <c r="R73" s="90"/>
      <c r="S73" s="91">
        <f t="shared" ref="S73:S82" si="111">O73+P73-Q73+SUM(R73:R73)</f>
        <v>0</v>
      </c>
      <c r="T73" s="94">
        <f t="shared" ref="T73:T82" si="112">N73</f>
        <v>0</v>
      </c>
      <c r="U73" s="188"/>
      <c r="V73" s="90"/>
      <c r="W73" s="90"/>
      <c r="X73" s="92">
        <f t="shared" ref="X73:X82" si="113">T73+U73-V73+W73</f>
        <v>0</v>
      </c>
      <c r="Y73" s="93">
        <f t="shared" ref="Y73:Y82" si="114">S73</f>
        <v>0</v>
      </c>
      <c r="Z73" s="188"/>
      <c r="AA73" s="90"/>
      <c r="AB73" s="90"/>
      <c r="AC73" s="91">
        <f t="shared" ref="AC73:AC82" si="115">Y73+Z73-AA73+SUM(AB73:AB73)</f>
        <v>0</v>
      </c>
      <c r="AD73" s="94">
        <f t="shared" ref="AD73:AD82" si="116">X73</f>
        <v>0</v>
      </c>
      <c r="AE73" s="188"/>
      <c r="AF73" s="90"/>
      <c r="AG73" s="102"/>
      <c r="AH73" s="92">
        <f t="shared" ref="AH73:AH82" si="117">AD73+AE73-AF73+AG73</f>
        <v>0</v>
      </c>
      <c r="AI73" s="93">
        <f t="shared" ref="AI73:AI86" si="118">AC73</f>
        <v>0</v>
      </c>
      <c r="AJ73" s="188"/>
      <c r="AK73" s="188"/>
      <c r="AL73" s="188"/>
      <c r="AM73" s="91">
        <f t="shared" ref="AM73:AM82" si="119">AI73+AJ73-AK73+SUM(AL73:AL73)</f>
        <v>0</v>
      </c>
      <c r="AN73" s="94">
        <f t="shared" ref="AN73:AN82" si="120">AH73</f>
        <v>0</v>
      </c>
      <c r="AO73" s="188"/>
      <c r="AP73" s="90"/>
      <c r="AQ73" s="102"/>
      <c r="AR73" s="92">
        <f t="shared" ref="AR73:AR82" si="121">AN73+AO73-AP73+AQ73</f>
        <v>0</v>
      </c>
      <c r="AS73" s="93">
        <f t="shared" ref="AS73:AS83" si="122">AM73</f>
        <v>0</v>
      </c>
      <c r="AT73" s="188"/>
      <c r="AU73" s="90"/>
      <c r="AV73" s="90"/>
      <c r="AW73" s="91">
        <f t="shared" ref="AW73:AW83" si="123">AS73+AT73-AU73+SUM(AV73:AV73)</f>
        <v>0</v>
      </c>
      <c r="AX73" s="94">
        <f t="shared" ref="AX73:AX83" si="124">AR73</f>
        <v>0</v>
      </c>
      <c r="AY73" s="188"/>
      <c r="AZ73" s="90"/>
      <c r="BA73" s="102"/>
      <c r="BB73" s="92">
        <f t="shared" ref="BB73:BB83" si="125">AX73+AY73-AZ73+BA73</f>
        <v>0</v>
      </c>
      <c r="BC73" s="93">
        <f t="shared" ref="BC73:BC83" si="126">AW73</f>
        <v>0</v>
      </c>
      <c r="BD73" s="188"/>
      <c r="BE73" s="90"/>
      <c r="BF73" s="90"/>
      <c r="BG73" s="91">
        <f t="shared" ref="BG73:BG83" si="127">BC73+BD73-BE73+SUM(BF73:BF73)</f>
        <v>0</v>
      </c>
      <c r="BH73" s="94">
        <f t="shared" ref="BH73:BH83" si="128">BB73</f>
        <v>0</v>
      </c>
      <c r="BI73" s="90"/>
      <c r="BJ73" s="90"/>
      <c r="BK73" s="102"/>
      <c r="BL73" s="92">
        <f t="shared" ref="BL73:BL83" si="129">BH73+BI73-BJ73+BK73</f>
        <v>0</v>
      </c>
      <c r="BM73" s="90"/>
      <c r="BN73" s="90"/>
      <c r="BO73" s="94">
        <f t="shared" ref="BO73:BO83" si="130">BG73-BM73</f>
        <v>0</v>
      </c>
      <c r="BP73" s="95">
        <f t="shared" ref="BP73:BP83" si="131">BL73-BN73</f>
        <v>0</v>
      </c>
      <c r="BQ73" s="96"/>
      <c r="BR73" s="90"/>
      <c r="BS73" s="266">
        <f t="shared" ref="BS73:BS83" si="132">BP73+BQ73+BR73</f>
        <v>0</v>
      </c>
      <c r="BT73" s="299">
        <f t="shared" ref="BT73:BT78" si="133">SUM(BO73:BR73)</f>
        <v>0</v>
      </c>
      <c r="BU73" s="189"/>
      <c r="BV73" s="85">
        <f>BU73-SUM(BG73,BL73)</f>
        <v>0</v>
      </c>
      <c r="CB73" s="357"/>
    </row>
    <row r="74" spans="1:80" s="88" customFormat="1" ht="16.8" thickBot="1" x14ac:dyDescent="0.3">
      <c r="A74" s="1">
        <v>31</v>
      </c>
      <c r="B74" s="1"/>
      <c r="C74" s="272" t="s">
        <v>321</v>
      </c>
      <c r="D74" s="257">
        <v>1532</v>
      </c>
      <c r="E74" s="217"/>
      <c r="F74" s="186"/>
      <c r="G74" s="102"/>
      <c r="H74" s="102"/>
      <c r="I74" s="91">
        <f t="shared" si="108"/>
        <v>0</v>
      </c>
      <c r="J74" s="186"/>
      <c r="K74" s="186"/>
      <c r="L74" s="186"/>
      <c r="M74" s="102"/>
      <c r="N74" s="92">
        <f t="shared" si="109"/>
        <v>0</v>
      </c>
      <c r="O74" s="93">
        <f t="shared" si="110"/>
        <v>0</v>
      </c>
      <c r="P74" s="238"/>
      <c r="Q74" s="90"/>
      <c r="R74" s="188"/>
      <c r="S74" s="91">
        <f t="shared" si="111"/>
        <v>0</v>
      </c>
      <c r="T74" s="94">
        <f t="shared" si="112"/>
        <v>0</v>
      </c>
      <c r="U74" s="241"/>
      <c r="V74" s="90"/>
      <c r="W74" s="90"/>
      <c r="X74" s="92">
        <f t="shared" si="113"/>
        <v>0</v>
      </c>
      <c r="Y74" s="93">
        <f t="shared" si="114"/>
        <v>0</v>
      </c>
      <c r="Z74" s="188"/>
      <c r="AA74" s="90"/>
      <c r="AB74" s="90"/>
      <c r="AC74" s="91">
        <f t="shared" si="115"/>
        <v>0</v>
      </c>
      <c r="AD74" s="94">
        <f t="shared" si="116"/>
        <v>0</v>
      </c>
      <c r="AE74" s="188"/>
      <c r="AF74" s="90"/>
      <c r="AG74" s="102"/>
      <c r="AH74" s="92">
        <f t="shared" si="117"/>
        <v>0</v>
      </c>
      <c r="AI74" s="93">
        <f t="shared" si="118"/>
        <v>0</v>
      </c>
      <c r="AJ74" s="188"/>
      <c r="AK74" s="188"/>
      <c r="AL74" s="188"/>
      <c r="AM74" s="91">
        <f t="shared" si="119"/>
        <v>0</v>
      </c>
      <c r="AN74" s="94">
        <f t="shared" si="120"/>
        <v>0</v>
      </c>
      <c r="AO74" s="188"/>
      <c r="AP74" s="90"/>
      <c r="AQ74" s="102"/>
      <c r="AR74" s="92">
        <f t="shared" si="121"/>
        <v>0</v>
      </c>
      <c r="AS74" s="93">
        <f t="shared" si="122"/>
        <v>0</v>
      </c>
      <c r="AT74" s="188"/>
      <c r="AU74" s="90"/>
      <c r="AV74" s="90"/>
      <c r="AW74" s="91">
        <f t="shared" si="123"/>
        <v>0</v>
      </c>
      <c r="AX74" s="94">
        <f t="shared" si="124"/>
        <v>0</v>
      </c>
      <c r="AY74" s="188"/>
      <c r="AZ74" s="90"/>
      <c r="BA74" s="102"/>
      <c r="BB74" s="92">
        <f t="shared" si="125"/>
        <v>0</v>
      </c>
      <c r="BC74" s="93">
        <f t="shared" si="126"/>
        <v>0</v>
      </c>
      <c r="BD74" s="188"/>
      <c r="BE74" s="90"/>
      <c r="BF74" s="90"/>
      <c r="BG74" s="91">
        <f t="shared" si="127"/>
        <v>0</v>
      </c>
      <c r="BH74" s="94">
        <f t="shared" si="128"/>
        <v>0</v>
      </c>
      <c r="BI74" s="188"/>
      <c r="BJ74" s="90"/>
      <c r="BK74" s="102"/>
      <c r="BL74" s="92">
        <f t="shared" si="129"/>
        <v>0</v>
      </c>
      <c r="BM74" s="90"/>
      <c r="BN74" s="90"/>
      <c r="BO74" s="94">
        <f t="shared" si="130"/>
        <v>0</v>
      </c>
      <c r="BP74" s="95">
        <f t="shared" si="131"/>
        <v>0</v>
      </c>
      <c r="BQ74" s="96"/>
      <c r="BR74" s="188"/>
      <c r="BS74" s="266">
        <f t="shared" si="132"/>
        <v>0</v>
      </c>
      <c r="BT74" s="299">
        <f t="shared" si="133"/>
        <v>0</v>
      </c>
      <c r="BU74" s="189"/>
      <c r="BV74" s="85">
        <f t="shared" ref="BV74:BV83" si="134">BU74-SUM(BG74,BL74)</f>
        <v>0</v>
      </c>
      <c r="CB74" s="357"/>
    </row>
    <row r="75" spans="1:80" s="88" customFormat="1" ht="14.4" thickBot="1" x14ac:dyDescent="0.3">
      <c r="A75" s="1">
        <v>32</v>
      </c>
      <c r="B75" s="1"/>
      <c r="C75" s="256" t="s">
        <v>21</v>
      </c>
      <c r="D75" s="257">
        <v>1533</v>
      </c>
      <c r="E75" s="217"/>
      <c r="F75" s="186"/>
      <c r="G75" s="102"/>
      <c r="H75" s="102"/>
      <c r="I75" s="91">
        <f t="shared" si="108"/>
        <v>0</v>
      </c>
      <c r="J75" s="186"/>
      <c r="K75" s="186"/>
      <c r="L75" s="186"/>
      <c r="M75" s="102"/>
      <c r="N75" s="92">
        <f t="shared" si="109"/>
        <v>0</v>
      </c>
      <c r="O75" s="93">
        <f t="shared" si="110"/>
        <v>0</v>
      </c>
      <c r="P75" s="188"/>
      <c r="Q75" s="90"/>
      <c r="R75" s="188"/>
      <c r="S75" s="91">
        <f t="shared" si="111"/>
        <v>0</v>
      </c>
      <c r="T75" s="94">
        <f t="shared" si="112"/>
        <v>0</v>
      </c>
      <c r="U75" s="188"/>
      <c r="V75" s="90"/>
      <c r="W75" s="90"/>
      <c r="X75" s="92">
        <f t="shared" si="113"/>
        <v>0</v>
      </c>
      <c r="Y75" s="93">
        <f t="shared" si="114"/>
        <v>0</v>
      </c>
      <c r="Z75" s="188"/>
      <c r="AA75" s="90"/>
      <c r="AB75" s="90"/>
      <c r="AC75" s="91">
        <f t="shared" si="115"/>
        <v>0</v>
      </c>
      <c r="AD75" s="94">
        <f t="shared" si="116"/>
        <v>0</v>
      </c>
      <c r="AE75" s="188"/>
      <c r="AF75" s="90"/>
      <c r="AG75" s="102"/>
      <c r="AH75" s="92">
        <f t="shared" si="117"/>
        <v>0</v>
      </c>
      <c r="AI75" s="93">
        <f t="shared" si="118"/>
        <v>0</v>
      </c>
      <c r="AJ75" s="188"/>
      <c r="AK75" s="188"/>
      <c r="AL75" s="188"/>
      <c r="AM75" s="91">
        <f t="shared" si="119"/>
        <v>0</v>
      </c>
      <c r="AN75" s="94">
        <f t="shared" si="120"/>
        <v>0</v>
      </c>
      <c r="AO75" s="188"/>
      <c r="AP75" s="90"/>
      <c r="AQ75" s="102"/>
      <c r="AR75" s="92">
        <f t="shared" si="121"/>
        <v>0</v>
      </c>
      <c r="AS75" s="93">
        <f t="shared" si="122"/>
        <v>0</v>
      </c>
      <c r="AT75" s="188"/>
      <c r="AU75" s="90"/>
      <c r="AV75" s="90"/>
      <c r="AW75" s="91">
        <f t="shared" si="123"/>
        <v>0</v>
      </c>
      <c r="AX75" s="94">
        <f t="shared" si="124"/>
        <v>0</v>
      </c>
      <c r="AY75" s="188"/>
      <c r="AZ75" s="90"/>
      <c r="BA75" s="102"/>
      <c r="BB75" s="92">
        <f t="shared" si="125"/>
        <v>0</v>
      </c>
      <c r="BC75" s="93">
        <f t="shared" si="126"/>
        <v>0</v>
      </c>
      <c r="BD75" s="188"/>
      <c r="BE75" s="90"/>
      <c r="BF75" s="90"/>
      <c r="BG75" s="91">
        <f t="shared" si="127"/>
        <v>0</v>
      </c>
      <c r="BH75" s="94">
        <f t="shared" si="128"/>
        <v>0</v>
      </c>
      <c r="BI75" s="188"/>
      <c r="BJ75" s="90"/>
      <c r="BK75" s="102"/>
      <c r="BL75" s="92">
        <f t="shared" si="129"/>
        <v>0</v>
      </c>
      <c r="BM75" s="90"/>
      <c r="BN75" s="90"/>
      <c r="BO75" s="94">
        <f t="shared" si="130"/>
        <v>0</v>
      </c>
      <c r="BP75" s="95">
        <f t="shared" si="131"/>
        <v>0</v>
      </c>
      <c r="BQ75" s="96"/>
      <c r="BR75" s="188"/>
      <c r="BS75" s="266">
        <f t="shared" si="132"/>
        <v>0</v>
      </c>
      <c r="BT75" s="299">
        <f t="shared" si="133"/>
        <v>0</v>
      </c>
      <c r="BU75" s="189"/>
      <c r="BV75" s="85">
        <f t="shared" si="134"/>
        <v>0</v>
      </c>
      <c r="CB75" s="357"/>
    </row>
    <row r="76" spans="1:80" s="88" customFormat="1" ht="14.4" thickBot="1" x14ac:dyDescent="0.3">
      <c r="A76" s="1">
        <v>33</v>
      </c>
      <c r="B76" s="1"/>
      <c r="C76" s="272" t="s">
        <v>13</v>
      </c>
      <c r="D76" s="257">
        <v>1534</v>
      </c>
      <c r="E76" s="217"/>
      <c r="F76" s="186"/>
      <c r="G76" s="102"/>
      <c r="H76" s="102"/>
      <c r="I76" s="91">
        <f t="shared" si="108"/>
        <v>0</v>
      </c>
      <c r="J76" s="186"/>
      <c r="K76" s="186"/>
      <c r="L76" s="186"/>
      <c r="M76" s="102"/>
      <c r="N76" s="92">
        <f t="shared" si="109"/>
        <v>0</v>
      </c>
      <c r="O76" s="93">
        <f t="shared" si="110"/>
        <v>0</v>
      </c>
      <c r="P76" s="188"/>
      <c r="Q76" s="90"/>
      <c r="R76" s="188"/>
      <c r="S76" s="91">
        <f t="shared" si="111"/>
        <v>0</v>
      </c>
      <c r="T76" s="94">
        <f t="shared" si="112"/>
        <v>0</v>
      </c>
      <c r="U76" s="188"/>
      <c r="V76" s="90"/>
      <c r="W76" s="90"/>
      <c r="X76" s="92">
        <f t="shared" si="113"/>
        <v>0</v>
      </c>
      <c r="Y76" s="93">
        <f t="shared" si="114"/>
        <v>0</v>
      </c>
      <c r="Z76" s="188"/>
      <c r="AA76" s="90"/>
      <c r="AB76" s="90"/>
      <c r="AC76" s="91">
        <f t="shared" si="115"/>
        <v>0</v>
      </c>
      <c r="AD76" s="94">
        <f t="shared" si="116"/>
        <v>0</v>
      </c>
      <c r="AE76" s="188"/>
      <c r="AF76" s="90"/>
      <c r="AG76" s="102"/>
      <c r="AH76" s="92">
        <f t="shared" si="117"/>
        <v>0</v>
      </c>
      <c r="AI76" s="93">
        <f t="shared" si="118"/>
        <v>0</v>
      </c>
      <c r="AJ76" s="188"/>
      <c r="AK76" s="188"/>
      <c r="AL76" s="188"/>
      <c r="AM76" s="91">
        <f t="shared" si="119"/>
        <v>0</v>
      </c>
      <c r="AN76" s="94">
        <f t="shared" si="120"/>
        <v>0</v>
      </c>
      <c r="AO76" s="188"/>
      <c r="AP76" s="90"/>
      <c r="AQ76" s="102"/>
      <c r="AR76" s="92">
        <f t="shared" si="121"/>
        <v>0</v>
      </c>
      <c r="AS76" s="93">
        <f t="shared" si="122"/>
        <v>0</v>
      </c>
      <c r="AT76" s="188"/>
      <c r="AU76" s="90"/>
      <c r="AV76" s="90"/>
      <c r="AW76" s="91">
        <f t="shared" si="123"/>
        <v>0</v>
      </c>
      <c r="AX76" s="94">
        <f t="shared" si="124"/>
        <v>0</v>
      </c>
      <c r="AY76" s="188"/>
      <c r="AZ76" s="90"/>
      <c r="BA76" s="102"/>
      <c r="BB76" s="92">
        <f t="shared" si="125"/>
        <v>0</v>
      </c>
      <c r="BC76" s="93">
        <f t="shared" si="126"/>
        <v>0</v>
      </c>
      <c r="BD76" s="188"/>
      <c r="BE76" s="90"/>
      <c r="BF76" s="90"/>
      <c r="BG76" s="91">
        <f t="shared" si="127"/>
        <v>0</v>
      </c>
      <c r="BH76" s="94">
        <f t="shared" si="128"/>
        <v>0</v>
      </c>
      <c r="BI76" s="188"/>
      <c r="BJ76" s="90"/>
      <c r="BK76" s="102"/>
      <c r="BL76" s="92">
        <f t="shared" si="129"/>
        <v>0</v>
      </c>
      <c r="BM76" s="90"/>
      <c r="BN76" s="90"/>
      <c r="BO76" s="94">
        <f t="shared" si="130"/>
        <v>0</v>
      </c>
      <c r="BP76" s="95">
        <f t="shared" si="131"/>
        <v>0</v>
      </c>
      <c r="BQ76" s="96"/>
      <c r="BR76" s="188"/>
      <c r="BS76" s="266">
        <f t="shared" si="132"/>
        <v>0</v>
      </c>
      <c r="BT76" s="299">
        <f t="shared" si="133"/>
        <v>0</v>
      </c>
      <c r="BU76" s="189"/>
      <c r="BV76" s="85">
        <f t="shared" si="134"/>
        <v>0</v>
      </c>
      <c r="CB76" s="357"/>
    </row>
    <row r="77" spans="1:80" s="88" customFormat="1" ht="14.4" thickBot="1" x14ac:dyDescent="0.3">
      <c r="A77" s="1">
        <v>34</v>
      </c>
      <c r="B77" s="1"/>
      <c r="C77" s="272" t="s">
        <v>14</v>
      </c>
      <c r="D77" s="257">
        <v>1535</v>
      </c>
      <c r="E77" s="217"/>
      <c r="F77" s="186"/>
      <c r="G77" s="102"/>
      <c r="H77" s="102"/>
      <c r="I77" s="91">
        <f t="shared" si="108"/>
        <v>0</v>
      </c>
      <c r="J77" s="186"/>
      <c r="K77" s="186"/>
      <c r="L77" s="186"/>
      <c r="M77" s="102"/>
      <c r="N77" s="92">
        <f t="shared" si="109"/>
        <v>0</v>
      </c>
      <c r="O77" s="93">
        <f t="shared" si="110"/>
        <v>0</v>
      </c>
      <c r="P77" s="239"/>
      <c r="Q77" s="90"/>
      <c r="R77" s="188"/>
      <c r="S77" s="91">
        <f t="shared" si="111"/>
        <v>0</v>
      </c>
      <c r="T77" s="94">
        <f t="shared" si="112"/>
        <v>0</v>
      </c>
      <c r="U77" s="242"/>
      <c r="V77" s="90"/>
      <c r="W77" s="90"/>
      <c r="X77" s="92">
        <f t="shared" si="113"/>
        <v>0</v>
      </c>
      <c r="Y77" s="93">
        <f t="shared" si="114"/>
        <v>0</v>
      </c>
      <c r="Z77" s="188"/>
      <c r="AA77" s="90"/>
      <c r="AB77" s="90"/>
      <c r="AC77" s="91">
        <f t="shared" si="115"/>
        <v>0</v>
      </c>
      <c r="AD77" s="94">
        <f t="shared" si="116"/>
        <v>0</v>
      </c>
      <c r="AE77" s="188"/>
      <c r="AF77" s="90"/>
      <c r="AG77" s="102"/>
      <c r="AH77" s="92">
        <f t="shared" si="117"/>
        <v>0</v>
      </c>
      <c r="AI77" s="93">
        <f t="shared" si="118"/>
        <v>0</v>
      </c>
      <c r="AJ77" s="188"/>
      <c r="AK77" s="188"/>
      <c r="AL77" s="188"/>
      <c r="AM77" s="91">
        <f t="shared" si="119"/>
        <v>0</v>
      </c>
      <c r="AN77" s="94">
        <f t="shared" si="120"/>
        <v>0</v>
      </c>
      <c r="AO77" s="188"/>
      <c r="AP77" s="90"/>
      <c r="AQ77" s="102"/>
      <c r="AR77" s="92">
        <f t="shared" si="121"/>
        <v>0</v>
      </c>
      <c r="AS77" s="93">
        <f t="shared" si="122"/>
        <v>0</v>
      </c>
      <c r="AT77" s="188"/>
      <c r="AU77" s="90"/>
      <c r="AV77" s="90"/>
      <c r="AW77" s="91">
        <f t="shared" si="123"/>
        <v>0</v>
      </c>
      <c r="AX77" s="94">
        <f t="shared" si="124"/>
        <v>0</v>
      </c>
      <c r="AY77" s="188"/>
      <c r="AZ77" s="90"/>
      <c r="BA77" s="102"/>
      <c r="BB77" s="92">
        <f t="shared" si="125"/>
        <v>0</v>
      </c>
      <c r="BC77" s="93">
        <f t="shared" si="126"/>
        <v>0</v>
      </c>
      <c r="BD77" s="188"/>
      <c r="BE77" s="90"/>
      <c r="BF77" s="90"/>
      <c r="BG77" s="91">
        <f t="shared" si="127"/>
        <v>0</v>
      </c>
      <c r="BH77" s="94">
        <f t="shared" si="128"/>
        <v>0</v>
      </c>
      <c r="BI77" s="188"/>
      <c r="BJ77" s="90"/>
      <c r="BK77" s="102"/>
      <c r="BL77" s="92">
        <f t="shared" si="129"/>
        <v>0</v>
      </c>
      <c r="BM77" s="90"/>
      <c r="BN77" s="90"/>
      <c r="BO77" s="94">
        <f t="shared" si="130"/>
        <v>0</v>
      </c>
      <c r="BP77" s="95">
        <f t="shared" si="131"/>
        <v>0</v>
      </c>
      <c r="BQ77" s="96"/>
      <c r="BR77" s="188"/>
      <c r="BS77" s="266">
        <f t="shared" si="132"/>
        <v>0</v>
      </c>
      <c r="BT77" s="299">
        <f t="shared" si="133"/>
        <v>0</v>
      </c>
      <c r="BU77" s="189"/>
      <c r="BV77" s="85">
        <f t="shared" si="134"/>
        <v>0</v>
      </c>
      <c r="CB77" s="357"/>
    </row>
    <row r="78" spans="1:80" s="88" customFormat="1" ht="14.4" thickBot="1" x14ac:dyDescent="0.3">
      <c r="A78" s="1">
        <v>35</v>
      </c>
      <c r="B78" s="1"/>
      <c r="C78" s="272" t="s">
        <v>19</v>
      </c>
      <c r="D78" s="257">
        <v>1536</v>
      </c>
      <c r="E78" s="217"/>
      <c r="F78" s="186"/>
      <c r="G78" s="102"/>
      <c r="H78" s="102"/>
      <c r="I78" s="91">
        <f t="shared" si="108"/>
        <v>0</v>
      </c>
      <c r="J78" s="186"/>
      <c r="K78" s="186"/>
      <c r="L78" s="186"/>
      <c r="M78" s="102"/>
      <c r="N78" s="92">
        <f t="shared" si="109"/>
        <v>0</v>
      </c>
      <c r="O78" s="93">
        <f t="shared" si="110"/>
        <v>0</v>
      </c>
      <c r="P78" s="188"/>
      <c r="Q78" s="90"/>
      <c r="R78" s="188"/>
      <c r="S78" s="91">
        <f t="shared" si="111"/>
        <v>0</v>
      </c>
      <c r="T78" s="94">
        <f t="shared" si="112"/>
        <v>0</v>
      </c>
      <c r="U78" s="188"/>
      <c r="V78" s="90"/>
      <c r="W78" s="90"/>
      <c r="X78" s="92">
        <f t="shared" si="113"/>
        <v>0</v>
      </c>
      <c r="Y78" s="93">
        <f t="shared" si="114"/>
        <v>0</v>
      </c>
      <c r="Z78" s="188"/>
      <c r="AA78" s="90"/>
      <c r="AB78" s="90"/>
      <c r="AC78" s="91">
        <f t="shared" si="115"/>
        <v>0</v>
      </c>
      <c r="AD78" s="94">
        <f t="shared" si="116"/>
        <v>0</v>
      </c>
      <c r="AE78" s="188"/>
      <c r="AF78" s="90"/>
      <c r="AG78" s="102"/>
      <c r="AH78" s="92">
        <f t="shared" si="117"/>
        <v>0</v>
      </c>
      <c r="AI78" s="93">
        <f t="shared" si="118"/>
        <v>0</v>
      </c>
      <c r="AJ78" s="188"/>
      <c r="AK78" s="188"/>
      <c r="AL78" s="188"/>
      <c r="AM78" s="91">
        <f t="shared" si="119"/>
        <v>0</v>
      </c>
      <c r="AN78" s="94">
        <f t="shared" si="120"/>
        <v>0</v>
      </c>
      <c r="AO78" s="188"/>
      <c r="AP78" s="90"/>
      <c r="AQ78" s="102"/>
      <c r="AR78" s="92">
        <f t="shared" si="121"/>
        <v>0</v>
      </c>
      <c r="AS78" s="93">
        <f t="shared" si="122"/>
        <v>0</v>
      </c>
      <c r="AT78" s="188"/>
      <c r="AU78" s="90"/>
      <c r="AV78" s="90"/>
      <c r="AW78" s="91">
        <f t="shared" si="123"/>
        <v>0</v>
      </c>
      <c r="AX78" s="94">
        <f t="shared" si="124"/>
        <v>0</v>
      </c>
      <c r="AY78" s="188"/>
      <c r="AZ78" s="90"/>
      <c r="BA78" s="102"/>
      <c r="BB78" s="92">
        <f t="shared" si="125"/>
        <v>0</v>
      </c>
      <c r="BC78" s="93">
        <f t="shared" si="126"/>
        <v>0</v>
      </c>
      <c r="BD78" s="188"/>
      <c r="BE78" s="90"/>
      <c r="BF78" s="90"/>
      <c r="BG78" s="91">
        <f t="shared" si="127"/>
        <v>0</v>
      </c>
      <c r="BH78" s="94">
        <f t="shared" si="128"/>
        <v>0</v>
      </c>
      <c r="BI78" s="188"/>
      <c r="BJ78" s="90"/>
      <c r="BK78" s="102"/>
      <c r="BL78" s="92">
        <f t="shared" si="129"/>
        <v>0</v>
      </c>
      <c r="BM78" s="90"/>
      <c r="BN78" s="90"/>
      <c r="BO78" s="94">
        <f t="shared" si="130"/>
        <v>0</v>
      </c>
      <c r="BP78" s="95">
        <f t="shared" si="131"/>
        <v>0</v>
      </c>
      <c r="BQ78" s="96"/>
      <c r="BR78" s="188"/>
      <c r="BS78" s="266">
        <f t="shared" si="132"/>
        <v>0</v>
      </c>
      <c r="BT78" s="299">
        <f t="shared" si="133"/>
        <v>0</v>
      </c>
      <c r="BU78" s="189"/>
      <c r="BV78" s="85">
        <f t="shared" si="134"/>
        <v>0</v>
      </c>
      <c r="CB78" s="357"/>
    </row>
    <row r="79" spans="1:80" s="88" customFormat="1" ht="16.8" thickBot="1" x14ac:dyDescent="0.3">
      <c r="A79" s="1">
        <v>36</v>
      </c>
      <c r="B79" s="1"/>
      <c r="C79" s="272" t="s">
        <v>228</v>
      </c>
      <c r="D79" s="257">
        <v>1555</v>
      </c>
      <c r="E79" s="183"/>
      <c r="F79" s="186"/>
      <c r="G79" s="102"/>
      <c r="H79" s="102"/>
      <c r="I79" s="91">
        <f t="shared" si="108"/>
        <v>0</v>
      </c>
      <c r="J79" s="186"/>
      <c r="K79" s="188"/>
      <c r="L79" s="188"/>
      <c r="M79" s="90"/>
      <c r="N79" s="92">
        <f t="shared" si="109"/>
        <v>0</v>
      </c>
      <c r="O79" s="93">
        <f t="shared" si="110"/>
        <v>0</v>
      </c>
      <c r="P79" s="188"/>
      <c r="Q79" s="90"/>
      <c r="R79" s="90"/>
      <c r="S79" s="91">
        <f t="shared" si="111"/>
        <v>0</v>
      </c>
      <c r="T79" s="94">
        <f t="shared" si="112"/>
        <v>0</v>
      </c>
      <c r="U79" s="188"/>
      <c r="V79" s="103"/>
      <c r="W79" s="103"/>
      <c r="X79" s="92">
        <f t="shared" si="113"/>
        <v>0</v>
      </c>
      <c r="Y79" s="93">
        <f t="shared" si="114"/>
        <v>0</v>
      </c>
      <c r="Z79" s="188"/>
      <c r="AA79" s="90"/>
      <c r="AB79" s="90"/>
      <c r="AC79" s="91">
        <f t="shared" si="115"/>
        <v>0</v>
      </c>
      <c r="AD79" s="94">
        <f t="shared" si="116"/>
        <v>0</v>
      </c>
      <c r="AE79" s="188"/>
      <c r="AF79" s="103"/>
      <c r="AG79" s="103"/>
      <c r="AH79" s="92">
        <f t="shared" si="117"/>
        <v>0</v>
      </c>
      <c r="AI79" s="93">
        <f t="shared" si="118"/>
        <v>0</v>
      </c>
      <c r="AJ79" s="188"/>
      <c r="AK79" s="188"/>
      <c r="AL79" s="188"/>
      <c r="AM79" s="91">
        <f t="shared" si="119"/>
        <v>0</v>
      </c>
      <c r="AN79" s="94">
        <f t="shared" si="120"/>
        <v>0</v>
      </c>
      <c r="AO79" s="188"/>
      <c r="AP79" s="103"/>
      <c r="AQ79" s="103"/>
      <c r="AR79" s="92">
        <f t="shared" si="121"/>
        <v>0</v>
      </c>
      <c r="AS79" s="93">
        <f t="shared" si="122"/>
        <v>0</v>
      </c>
      <c r="AT79" s="188"/>
      <c r="AU79" s="90"/>
      <c r="AV79" s="90"/>
      <c r="AW79" s="91">
        <f t="shared" si="123"/>
        <v>0</v>
      </c>
      <c r="AX79" s="94">
        <f t="shared" si="124"/>
        <v>0</v>
      </c>
      <c r="AY79" s="188"/>
      <c r="AZ79" s="103"/>
      <c r="BA79" s="103"/>
      <c r="BB79" s="92">
        <f t="shared" si="125"/>
        <v>0</v>
      </c>
      <c r="BC79" s="93">
        <f t="shared" si="126"/>
        <v>0</v>
      </c>
      <c r="BD79" s="188"/>
      <c r="BE79" s="90"/>
      <c r="BF79" s="90"/>
      <c r="BG79" s="91">
        <f t="shared" si="127"/>
        <v>0</v>
      </c>
      <c r="BH79" s="94">
        <f t="shared" si="128"/>
        <v>0</v>
      </c>
      <c r="BI79" s="188"/>
      <c r="BJ79" s="103"/>
      <c r="BK79" s="103"/>
      <c r="BL79" s="92">
        <f t="shared" si="129"/>
        <v>0</v>
      </c>
      <c r="BM79" s="89"/>
      <c r="BN79" s="90"/>
      <c r="BO79" s="94">
        <f t="shared" si="130"/>
        <v>0</v>
      </c>
      <c r="BP79" s="95">
        <f t="shared" si="131"/>
        <v>0</v>
      </c>
      <c r="BQ79" s="96"/>
      <c r="BR79" s="188"/>
      <c r="BS79" s="266">
        <f t="shared" si="132"/>
        <v>0</v>
      </c>
      <c r="BT79" s="299">
        <f t="shared" si="31"/>
        <v>0</v>
      </c>
      <c r="BU79" s="189"/>
      <c r="BV79" s="85">
        <f t="shared" si="134"/>
        <v>0</v>
      </c>
      <c r="CB79" s="357"/>
    </row>
    <row r="80" spans="1:80" s="88" customFormat="1" ht="16.8" thickBot="1" x14ac:dyDescent="0.3">
      <c r="A80" s="1">
        <v>37</v>
      </c>
      <c r="B80" s="1"/>
      <c r="C80" s="272" t="s">
        <v>230</v>
      </c>
      <c r="D80" s="257">
        <v>1555</v>
      </c>
      <c r="E80" s="214"/>
      <c r="F80" s="213"/>
      <c r="G80" s="102"/>
      <c r="H80" s="102"/>
      <c r="I80" s="91">
        <f t="shared" si="108"/>
        <v>0</v>
      </c>
      <c r="J80" s="186"/>
      <c r="K80" s="188"/>
      <c r="L80" s="188"/>
      <c r="M80" s="90"/>
      <c r="N80" s="92">
        <f t="shared" si="109"/>
        <v>0</v>
      </c>
      <c r="O80" s="93">
        <f t="shared" si="110"/>
        <v>0</v>
      </c>
      <c r="P80" s="188"/>
      <c r="Q80" s="90"/>
      <c r="R80" s="90"/>
      <c r="S80" s="91">
        <f t="shared" si="111"/>
        <v>0</v>
      </c>
      <c r="T80" s="94">
        <f t="shared" si="112"/>
        <v>0</v>
      </c>
      <c r="U80" s="188"/>
      <c r="V80" s="103"/>
      <c r="W80" s="103"/>
      <c r="X80" s="92">
        <f t="shared" si="113"/>
        <v>0</v>
      </c>
      <c r="Y80" s="93">
        <f t="shared" si="114"/>
        <v>0</v>
      </c>
      <c r="Z80" s="188"/>
      <c r="AA80" s="90"/>
      <c r="AB80" s="90"/>
      <c r="AC80" s="91">
        <f t="shared" si="115"/>
        <v>0</v>
      </c>
      <c r="AD80" s="94">
        <f t="shared" si="116"/>
        <v>0</v>
      </c>
      <c r="AE80" s="188"/>
      <c r="AF80" s="103"/>
      <c r="AG80" s="103"/>
      <c r="AH80" s="92">
        <f t="shared" si="117"/>
        <v>0</v>
      </c>
      <c r="AI80" s="93">
        <f t="shared" si="118"/>
        <v>0</v>
      </c>
      <c r="AJ80" s="188"/>
      <c r="AK80" s="188"/>
      <c r="AL80" s="188"/>
      <c r="AM80" s="91">
        <f t="shared" si="119"/>
        <v>0</v>
      </c>
      <c r="AN80" s="94">
        <f t="shared" si="120"/>
        <v>0</v>
      </c>
      <c r="AO80" s="188"/>
      <c r="AP80" s="103"/>
      <c r="AQ80" s="103"/>
      <c r="AR80" s="92">
        <f t="shared" si="121"/>
        <v>0</v>
      </c>
      <c r="AS80" s="93">
        <f t="shared" si="122"/>
        <v>0</v>
      </c>
      <c r="AT80" s="188"/>
      <c r="AU80" s="90"/>
      <c r="AV80" s="90"/>
      <c r="AW80" s="91">
        <f t="shared" si="123"/>
        <v>0</v>
      </c>
      <c r="AX80" s="94">
        <f t="shared" si="124"/>
        <v>0</v>
      </c>
      <c r="AY80" s="188"/>
      <c r="AZ80" s="103"/>
      <c r="BA80" s="103"/>
      <c r="BB80" s="92">
        <f t="shared" si="125"/>
        <v>0</v>
      </c>
      <c r="BC80" s="93">
        <f t="shared" si="126"/>
        <v>0</v>
      </c>
      <c r="BD80" s="188"/>
      <c r="BE80" s="90"/>
      <c r="BF80" s="90"/>
      <c r="BG80" s="91">
        <f t="shared" si="127"/>
        <v>0</v>
      </c>
      <c r="BH80" s="94">
        <f t="shared" si="128"/>
        <v>0</v>
      </c>
      <c r="BI80" s="90"/>
      <c r="BJ80" s="103"/>
      <c r="BK80" s="103"/>
      <c r="BL80" s="92">
        <f t="shared" si="129"/>
        <v>0</v>
      </c>
      <c r="BM80" s="89"/>
      <c r="BN80" s="90"/>
      <c r="BO80" s="94">
        <f t="shared" si="130"/>
        <v>0</v>
      </c>
      <c r="BP80" s="95">
        <f t="shared" si="131"/>
        <v>0</v>
      </c>
      <c r="BQ80" s="96"/>
      <c r="BR80" s="188"/>
      <c r="BS80" s="266">
        <f t="shared" si="132"/>
        <v>0</v>
      </c>
      <c r="BT80" s="299">
        <f t="shared" si="31"/>
        <v>0</v>
      </c>
      <c r="BU80" s="189"/>
      <c r="BV80" s="85">
        <f t="shared" si="134"/>
        <v>0</v>
      </c>
      <c r="CB80" s="357"/>
    </row>
    <row r="81" spans="1:80" s="88" customFormat="1" ht="16.8" thickBot="1" x14ac:dyDescent="0.3">
      <c r="A81" s="1">
        <v>38</v>
      </c>
      <c r="B81" s="1"/>
      <c r="C81" s="272" t="s">
        <v>229</v>
      </c>
      <c r="D81" s="257">
        <v>1555</v>
      </c>
      <c r="E81" s="214"/>
      <c r="F81" s="213"/>
      <c r="G81" s="102"/>
      <c r="H81" s="102"/>
      <c r="I81" s="91">
        <f t="shared" si="108"/>
        <v>0</v>
      </c>
      <c r="J81" s="186"/>
      <c r="K81" s="188"/>
      <c r="L81" s="188"/>
      <c r="M81" s="90"/>
      <c r="N81" s="92">
        <f t="shared" si="109"/>
        <v>0</v>
      </c>
      <c r="O81" s="93">
        <f t="shared" si="110"/>
        <v>0</v>
      </c>
      <c r="P81" s="188">
        <v>376850</v>
      </c>
      <c r="Q81" s="90"/>
      <c r="R81" s="90"/>
      <c r="S81" s="91">
        <f t="shared" si="111"/>
        <v>376850</v>
      </c>
      <c r="T81" s="94">
        <f t="shared" si="112"/>
        <v>0</v>
      </c>
      <c r="U81" s="188"/>
      <c r="V81" s="90"/>
      <c r="W81" s="90"/>
      <c r="X81" s="92">
        <f t="shared" si="113"/>
        <v>0</v>
      </c>
      <c r="Y81" s="93">
        <f t="shared" si="114"/>
        <v>376850</v>
      </c>
      <c r="Z81" s="188">
        <v>-42532</v>
      </c>
      <c r="AA81" s="90"/>
      <c r="AB81" s="90"/>
      <c r="AC81" s="91">
        <f t="shared" si="115"/>
        <v>334318</v>
      </c>
      <c r="AD81" s="94">
        <f t="shared" si="116"/>
        <v>0</v>
      </c>
      <c r="AE81" s="188"/>
      <c r="AF81" s="90"/>
      <c r="AG81" s="90"/>
      <c r="AH81" s="92">
        <f t="shared" si="117"/>
        <v>0</v>
      </c>
      <c r="AI81" s="93">
        <f t="shared" si="118"/>
        <v>334318</v>
      </c>
      <c r="AJ81" s="188">
        <v>-119987</v>
      </c>
      <c r="AK81" s="188"/>
      <c r="AL81" s="188"/>
      <c r="AM81" s="91">
        <f t="shared" si="119"/>
        <v>214331</v>
      </c>
      <c r="AN81" s="94">
        <f t="shared" si="120"/>
        <v>0</v>
      </c>
      <c r="AO81" s="90">
        <v>2369</v>
      </c>
      <c r="AP81" s="90"/>
      <c r="AQ81" s="90"/>
      <c r="AR81" s="92">
        <f t="shared" si="121"/>
        <v>2369</v>
      </c>
      <c r="AS81" s="93">
        <f t="shared" si="122"/>
        <v>214331</v>
      </c>
      <c r="AT81" s="188">
        <v>-185144</v>
      </c>
      <c r="AU81" s="90"/>
      <c r="AV81" s="90"/>
      <c r="AW81" s="91">
        <f t="shared" si="123"/>
        <v>29187</v>
      </c>
      <c r="AX81" s="94">
        <f t="shared" si="124"/>
        <v>2369</v>
      </c>
      <c r="AY81" s="188">
        <v>1903</v>
      </c>
      <c r="AZ81" s="90"/>
      <c r="BA81" s="90"/>
      <c r="BB81" s="92">
        <f t="shared" si="125"/>
        <v>4272</v>
      </c>
      <c r="BC81" s="93">
        <f t="shared" si="126"/>
        <v>29187</v>
      </c>
      <c r="BD81" s="188">
        <v>-78805</v>
      </c>
      <c r="BE81" s="90"/>
      <c r="BF81" s="90"/>
      <c r="BG81" s="91">
        <f t="shared" si="127"/>
        <v>-49618</v>
      </c>
      <c r="BH81" s="94">
        <f t="shared" si="128"/>
        <v>4272</v>
      </c>
      <c r="BI81" s="90">
        <v>-319</v>
      </c>
      <c r="BJ81" s="90"/>
      <c r="BK81" s="90"/>
      <c r="BL81" s="92">
        <f t="shared" si="129"/>
        <v>3953</v>
      </c>
      <c r="BM81" s="89">
        <v>0</v>
      </c>
      <c r="BN81" s="90"/>
      <c r="BO81" s="94">
        <f t="shared" si="130"/>
        <v>-49618</v>
      </c>
      <c r="BP81" s="95">
        <f t="shared" si="131"/>
        <v>3953</v>
      </c>
      <c r="BQ81" s="96">
        <v>0</v>
      </c>
      <c r="BR81" s="188"/>
      <c r="BS81" s="266">
        <f t="shared" si="132"/>
        <v>3953</v>
      </c>
      <c r="BT81" s="299">
        <f t="shared" si="31"/>
        <v>-45665</v>
      </c>
      <c r="BU81" s="189">
        <v>-45665.29000000003</v>
      </c>
      <c r="BV81" s="85">
        <f t="shared" si="134"/>
        <v>-0.29000000002997695</v>
      </c>
      <c r="CB81" s="357"/>
    </row>
    <row r="82" spans="1:80" s="88" customFormat="1" ht="16.8" thickBot="1" x14ac:dyDescent="0.3">
      <c r="A82" s="1">
        <v>39</v>
      </c>
      <c r="B82" s="1"/>
      <c r="C82" s="272" t="s">
        <v>231</v>
      </c>
      <c r="D82" s="257">
        <v>1556</v>
      </c>
      <c r="E82" s="214"/>
      <c r="F82" s="213"/>
      <c r="G82" s="102"/>
      <c r="H82" s="102"/>
      <c r="I82" s="91">
        <f t="shared" si="108"/>
        <v>0</v>
      </c>
      <c r="J82" s="220"/>
      <c r="K82" s="221"/>
      <c r="L82" s="186"/>
      <c r="M82" s="102"/>
      <c r="N82" s="92">
        <f t="shared" si="109"/>
        <v>0</v>
      </c>
      <c r="O82" s="106">
        <f t="shared" si="110"/>
        <v>0</v>
      </c>
      <c r="P82" s="240"/>
      <c r="Q82" s="102"/>
      <c r="R82" s="102"/>
      <c r="S82" s="91">
        <f t="shared" si="111"/>
        <v>0</v>
      </c>
      <c r="T82" s="107">
        <f t="shared" si="112"/>
        <v>0</v>
      </c>
      <c r="U82" s="244"/>
      <c r="V82" s="102"/>
      <c r="W82" s="102"/>
      <c r="X82" s="92">
        <f t="shared" si="113"/>
        <v>0</v>
      </c>
      <c r="Y82" s="106">
        <f t="shared" si="114"/>
        <v>0</v>
      </c>
      <c r="Z82" s="186"/>
      <c r="AA82" s="102"/>
      <c r="AB82" s="102"/>
      <c r="AC82" s="91">
        <f t="shared" si="115"/>
        <v>0</v>
      </c>
      <c r="AD82" s="107">
        <f t="shared" si="116"/>
        <v>0</v>
      </c>
      <c r="AE82" s="186"/>
      <c r="AF82" s="102"/>
      <c r="AG82" s="102"/>
      <c r="AH82" s="92">
        <f t="shared" si="117"/>
        <v>0</v>
      </c>
      <c r="AI82" s="106">
        <f t="shared" si="118"/>
        <v>0</v>
      </c>
      <c r="AJ82" s="186"/>
      <c r="AK82" s="186"/>
      <c r="AL82" s="186"/>
      <c r="AM82" s="91">
        <f t="shared" si="119"/>
        <v>0</v>
      </c>
      <c r="AN82" s="107">
        <f t="shared" si="120"/>
        <v>0</v>
      </c>
      <c r="AO82" s="102"/>
      <c r="AP82" s="102"/>
      <c r="AQ82" s="102"/>
      <c r="AR82" s="92">
        <f t="shared" si="121"/>
        <v>0</v>
      </c>
      <c r="AS82" s="106">
        <f t="shared" si="122"/>
        <v>0</v>
      </c>
      <c r="AT82" s="186"/>
      <c r="AU82" s="102"/>
      <c r="AV82" s="102"/>
      <c r="AW82" s="91">
        <f t="shared" si="123"/>
        <v>0</v>
      </c>
      <c r="AX82" s="107">
        <f t="shared" si="124"/>
        <v>0</v>
      </c>
      <c r="AY82" s="186"/>
      <c r="AZ82" s="102"/>
      <c r="BA82" s="102"/>
      <c r="BB82" s="92">
        <f t="shared" si="125"/>
        <v>0</v>
      </c>
      <c r="BC82" s="106">
        <f t="shared" si="126"/>
        <v>0</v>
      </c>
      <c r="BD82" s="188"/>
      <c r="BE82" s="102"/>
      <c r="BF82" s="102"/>
      <c r="BG82" s="91">
        <f t="shared" si="127"/>
        <v>0</v>
      </c>
      <c r="BH82" s="107">
        <f t="shared" si="128"/>
        <v>0</v>
      </c>
      <c r="BI82" s="102"/>
      <c r="BJ82" s="102"/>
      <c r="BK82" s="102"/>
      <c r="BL82" s="92">
        <f t="shared" si="129"/>
        <v>0</v>
      </c>
      <c r="BM82" s="101"/>
      <c r="BN82" s="102"/>
      <c r="BO82" s="94">
        <f t="shared" si="130"/>
        <v>0</v>
      </c>
      <c r="BP82" s="95">
        <f t="shared" si="131"/>
        <v>0</v>
      </c>
      <c r="BQ82" s="96"/>
      <c r="BR82" s="188"/>
      <c r="BS82" s="266">
        <f t="shared" si="132"/>
        <v>0</v>
      </c>
      <c r="BT82" s="299">
        <f t="shared" si="31"/>
        <v>0</v>
      </c>
      <c r="BU82" s="189"/>
      <c r="BV82" s="85">
        <f t="shared" si="134"/>
        <v>0</v>
      </c>
      <c r="CB82" s="357"/>
    </row>
    <row r="83" spans="1:80" s="88" customFormat="1" ht="16.8" thickBot="1" x14ac:dyDescent="0.3">
      <c r="A83" s="1">
        <v>40</v>
      </c>
      <c r="B83" s="1"/>
      <c r="C83" s="272" t="s">
        <v>331</v>
      </c>
      <c r="D83" s="257">
        <v>1557</v>
      </c>
      <c r="E83" s="260"/>
      <c r="F83" s="100"/>
      <c r="G83" s="100"/>
      <c r="H83" s="100"/>
      <c r="I83" s="91"/>
      <c r="J83" s="261"/>
      <c r="K83" s="100"/>
      <c r="L83" s="100"/>
      <c r="M83" s="100"/>
      <c r="N83" s="92"/>
      <c r="O83" s="93"/>
      <c r="P83" s="100"/>
      <c r="Q83" s="100"/>
      <c r="R83" s="100"/>
      <c r="S83" s="91"/>
      <c r="T83" s="94"/>
      <c r="U83" s="100"/>
      <c r="V83" s="100"/>
      <c r="W83" s="100"/>
      <c r="X83" s="92"/>
      <c r="Y83" s="93"/>
      <c r="Z83" s="100"/>
      <c r="AA83" s="100"/>
      <c r="AB83" s="100"/>
      <c r="AC83" s="91"/>
      <c r="AD83" s="94"/>
      <c r="AE83" s="100"/>
      <c r="AF83" s="100"/>
      <c r="AG83" s="100"/>
      <c r="AH83" s="92"/>
      <c r="AI83" s="93"/>
      <c r="AJ83" s="100"/>
      <c r="AK83" s="100"/>
      <c r="AL83" s="100"/>
      <c r="AM83" s="91"/>
      <c r="AN83" s="94"/>
      <c r="AO83" s="100"/>
      <c r="AP83" s="100"/>
      <c r="AQ83" s="100"/>
      <c r="AR83" s="92"/>
      <c r="AS83" s="93">
        <f t="shared" si="122"/>
        <v>0</v>
      </c>
      <c r="AT83" s="188"/>
      <c r="AU83" s="188"/>
      <c r="AV83" s="188"/>
      <c r="AW83" s="91">
        <f t="shared" si="123"/>
        <v>0</v>
      </c>
      <c r="AX83" s="94">
        <f t="shared" si="124"/>
        <v>0</v>
      </c>
      <c r="AY83" s="188"/>
      <c r="AZ83" s="186"/>
      <c r="BA83" s="186"/>
      <c r="BB83" s="92">
        <f t="shared" si="125"/>
        <v>0</v>
      </c>
      <c r="BC83" s="93">
        <f t="shared" si="126"/>
        <v>0</v>
      </c>
      <c r="BD83" s="188"/>
      <c r="BE83" s="188"/>
      <c r="BF83" s="188"/>
      <c r="BG83" s="91">
        <f t="shared" si="127"/>
        <v>0</v>
      </c>
      <c r="BH83" s="94">
        <f t="shared" si="128"/>
        <v>0</v>
      </c>
      <c r="BI83" s="188"/>
      <c r="BJ83" s="186"/>
      <c r="BK83" s="186"/>
      <c r="BL83" s="92">
        <f t="shared" si="129"/>
        <v>0</v>
      </c>
      <c r="BM83" s="89"/>
      <c r="BN83" s="188"/>
      <c r="BO83" s="94">
        <f t="shared" si="130"/>
        <v>0</v>
      </c>
      <c r="BP83" s="95">
        <f t="shared" si="131"/>
        <v>0</v>
      </c>
      <c r="BQ83" s="96"/>
      <c r="BR83" s="188"/>
      <c r="BS83" s="266">
        <f t="shared" si="132"/>
        <v>0</v>
      </c>
      <c r="BT83" s="299">
        <f t="shared" si="31"/>
        <v>0</v>
      </c>
      <c r="BU83" s="189"/>
      <c r="BV83" s="85">
        <f t="shared" si="134"/>
        <v>0</v>
      </c>
      <c r="CB83" s="357"/>
    </row>
    <row r="84" spans="1:80" s="88" customFormat="1" ht="14.4" thickBot="1" x14ac:dyDescent="0.3">
      <c r="A84" s="1"/>
      <c r="B84" s="1"/>
      <c r="C84" s="272"/>
      <c r="D84" s="257"/>
      <c r="E84" s="111"/>
      <c r="F84" s="91"/>
      <c r="G84" s="91"/>
      <c r="H84" s="91"/>
      <c r="I84" s="91"/>
      <c r="J84" s="91"/>
      <c r="K84" s="91"/>
      <c r="L84" s="91"/>
      <c r="M84" s="91"/>
      <c r="N84" s="91"/>
      <c r="O84" s="98"/>
      <c r="P84" s="91"/>
      <c r="Q84" s="91"/>
      <c r="R84" s="91"/>
      <c r="S84" s="91"/>
      <c r="T84" s="91"/>
      <c r="U84" s="91"/>
      <c r="V84" s="91"/>
      <c r="W84" s="91"/>
      <c r="X84" s="91"/>
      <c r="Y84" s="98"/>
      <c r="Z84" s="91"/>
      <c r="AA84" s="91"/>
      <c r="AB84" s="91"/>
      <c r="AC84" s="91"/>
      <c r="AD84" s="91"/>
      <c r="AE84" s="91"/>
      <c r="AF84" s="91"/>
      <c r="AG84" s="91"/>
      <c r="AH84" s="91"/>
      <c r="AI84" s="98"/>
      <c r="AJ84" s="91"/>
      <c r="AK84" s="91"/>
      <c r="AL84" s="91"/>
      <c r="AM84" s="91"/>
      <c r="AN84" s="91"/>
      <c r="AO84" s="91"/>
      <c r="AP84" s="91"/>
      <c r="AQ84" s="91"/>
      <c r="AR84" s="91"/>
      <c r="AS84" s="98"/>
      <c r="AT84" s="91"/>
      <c r="AU84" s="91"/>
      <c r="AV84" s="91"/>
      <c r="AW84" s="91"/>
      <c r="AX84" s="91"/>
      <c r="AY84" s="91"/>
      <c r="AZ84" s="91"/>
      <c r="BA84" s="91"/>
      <c r="BB84" s="91"/>
      <c r="BC84" s="98"/>
      <c r="BD84" s="91"/>
      <c r="BE84" s="91"/>
      <c r="BF84" s="91"/>
      <c r="BG84" s="91"/>
      <c r="BH84" s="91"/>
      <c r="BI84" s="91"/>
      <c r="BJ84" s="91"/>
      <c r="BK84" s="91"/>
      <c r="BL84" s="91"/>
      <c r="BM84" s="98"/>
      <c r="BN84" s="91"/>
      <c r="BO84" s="91"/>
      <c r="BP84" s="91"/>
      <c r="BQ84" s="98"/>
      <c r="BR84" s="91"/>
      <c r="BS84" s="91"/>
      <c r="BT84" s="68"/>
      <c r="BU84" s="98"/>
      <c r="BV84" s="99"/>
      <c r="CB84" s="357"/>
    </row>
    <row r="85" spans="1:80" s="88" customFormat="1" ht="16.8" thickBot="1" x14ac:dyDescent="0.3">
      <c r="A85" s="1">
        <v>41</v>
      </c>
      <c r="B85" s="1"/>
      <c r="C85" s="283" t="s">
        <v>232</v>
      </c>
      <c r="D85" s="284">
        <v>1575</v>
      </c>
      <c r="E85" s="195"/>
      <c r="F85" s="100"/>
      <c r="G85" s="100"/>
      <c r="H85" s="100"/>
      <c r="I85" s="91"/>
      <c r="J85" s="196"/>
      <c r="K85" s="100"/>
      <c r="L85" s="100"/>
      <c r="M85" s="100"/>
      <c r="N85" s="92"/>
      <c r="O85" s="240"/>
      <c r="P85" s="240"/>
      <c r="Q85" s="186"/>
      <c r="R85" s="186"/>
      <c r="S85" s="91">
        <f>O85+P85-Q85+SUM(R85:R85)</f>
        <v>0</v>
      </c>
      <c r="T85" s="196"/>
      <c r="U85" s="100"/>
      <c r="V85" s="100"/>
      <c r="W85" s="100"/>
      <c r="X85" s="92"/>
      <c r="Y85" s="106">
        <f>S85</f>
        <v>0</v>
      </c>
      <c r="Z85" s="186"/>
      <c r="AA85" s="186"/>
      <c r="AB85" s="186"/>
      <c r="AC85" s="91">
        <f>Y85+Z85-AA85+SUM(AB85:AB85)</f>
        <v>0</v>
      </c>
      <c r="AD85" s="196"/>
      <c r="AE85" s="100"/>
      <c r="AF85" s="100"/>
      <c r="AG85" s="100"/>
      <c r="AH85" s="92"/>
      <c r="AI85" s="93">
        <f t="shared" si="118"/>
        <v>0</v>
      </c>
      <c r="AJ85" s="188"/>
      <c r="AK85" s="188"/>
      <c r="AL85" s="188"/>
      <c r="AM85" s="91">
        <f>AI85+AJ85-AK85+SUM(AL85:AL85)</f>
        <v>0</v>
      </c>
      <c r="AN85" s="196"/>
      <c r="AO85" s="100"/>
      <c r="AP85" s="100"/>
      <c r="AQ85" s="100"/>
      <c r="AR85" s="92"/>
      <c r="AS85" s="197">
        <f>AM85</f>
        <v>0</v>
      </c>
      <c r="AT85" s="188"/>
      <c r="AU85" s="188"/>
      <c r="AV85" s="188"/>
      <c r="AW85" s="91">
        <f>AS85+AT85-AU85+SUM(AV85:AV85)</f>
        <v>0</v>
      </c>
      <c r="AX85" s="196"/>
      <c r="AY85" s="100"/>
      <c r="AZ85" s="100"/>
      <c r="BA85" s="100"/>
      <c r="BB85" s="92"/>
      <c r="BC85" s="197">
        <f>AW85</f>
        <v>0</v>
      </c>
      <c r="BD85" s="188"/>
      <c r="BE85" s="188"/>
      <c r="BF85" s="188"/>
      <c r="BG85" s="91">
        <f>BC85+BD85-BE85+SUM(BF85:BF85)</f>
        <v>0</v>
      </c>
      <c r="BH85" s="196"/>
      <c r="BI85" s="100"/>
      <c r="BJ85" s="100"/>
      <c r="BK85" s="100"/>
      <c r="BL85" s="92"/>
      <c r="BM85" s="89"/>
      <c r="BN85" s="100"/>
      <c r="BO85" s="94">
        <f t="shared" ref="BO85:BO86" si="135">BG85-BM85</f>
        <v>0</v>
      </c>
      <c r="BP85" s="95"/>
      <c r="BQ85" s="100"/>
      <c r="BR85" s="100"/>
      <c r="BS85" s="100"/>
      <c r="BT85" s="299">
        <f>IF(CB85=TRUE, SUM(BO85:BR85), 0)</f>
        <v>0</v>
      </c>
      <c r="BU85" s="108"/>
      <c r="BV85" s="85">
        <f t="shared" ref="BV85:BV86" si="136">BU85-SUM(BG85,BL85)</f>
        <v>0</v>
      </c>
      <c r="CA85" s="69">
        <v>1575</v>
      </c>
      <c r="CB85" s="357" t="b">
        <v>1</v>
      </c>
    </row>
    <row r="86" spans="1:80" s="88" customFormat="1" ht="16.8" thickBot="1" x14ac:dyDescent="0.3">
      <c r="A86" s="1">
        <v>42</v>
      </c>
      <c r="B86" s="1"/>
      <c r="C86" s="283" t="s">
        <v>233</v>
      </c>
      <c r="D86" s="284">
        <v>1576</v>
      </c>
      <c r="E86" s="112"/>
      <c r="F86" s="100"/>
      <c r="G86" s="100"/>
      <c r="H86" s="100"/>
      <c r="I86" s="91"/>
      <c r="J86" s="94"/>
      <c r="K86" s="100"/>
      <c r="L86" s="100"/>
      <c r="M86" s="100"/>
      <c r="N86" s="92"/>
      <c r="O86" s="112"/>
      <c r="P86" s="100"/>
      <c r="Q86" s="100"/>
      <c r="R86" s="100"/>
      <c r="S86" s="91"/>
      <c r="T86" s="94"/>
      <c r="U86" s="100"/>
      <c r="V86" s="100"/>
      <c r="W86" s="100"/>
      <c r="X86" s="92"/>
      <c r="Y86" s="186"/>
      <c r="Z86" s="186"/>
      <c r="AA86" s="186"/>
      <c r="AB86" s="186"/>
      <c r="AC86" s="91">
        <f>Y86+Z86-AA86+SUM(AB86:AB86)</f>
        <v>0</v>
      </c>
      <c r="AD86" s="94"/>
      <c r="AE86" s="100"/>
      <c r="AF86" s="100"/>
      <c r="AG86" s="100"/>
      <c r="AH86" s="92"/>
      <c r="AI86" s="106">
        <f t="shared" si="118"/>
        <v>0</v>
      </c>
      <c r="AJ86" s="186"/>
      <c r="AK86" s="186"/>
      <c r="AL86" s="186"/>
      <c r="AM86" s="91">
        <f>AI86+AJ86-AK86+SUM(AL86:AL86)</f>
        <v>0</v>
      </c>
      <c r="AN86" s="94"/>
      <c r="AO86" s="100"/>
      <c r="AP86" s="100"/>
      <c r="AQ86" s="100"/>
      <c r="AR86" s="92"/>
      <c r="AS86" s="93">
        <f>AM86</f>
        <v>0</v>
      </c>
      <c r="AT86" s="186"/>
      <c r="AU86" s="186"/>
      <c r="AV86" s="186"/>
      <c r="AW86" s="91">
        <f>AS86+AT86-AU86+SUM(AV86:AV86)</f>
        <v>0</v>
      </c>
      <c r="AX86" s="94"/>
      <c r="AY86" s="100"/>
      <c r="AZ86" s="100"/>
      <c r="BA86" s="100"/>
      <c r="BB86" s="92"/>
      <c r="BC86" s="93">
        <f>AW86</f>
        <v>0</v>
      </c>
      <c r="BD86" s="186"/>
      <c r="BE86" s="186"/>
      <c r="BF86" s="186"/>
      <c r="BG86" s="91">
        <f>BC86+BD86-BE86+SUM(BF86:BF86)</f>
        <v>0</v>
      </c>
      <c r="BH86" s="94"/>
      <c r="BI86" s="100"/>
      <c r="BJ86" s="100"/>
      <c r="BK86" s="100"/>
      <c r="BL86" s="92"/>
      <c r="BM86" s="101"/>
      <c r="BN86" s="100"/>
      <c r="BO86" s="94">
        <f t="shared" si="135"/>
        <v>0</v>
      </c>
      <c r="BP86" s="95"/>
      <c r="BQ86" s="100"/>
      <c r="BR86" s="100"/>
      <c r="BS86" s="100"/>
      <c r="BT86" s="299">
        <f>IF(CB86=TRUE, SUM(BO86:BR86), 0)</f>
        <v>0</v>
      </c>
      <c r="BU86" s="108"/>
      <c r="BV86" s="85">
        <f t="shared" si="136"/>
        <v>0</v>
      </c>
      <c r="CA86" s="69">
        <v>1576</v>
      </c>
      <c r="CB86" s="357" t="b">
        <v>1</v>
      </c>
    </row>
    <row r="87" spans="1:80" s="88" customFormat="1" ht="14.4" thickBot="1" x14ac:dyDescent="0.3">
      <c r="A87" s="1"/>
      <c r="B87" s="1"/>
      <c r="C87" s="290"/>
      <c r="D87" s="291"/>
      <c r="E87" s="113"/>
      <c r="F87" s="114"/>
      <c r="G87" s="114"/>
      <c r="H87" s="114"/>
      <c r="I87" s="114"/>
      <c r="J87" s="114"/>
      <c r="K87" s="114"/>
      <c r="L87" s="114"/>
      <c r="M87" s="114"/>
      <c r="N87" s="114"/>
      <c r="O87" s="113"/>
      <c r="P87" s="114"/>
      <c r="Q87" s="114"/>
      <c r="R87" s="114"/>
      <c r="S87" s="114"/>
      <c r="T87" s="114"/>
      <c r="U87" s="114"/>
      <c r="V87" s="114"/>
      <c r="W87" s="114"/>
      <c r="X87" s="114"/>
      <c r="Y87" s="113"/>
      <c r="Z87" s="114"/>
      <c r="AA87" s="114"/>
      <c r="AB87" s="114"/>
      <c r="AC87" s="114"/>
      <c r="AD87" s="114"/>
      <c r="AE87" s="114"/>
      <c r="AF87" s="114"/>
      <c r="AG87" s="114"/>
      <c r="AH87" s="114"/>
      <c r="AI87" s="113"/>
      <c r="AJ87" s="114"/>
      <c r="AK87" s="114"/>
      <c r="AL87" s="114"/>
      <c r="AM87" s="114"/>
      <c r="AN87" s="114"/>
      <c r="AO87" s="114"/>
      <c r="AP87" s="114"/>
      <c r="AQ87" s="114"/>
      <c r="AR87" s="114"/>
      <c r="AS87" s="113"/>
      <c r="AT87" s="114"/>
      <c r="AU87" s="114"/>
      <c r="AV87" s="114"/>
      <c r="AW87" s="114"/>
      <c r="AX87" s="114"/>
      <c r="AY87" s="114"/>
      <c r="AZ87" s="114"/>
      <c r="BA87" s="114"/>
      <c r="BB87" s="114"/>
      <c r="BC87" s="113"/>
      <c r="BD87" s="114"/>
      <c r="BE87" s="114"/>
      <c r="BF87" s="114"/>
      <c r="BG87" s="114"/>
      <c r="BH87" s="114"/>
      <c r="BI87" s="114"/>
      <c r="BJ87" s="114"/>
      <c r="BK87" s="114"/>
      <c r="BL87" s="114"/>
      <c r="BM87" s="113"/>
      <c r="BN87" s="114"/>
      <c r="BO87" s="114"/>
      <c r="BP87" s="114"/>
      <c r="BQ87" s="113"/>
      <c r="BR87" s="114"/>
      <c r="BS87" s="114"/>
      <c r="BT87" s="302"/>
      <c r="BU87" s="114"/>
      <c r="BV87" s="198"/>
      <c r="CB87" s="357"/>
    </row>
    <row r="90" spans="1:80" ht="30.75" customHeight="1" x14ac:dyDescent="0.25">
      <c r="B90" s="2"/>
      <c r="C90" s="459" t="s">
        <v>285</v>
      </c>
      <c r="D90" s="459"/>
      <c r="E90" s="459"/>
      <c r="F90" s="459"/>
    </row>
    <row r="91" spans="1:80" ht="29.25" customHeight="1" x14ac:dyDescent="0.25">
      <c r="A91" s="115"/>
      <c r="B91" s="66">
        <v>1</v>
      </c>
      <c r="C91" s="458" t="s">
        <v>238</v>
      </c>
      <c r="D91" s="458"/>
      <c r="E91" s="458"/>
      <c r="F91" s="458"/>
      <c r="G91" s="458"/>
      <c r="H91" s="458"/>
      <c r="I91" s="116"/>
      <c r="L91" s="68"/>
      <c r="M91" s="68"/>
      <c r="V91" s="68"/>
      <c r="W91" s="68"/>
      <c r="AF91" s="68"/>
      <c r="AG91" s="68"/>
      <c r="AP91" s="68"/>
      <c r="AQ91" s="68"/>
      <c r="AZ91" s="68"/>
      <c r="BA91" s="68"/>
      <c r="BJ91" s="68"/>
      <c r="BK91" s="68"/>
      <c r="BM91" s="68"/>
      <c r="BN91" s="68"/>
      <c r="BO91" s="68"/>
      <c r="BP91" s="68"/>
    </row>
    <row r="92" spans="1:80" ht="16.2" x14ac:dyDescent="0.25">
      <c r="A92" s="115"/>
      <c r="B92" s="66">
        <v>2</v>
      </c>
      <c r="C92" s="179" t="s">
        <v>227</v>
      </c>
      <c r="D92" s="115"/>
      <c r="E92" s="116"/>
      <c r="F92" s="116"/>
      <c r="G92" s="116"/>
      <c r="H92" s="116"/>
      <c r="I92" s="116"/>
      <c r="L92" s="68"/>
      <c r="M92" s="68"/>
      <c r="V92" s="68"/>
      <c r="W92" s="68"/>
      <c r="AF92" s="68"/>
      <c r="AG92" s="68"/>
      <c r="AP92" s="68"/>
      <c r="AQ92" s="68"/>
      <c r="AZ92" s="68"/>
      <c r="BA92" s="68"/>
      <c r="BJ92" s="68"/>
      <c r="BK92" s="68"/>
      <c r="BM92" s="68"/>
      <c r="BN92" s="68"/>
      <c r="BO92" s="68"/>
      <c r="BP92" s="68"/>
    </row>
    <row r="93" spans="1:80" ht="14.25" customHeight="1" x14ac:dyDescent="0.25">
      <c r="A93" s="115"/>
      <c r="B93" s="66">
        <v>3</v>
      </c>
      <c r="C93" s="179" t="s">
        <v>275</v>
      </c>
      <c r="D93" s="180"/>
      <c r="E93" s="180"/>
      <c r="F93" s="116"/>
      <c r="G93" s="116"/>
      <c r="H93" s="116"/>
      <c r="I93" s="116"/>
      <c r="L93" s="68"/>
      <c r="M93" s="68"/>
      <c r="V93" s="68"/>
      <c r="W93" s="68"/>
      <c r="AF93" s="68"/>
      <c r="AG93" s="68"/>
      <c r="AP93" s="68"/>
      <c r="AQ93" s="68"/>
      <c r="AZ93" s="68"/>
      <c r="BA93" s="68"/>
      <c r="BJ93" s="68"/>
      <c r="BK93" s="68"/>
      <c r="BM93" s="68"/>
      <c r="BN93" s="68"/>
      <c r="BO93" s="68"/>
      <c r="BP93" s="68"/>
    </row>
    <row r="94" spans="1:80" ht="33.75" customHeight="1" x14ac:dyDescent="0.25">
      <c r="A94" s="115"/>
      <c r="B94" s="66"/>
      <c r="C94" s="458" t="s">
        <v>286</v>
      </c>
      <c r="D94" s="458"/>
      <c r="E94" s="458"/>
      <c r="F94" s="458"/>
      <c r="G94" s="458"/>
      <c r="H94" s="458"/>
      <c r="I94" s="458"/>
      <c r="L94" s="68"/>
      <c r="M94" s="68"/>
      <c r="V94" s="68"/>
      <c r="W94" s="68"/>
      <c r="AF94" s="68"/>
      <c r="AG94" s="68"/>
      <c r="AP94" s="68"/>
      <c r="AQ94" s="68"/>
      <c r="AZ94" s="68"/>
      <c r="BA94" s="68"/>
      <c r="BJ94" s="68"/>
      <c r="BK94" s="68"/>
      <c r="BM94" s="68"/>
      <c r="BN94" s="68"/>
      <c r="BO94" s="68"/>
      <c r="BP94" s="68"/>
    </row>
    <row r="95" spans="1:80" ht="16.2" x14ac:dyDescent="0.25">
      <c r="A95" s="115"/>
      <c r="B95" s="66">
        <v>4</v>
      </c>
      <c r="C95" s="179" t="s">
        <v>11</v>
      </c>
      <c r="D95" s="115"/>
      <c r="E95" s="116"/>
      <c r="F95" s="116"/>
      <c r="G95" s="116"/>
      <c r="H95" s="116"/>
      <c r="I95" s="116"/>
      <c r="L95" s="68"/>
      <c r="M95" s="68"/>
      <c r="V95" s="68"/>
      <c r="W95" s="68"/>
      <c r="AF95" s="68"/>
      <c r="AG95" s="68"/>
      <c r="AP95" s="68"/>
      <c r="AQ95" s="68"/>
      <c r="AZ95" s="68"/>
      <c r="BA95" s="68"/>
      <c r="BJ95" s="68"/>
      <c r="BK95" s="68"/>
      <c r="BM95" s="68"/>
      <c r="BN95" s="68"/>
      <c r="BO95" s="68"/>
      <c r="BP95" s="68"/>
    </row>
    <row r="96" spans="1:80" ht="30" customHeight="1" x14ac:dyDescent="0.25">
      <c r="A96" s="115"/>
      <c r="B96" s="66">
        <v>5</v>
      </c>
      <c r="C96" s="458" t="s">
        <v>276</v>
      </c>
      <c r="D96" s="458"/>
      <c r="E96" s="458"/>
      <c r="F96" s="458"/>
      <c r="G96" s="458"/>
      <c r="H96" s="458"/>
      <c r="I96" s="458"/>
    </row>
    <row r="97" spans="1:9" ht="40.5" customHeight="1" x14ac:dyDescent="0.25">
      <c r="A97" s="115"/>
      <c r="B97" s="66">
        <v>6</v>
      </c>
      <c r="C97" s="458" t="s">
        <v>277</v>
      </c>
      <c r="D97" s="458"/>
      <c r="E97" s="458"/>
      <c r="F97" s="458"/>
      <c r="G97" s="458"/>
      <c r="H97" s="458"/>
      <c r="I97" s="458"/>
    </row>
    <row r="98" spans="1:9" ht="32.25" customHeight="1" x14ac:dyDescent="0.25">
      <c r="A98" s="115"/>
      <c r="B98" s="66"/>
      <c r="C98" s="458" t="s">
        <v>296</v>
      </c>
      <c r="D98" s="458"/>
      <c r="E98" s="458"/>
      <c r="F98" s="458"/>
      <c r="G98" s="458"/>
      <c r="H98" s="458"/>
      <c r="I98" s="458"/>
    </row>
    <row r="99" spans="1:9" ht="43.5" customHeight="1" x14ac:dyDescent="0.25">
      <c r="A99" s="115"/>
      <c r="B99" s="66">
        <v>7</v>
      </c>
      <c r="C99" s="458" t="s">
        <v>240</v>
      </c>
      <c r="D99" s="458"/>
      <c r="E99" s="458"/>
      <c r="F99" s="458"/>
      <c r="G99" s="458"/>
      <c r="H99" s="458"/>
      <c r="I99" s="458"/>
    </row>
    <row r="100" spans="1:9" ht="32.25" customHeight="1" x14ac:dyDescent="0.25">
      <c r="A100" s="115"/>
      <c r="B100" s="66">
        <v>8</v>
      </c>
      <c r="C100" s="458" t="s">
        <v>297</v>
      </c>
      <c r="D100" s="458"/>
      <c r="E100" s="458"/>
      <c r="F100" s="458"/>
      <c r="G100" s="458"/>
      <c r="H100" s="458"/>
      <c r="I100" s="458"/>
    </row>
    <row r="101" spans="1:9" ht="37.5" customHeight="1" x14ac:dyDescent="0.25">
      <c r="A101" s="115"/>
      <c r="B101" s="66">
        <v>9</v>
      </c>
      <c r="C101" s="458" t="s">
        <v>340</v>
      </c>
      <c r="D101" s="458"/>
      <c r="E101" s="458"/>
      <c r="F101" s="458"/>
      <c r="G101" s="458"/>
      <c r="H101" s="458"/>
      <c r="I101" s="458"/>
    </row>
    <row r="102" spans="1:9" ht="38.25" customHeight="1" x14ac:dyDescent="0.25">
      <c r="B102" s="66">
        <v>10</v>
      </c>
      <c r="C102" s="458" t="s">
        <v>344</v>
      </c>
      <c r="D102" s="458"/>
      <c r="E102" s="458"/>
      <c r="F102" s="458"/>
      <c r="G102" s="458"/>
      <c r="H102" s="458"/>
      <c r="I102" s="458"/>
    </row>
    <row r="103" spans="1:9" ht="37.5" customHeight="1" x14ac:dyDescent="0.25">
      <c r="B103" s="66">
        <v>11</v>
      </c>
      <c r="C103" s="458" t="s">
        <v>338</v>
      </c>
      <c r="D103" s="458"/>
      <c r="E103" s="458"/>
      <c r="F103" s="458"/>
      <c r="G103" s="458"/>
      <c r="H103" s="458"/>
      <c r="I103" s="458"/>
    </row>
    <row r="104" spans="1:9" ht="15" customHeight="1" x14ac:dyDescent="0.25">
      <c r="B104" s="66">
        <v>12</v>
      </c>
      <c r="C104" s="458" t="s">
        <v>341</v>
      </c>
      <c r="D104" s="458"/>
      <c r="E104" s="458"/>
      <c r="F104" s="458"/>
      <c r="G104" s="458"/>
      <c r="H104" s="458"/>
      <c r="I104" s="458"/>
    </row>
  </sheetData>
  <sheetProtection password="F8BD" sheet="1" objects="1" scenarios="1"/>
  <mergeCells count="92">
    <mergeCell ref="C104:I104"/>
    <mergeCell ref="C103:I103"/>
    <mergeCell ref="C101:I101"/>
    <mergeCell ref="C90:F90"/>
    <mergeCell ref="C102:I102"/>
    <mergeCell ref="C91:H91"/>
    <mergeCell ref="C94:I94"/>
    <mergeCell ref="C96:I96"/>
    <mergeCell ref="C99:I99"/>
    <mergeCell ref="C100:I100"/>
    <mergeCell ref="C97:I97"/>
    <mergeCell ref="C98:I98"/>
    <mergeCell ref="AS19:BB19"/>
    <mergeCell ref="AS20:AS22"/>
    <mergeCell ref="AT20:AT22"/>
    <mergeCell ref="AU20:AU22"/>
    <mergeCell ref="AV20:AV22"/>
    <mergeCell ref="AW20:AW22"/>
    <mergeCell ref="AX20:AX22"/>
    <mergeCell ref="AY20:AY22"/>
    <mergeCell ref="AZ20:AZ22"/>
    <mergeCell ref="BA20:BA22"/>
    <mergeCell ref="BB20:BB22"/>
    <mergeCell ref="Y19:AH19"/>
    <mergeCell ref="C20:C22"/>
    <mergeCell ref="D20:D22"/>
    <mergeCell ref="M20:M22"/>
    <mergeCell ref="I20:I22"/>
    <mergeCell ref="L20:L22"/>
    <mergeCell ref="J20:J22"/>
    <mergeCell ref="G20:G22"/>
    <mergeCell ref="H20:H22"/>
    <mergeCell ref="U20:U22"/>
    <mergeCell ref="AE20:AE22"/>
    <mergeCell ref="X20:X22"/>
    <mergeCell ref="V20:V22"/>
    <mergeCell ref="O20:O22"/>
    <mergeCell ref="E19:N19"/>
    <mergeCell ref="E20:E22"/>
    <mergeCell ref="BN20:BN22"/>
    <mergeCell ref="BM19:BP19"/>
    <mergeCell ref="BO20:BO22"/>
    <mergeCell ref="BP20:BP22"/>
    <mergeCell ref="BM20:BM22"/>
    <mergeCell ref="BV20:BV22"/>
    <mergeCell ref="BQ19:BT19"/>
    <mergeCell ref="BT20:BT22"/>
    <mergeCell ref="BR20:BR22"/>
    <mergeCell ref="BQ20:BQ22"/>
    <mergeCell ref="BU20:BU22"/>
    <mergeCell ref="BS20:BS22"/>
    <mergeCell ref="F20:F22"/>
    <mergeCell ref="AI19:AR19"/>
    <mergeCell ref="AI20:AI22"/>
    <mergeCell ref="AJ20:AJ22"/>
    <mergeCell ref="AK20:AK22"/>
    <mergeCell ref="AL20:AL22"/>
    <mergeCell ref="AM20:AM22"/>
    <mergeCell ref="AN20:AN22"/>
    <mergeCell ref="R20:R22"/>
    <mergeCell ref="S20:S22"/>
    <mergeCell ref="T20:T22"/>
    <mergeCell ref="O19:X19"/>
    <mergeCell ref="AF20:AF22"/>
    <mergeCell ref="AG20:AG22"/>
    <mergeCell ref="AR20:AR22"/>
    <mergeCell ref="AO20:AO22"/>
    <mergeCell ref="AP20:AP22"/>
    <mergeCell ref="AQ20:AQ22"/>
    <mergeCell ref="K20:K22"/>
    <mergeCell ref="AD20:AD22"/>
    <mergeCell ref="N20:N22"/>
    <mergeCell ref="P20:P22"/>
    <mergeCell ref="Q20:Q22"/>
    <mergeCell ref="Y20:Y22"/>
    <mergeCell ref="Z20:Z22"/>
    <mergeCell ref="AA20:AA22"/>
    <mergeCell ref="AB20:AB22"/>
    <mergeCell ref="AC20:AC22"/>
    <mergeCell ref="W20:W22"/>
    <mergeCell ref="AH20:AH22"/>
    <mergeCell ref="BC19:BL19"/>
    <mergeCell ref="BC20:BC22"/>
    <mergeCell ref="BD20:BD22"/>
    <mergeCell ref="BE20:BE22"/>
    <mergeCell ref="BF20:BF22"/>
    <mergeCell ref="BG20:BG22"/>
    <mergeCell ref="BH20:BH22"/>
    <mergeCell ref="BI20:BI22"/>
    <mergeCell ref="BJ20:BJ22"/>
    <mergeCell ref="BK20:BK22"/>
    <mergeCell ref="BL20:BL22"/>
  </mergeCells>
  <phoneticPr fontId="17" type="noConversion"/>
  <pageMargins left="0.36" right="0.41" top="0.64" bottom="0.98425196850393704" header="0.32" footer="0.51181102362204722"/>
  <pageSetup scale="42" orientation="landscape" r:id="rId1"/>
  <headerFooter alignWithMargins="0"/>
  <rowBreaks count="1" manualBreakCount="1">
    <brk id="66" max="16383" man="1"/>
  </rowBreaks>
  <colBreaks count="3" manualBreakCount="3">
    <brk id="4" max="1048575" man="1"/>
    <brk id="14" max="1048575" man="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71</xdr:col>
                    <xdr:colOff>106680</xdr:colOff>
                    <xdr:row>26</xdr:row>
                    <xdr:rowOff>30480</xdr:rowOff>
                  </from>
                  <to>
                    <xdr:col>71</xdr:col>
                    <xdr:colOff>2080260</xdr:colOff>
                    <xdr:row>27</xdr:row>
                    <xdr:rowOff>22860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71</xdr:col>
                    <xdr:colOff>106680</xdr:colOff>
                    <xdr:row>27</xdr:row>
                    <xdr:rowOff>7620</xdr:rowOff>
                  </from>
                  <to>
                    <xdr:col>71</xdr:col>
                    <xdr:colOff>2080260</xdr:colOff>
                    <xdr:row>28</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71</xdr:col>
                    <xdr:colOff>106680</xdr:colOff>
                    <xdr:row>32</xdr:row>
                    <xdr:rowOff>38100</xdr:rowOff>
                  </from>
                  <to>
                    <xdr:col>71</xdr:col>
                    <xdr:colOff>2080260</xdr:colOff>
                    <xdr:row>33</xdr:row>
                    <xdr:rowOff>38100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71</xdr:col>
                    <xdr:colOff>106680</xdr:colOff>
                    <xdr:row>33</xdr:row>
                    <xdr:rowOff>7620</xdr:rowOff>
                  </from>
                  <to>
                    <xdr:col>71</xdr:col>
                    <xdr:colOff>1737360</xdr:colOff>
                    <xdr:row>34</xdr:row>
                    <xdr:rowOff>7620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71</xdr:col>
                    <xdr:colOff>106680</xdr:colOff>
                    <xdr:row>34</xdr:row>
                    <xdr:rowOff>30480</xdr:rowOff>
                  </from>
                  <to>
                    <xdr:col>71</xdr:col>
                    <xdr:colOff>2080260</xdr:colOff>
                    <xdr:row>35</xdr:row>
                    <xdr:rowOff>30480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71</xdr:col>
                    <xdr:colOff>106680</xdr:colOff>
                    <xdr:row>35</xdr:row>
                    <xdr:rowOff>30480</xdr:rowOff>
                  </from>
                  <to>
                    <xdr:col>71</xdr:col>
                    <xdr:colOff>2080260</xdr:colOff>
                    <xdr:row>36</xdr:row>
                    <xdr:rowOff>30480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71</xdr:col>
                    <xdr:colOff>106680</xdr:colOff>
                    <xdr:row>36</xdr:row>
                    <xdr:rowOff>30480</xdr:rowOff>
                  </from>
                  <to>
                    <xdr:col>71</xdr:col>
                    <xdr:colOff>2080260</xdr:colOff>
                    <xdr:row>37</xdr:row>
                    <xdr:rowOff>30480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71</xdr:col>
                    <xdr:colOff>106680</xdr:colOff>
                    <xdr:row>37</xdr:row>
                    <xdr:rowOff>30480</xdr:rowOff>
                  </from>
                  <to>
                    <xdr:col>71</xdr:col>
                    <xdr:colOff>2080260</xdr:colOff>
                    <xdr:row>38</xdr:row>
                    <xdr:rowOff>38100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71</xdr:col>
                    <xdr:colOff>106680</xdr:colOff>
                    <xdr:row>38</xdr:row>
                    <xdr:rowOff>30480</xdr:rowOff>
                  </from>
                  <to>
                    <xdr:col>71</xdr:col>
                    <xdr:colOff>2080260</xdr:colOff>
                    <xdr:row>39</xdr:row>
                    <xdr:rowOff>22860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71</xdr:col>
                    <xdr:colOff>106680</xdr:colOff>
                    <xdr:row>49</xdr:row>
                    <xdr:rowOff>30480</xdr:rowOff>
                  </from>
                  <to>
                    <xdr:col>71</xdr:col>
                    <xdr:colOff>2080260</xdr:colOff>
                    <xdr:row>50</xdr:row>
                    <xdr:rowOff>30480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71</xdr:col>
                    <xdr:colOff>106680</xdr:colOff>
                    <xdr:row>50</xdr:row>
                    <xdr:rowOff>182880</xdr:rowOff>
                  </from>
                  <to>
                    <xdr:col>71</xdr:col>
                    <xdr:colOff>2080260</xdr:colOff>
                    <xdr:row>52</xdr:row>
                    <xdr:rowOff>22860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71</xdr:col>
                    <xdr:colOff>106680</xdr:colOff>
                    <xdr:row>83</xdr:row>
                    <xdr:rowOff>182880</xdr:rowOff>
                  </from>
                  <to>
                    <xdr:col>71</xdr:col>
                    <xdr:colOff>2080260</xdr:colOff>
                    <xdr:row>84</xdr:row>
                    <xdr:rowOff>220980</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71</xdr:col>
                    <xdr:colOff>106680</xdr:colOff>
                    <xdr:row>85</xdr:row>
                    <xdr:rowOff>0</xdr:rowOff>
                  </from>
                  <to>
                    <xdr:col>71</xdr:col>
                    <xdr:colOff>2080260</xdr:colOff>
                    <xdr:row>86</xdr:row>
                    <xdr:rowOff>7620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71</xdr:col>
                    <xdr:colOff>106680</xdr:colOff>
                    <xdr:row>56</xdr:row>
                    <xdr:rowOff>182880</xdr:rowOff>
                  </from>
                  <to>
                    <xdr:col>71</xdr:col>
                    <xdr:colOff>2080260</xdr:colOff>
                    <xdr:row>58</xdr:row>
                    <xdr:rowOff>22860</xdr:rowOff>
                  </to>
                </anchor>
              </controlPr>
            </control>
          </mc:Choice>
        </mc:AlternateContent>
        <mc:AlternateContent xmlns:mc="http://schemas.openxmlformats.org/markup-compatibility/2006">
          <mc:Choice Requires="x14">
            <control shapeId="2076" r:id="rId18" name="Check Box 28">
              <controlPr locked="0" defaultSize="0" autoFill="0" autoLine="0" autoPict="0">
                <anchor moveWithCells="1">
                  <from>
                    <xdr:col>71</xdr:col>
                    <xdr:colOff>198120</xdr:colOff>
                    <xdr:row>14</xdr:row>
                    <xdr:rowOff>68580</xdr:rowOff>
                  </from>
                  <to>
                    <xdr:col>71</xdr:col>
                    <xdr:colOff>617220</xdr:colOff>
                    <xdr:row>16</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72"/>
  <sheetViews>
    <sheetView showGridLines="0" topLeftCell="D20" workbookViewId="0">
      <selection activeCell="E79" sqref="E79"/>
    </sheetView>
  </sheetViews>
  <sheetFormatPr defaultColWidth="9.109375" defaultRowHeight="13.2" x14ac:dyDescent="0.25"/>
  <cols>
    <col min="1" max="1" width="6" style="1" customWidth="1"/>
    <col min="2" max="2" width="15" style="1" customWidth="1"/>
    <col min="3" max="3" width="86.44140625" style="1" customWidth="1"/>
    <col min="4" max="4" width="9.109375" style="1"/>
    <col min="5" max="5" width="20" style="1" customWidth="1"/>
    <col min="6" max="6" width="102.109375" style="1" customWidth="1"/>
    <col min="7" max="16384" width="9.109375" style="1"/>
  </cols>
  <sheetData>
    <row r="14" spans="1:5" x14ac:dyDescent="0.25">
      <c r="A14" s="129"/>
    </row>
    <row r="15" spans="1:5" x14ac:dyDescent="0.25">
      <c r="A15" s="129"/>
    </row>
    <row r="16" spans="1:5" ht="30" customHeight="1" x14ac:dyDescent="0.25">
      <c r="A16" s="129"/>
      <c r="B16" s="466" t="s">
        <v>339</v>
      </c>
      <c r="C16" s="466"/>
      <c r="D16" s="466"/>
      <c r="E16" s="466"/>
    </row>
    <row r="17" spans="1:6" x14ac:dyDescent="0.25">
      <c r="A17" s="129"/>
    </row>
    <row r="18" spans="1:6" ht="38.25" customHeight="1" thickBot="1" x14ac:dyDescent="0.3">
      <c r="A18" s="129"/>
      <c r="B18"/>
      <c r="C18"/>
      <c r="D18"/>
    </row>
    <row r="19" spans="1:6" ht="29.4" thickBot="1" x14ac:dyDescent="0.6">
      <c r="A19" s="129"/>
      <c r="C19" s="18"/>
      <c r="D19" s="16"/>
      <c r="E19" s="17"/>
      <c r="F19" s="16"/>
    </row>
    <row r="20" spans="1:6" ht="14.25" customHeight="1" x14ac:dyDescent="0.25">
      <c r="A20" s="129"/>
      <c r="C20" s="463" t="s">
        <v>20</v>
      </c>
      <c r="D20" s="461" t="s">
        <v>0</v>
      </c>
      <c r="E20" s="441" t="s">
        <v>248</v>
      </c>
      <c r="F20" s="460" t="s">
        <v>25</v>
      </c>
    </row>
    <row r="21" spans="1:6" ht="24.75" customHeight="1" x14ac:dyDescent="0.25">
      <c r="A21" s="129"/>
      <c r="C21" s="464"/>
      <c r="D21" s="461"/>
      <c r="E21" s="442"/>
      <c r="F21" s="461"/>
    </row>
    <row r="22" spans="1:6" ht="36.75" customHeight="1" thickBot="1" x14ac:dyDescent="0.3">
      <c r="A22" s="129"/>
      <c r="B22" s="14"/>
      <c r="C22" s="465"/>
      <c r="D22" s="462"/>
      <c r="E22" s="443"/>
      <c r="F22" s="462"/>
    </row>
    <row r="23" spans="1:6" ht="33.75" customHeight="1" x14ac:dyDescent="0.25">
      <c r="A23" s="129"/>
      <c r="C23" s="334"/>
      <c r="D23" s="335"/>
      <c r="E23" s="336"/>
      <c r="F23" s="6"/>
    </row>
    <row r="24" spans="1:6" ht="30.75" customHeight="1" x14ac:dyDescent="0.25">
      <c r="A24" s="129">
        <v>1</v>
      </c>
      <c r="C24" s="337" t="str">
        <f>VLOOKUP(A24, '2. 2016 Continuity Schedule'!$A$24:$BV$87,3,FALSE)</f>
        <v>LV Variance Account</v>
      </c>
      <c r="D24" s="338">
        <f>VLOOKUP(A24, '2. 2016 Continuity Schedule'!$A$24:$BV$87,4,FALSE)</f>
        <v>1550</v>
      </c>
      <c r="E24" s="339">
        <f>IF(ISERROR(VLOOKUP($A24, '2. 2016 Continuity Schedule'!$A$20:$BV$89, MATCH('3. Appendix A'!$E$20, '2. 2016 Continuity Schedule'!$A$20:$BV$20,0),FALSE)), 0, VLOOKUP($A24, '2. 2016 Continuity Schedule'!$A$20:$BV$89, MATCH('3. Appendix A'!$E$20, '2. 2016 Continuity Schedule'!$A$20:$BV$20,0),FALSE))</f>
        <v>0.47999999998137355</v>
      </c>
      <c r="F24" s="407" t="s">
        <v>392</v>
      </c>
    </row>
    <row r="25" spans="1:6" ht="30.75" customHeight="1" x14ac:dyDescent="0.25">
      <c r="A25" s="129">
        <v>2</v>
      </c>
      <c r="C25" s="337" t="str">
        <f>VLOOKUP(A25, '2. 2016 Continuity Schedule'!$A$24:$BV$87,3,FALSE)</f>
        <v>Smart Metering Entity Charge Variance Account</v>
      </c>
      <c r="D25" s="338">
        <f>VLOOKUP(A25, '2. 2016 Continuity Schedule'!$A$24:$BV$87,4,FALSE)</f>
        <v>1551</v>
      </c>
      <c r="E25" s="339">
        <f>IF(ISERROR(VLOOKUP($A25, '2. 2016 Continuity Schedule'!$A$20:$BV$89, MATCH('3. Appendix A'!$E$20, '2. 2016 Continuity Schedule'!$A$20:$BV$20,0),FALSE)), 0, VLOOKUP($A25, '2. 2016 Continuity Schedule'!$A$20:$BV$89, MATCH('3. Appendix A'!$E$20, '2. 2016 Continuity Schedule'!$A$20:$BV$20,0),FALSE))</f>
        <v>-0.22000000000116415</v>
      </c>
      <c r="F25" s="407" t="s">
        <v>392</v>
      </c>
    </row>
    <row r="26" spans="1:6" ht="30.75" customHeight="1" x14ac:dyDescent="0.25">
      <c r="A26" s="129">
        <v>3</v>
      </c>
      <c r="C26" s="337" t="str">
        <f>VLOOKUP(A26, '2. 2016 Continuity Schedule'!$A$24:$BV$87,3,FALSE)</f>
        <v>RSVA - Wholesale Market Service Charge10</v>
      </c>
      <c r="D26" s="338">
        <f>VLOOKUP(A26, '2. 2016 Continuity Schedule'!$A$24:$BV$87,4,FALSE)</f>
        <v>1580</v>
      </c>
      <c r="E26" s="339">
        <f>IF(ISERROR(VLOOKUP($A26, '2. 2016 Continuity Schedule'!$A$20:$BV$89, MATCH('3. Appendix A'!$E$20, '2. 2016 Continuity Schedule'!$A$20:$BV$20,0),FALSE)), 0, VLOOKUP($A26, '2. 2016 Continuity Schedule'!$A$20:$BV$89, MATCH('3. Appendix A'!$E$20, '2. 2016 Continuity Schedule'!$A$20:$BV$20,0),FALSE))</f>
        <v>12247.909999999974</v>
      </c>
      <c r="F26" s="407" t="s">
        <v>395</v>
      </c>
    </row>
    <row r="27" spans="1:6" ht="30.75" hidden="1" customHeight="1" x14ac:dyDescent="0.25">
      <c r="A27" s="129">
        <v>3.1</v>
      </c>
      <c r="C27" s="337" t="str">
        <f>VLOOKUP(A27, '2. 2016 Continuity Schedule'!$A$24:$BV$87,3,FALSE)</f>
        <v>Variance WMS – Sub-account CBR Class A10</v>
      </c>
      <c r="D27" s="338">
        <f>VLOOKUP(A27, '2. 2016 Continuity Schedule'!$A$24:$BV$87,4,FALSE)</f>
        <v>1580</v>
      </c>
      <c r="E27" s="339">
        <f>IF(ISERROR(VLOOKUP($A27, '2. 2016 Continuity Schedule'!$A$20:$BV$89, MATCH('3. Appendix A'!$E$20, '2. 2016 Continuity Schedule'!$A$20:$BV$20,0),FALSE)), 0, VLOOKUP($A27, '2. 2016 Continuity Schedule'!$A$20:$BV$89, MATCH('3. Appendix A'!$E$20, '2. 2016 Continuity Schedule'!$A$20:$BV$20,0),FALSE))</f>
        <v>0</v>
      </c>
      <c r="F27" s="181"/>
    </row>
    <row r="28" spans="1:6" ht="30.75" customHeight="1" x14ac:dyDescent="0.25">
      <c r="A28" s="129">
        <v>3.2</v>
      </c>
      <c r="C28" s="337" t="str">
        <f>VLOOKUP(A28, '2. 2016 Continuity Schedule'!$A$24:$BV$87,3,FALSE)</f>
        <v>Variance WMS – Sub-account CBR Class B10</v>
      </c>
      <c r="D28" s="338">
        <f>VLOOKUP(A28, '2. 2016 Continuity Schedule'!$A$24:$BV$87,4,FALSE)</f>
        <v>1580</v>
      </c>
      <c r="E28" s="339">
        <f>IF(ISERROR(VLOOKUP($A28, '2. 2016 Continuity Schedule'!$A$20:$BV$89, MATCH('3. Appendix A'!$E$20, '2. 2016 Continuity Schedule'!$A$20:$BV$20,0),FALSE)), 0, VLOOKUP($A28, '2. 2016 Continuity Schedule'!$A$20:$BV$89, MATCH('3. Appendix A'!$E$20, '2. 2016 Continuity Schedule'!$A$20:$BV$20,0),FALSE))</f>
        <v>-12248</v>
      </c>
      <c r="F28" s="407" t="s">
        <v>395</v>
      </c>
    </row>
    <row r="29" spans="1:6" ht="30.75" customHeight="1" x14ac:dyDescent="0.25">
      <c r="A29" s="129">
        <v>4</v>
      </c>
      <c r="C29" s="337" t="str">
        <f>VLOOKUP(A29, '2. 2016 Continuity Schedule'!$A$24:$BV$87,3,FALSE)</f>
        <v>RSVA - Retail Transmission Network Charge</v>
      </c>
      <c r="D29" s="338">
        <f>VLOOKUP(A29, '2. 2016 Continuity Schedule'!$A$24:$BV$87,4,FALSE)</f>
        <v>1584</v>
      </c>
      <c r="E29" s="339">
        <f>IF(ISERROR(VLOOKUP($A29, '2. 2016 Continuity Schedule'!$A$20:$BV$89, MATCH('3. Appendix A'!$E$20, '2. 2016 Continuity Schedule'!$A$20:$BV$20,0),FALSE)), 0, VLOOKUP($A29, '2. 2016 Continuity Schedule'!$A$20:$BV$89, MATCH('3. Appendix A'!$E$20, '2. 2016 Continuity Schedule'!$A$20:$BV$20,0),FALSE))</f>
        <v>0.76000000000021828</v>
      </c>
      <c r="F29" s="407" t="s">
        <v>392</v>
      </c>
    </row>
    <row r="30" spans="1:6" ht="30.75" customHeight="1" x14ac:dyDescent="0.25">
      <c r="A30" s="129">
        <v>5</v>
      </c>
      <c r="C30" s="337" t="str">
        <f>VLOOKUP(A30, '2. 2016 Continuity Schedule'!$A$24:$BV$87,3,FALSE)</f>
        <v>RSVA - Retail Transmission Connection Charge</v>
      </c>
      <c r="D30" s="338">
        <f>VLOOKUP(A30, '2. 2016 Continuity Schedule'!$A$24:$BV$87,4,FALSE)</f>
        <v>1586</v>
      </c>
      <c r="E30" s="339">
        <f>IF(ISERROR(VLOOKUP($A30, '2. 2016 Continuity Schedule'!$A$20:$BV$89, MATCH('3. Appendix A'!$E$20, '2. 2016 Continuity Schedule'!$A$20:$BV$20,0),FALSE)), 0, VLOOKUP($A30, '2. 2016 Continuity Schedule'!$A$20:$BV$89, MATCH('3. Appendix A'!$E$20, '2. 2016 Continuity Schedule'!$A$20:$BV$20,0),FALSE))</f>
        <v>-0.67000000000189175</v>
      </c>
      <c r="F30" s="407" t="s">
        <v>392</v>
      </c>
    </row>
    <row r="31" spans="1:6" ht="30.75" customHeight="1" x14ac:dyDescent="0.25">
      <c r="A31" s="129">
        <v>6</v>
      </c>
      <c r="C31" s="337" t="str">
        <f>VLOOKUP(A31, '2. 2016 Continuity Schedule'!$A$24:$BV$87,3,FALSE)</f>
        <v>RSVA - Power (excluding Global Adjustment)</v>
      </c>
      <c r="D31" s="338">
        <f>VLOOKUP(A31, '2. 2016 Continuity Schedule'!$A$24:$BV$87,4,FALSE)</f>
        <v>1588</v>
      </c>
      <c r="E31" s="339">
        <f>IF(ISERROR(VLOOKUP($A31, '2. 2016 Continuity Schedule'!$A$20:$BV$89, MATCH('3. Appendix A'!$E$20, '2. 2016 Continuity Schedule'!$A$20:$BV$20,0),FALSE)), 0, VLOOKUP($A31, '2. 2016 Continuity Schedule'!$A$20:$BV$89, MATCH('3. Appendix A'!$E$20, '2. 2016 Continuity Schedule'!$A$20:$BV$20,0),FALSE))</f>
        <v>-148379.25</v>
      </c>
      <c r="F31" s="407" t="s">
        <v>393</v>
      </c>
    </row>
    <row r="32" spans="1:6" ht="30.75" customHeight="1" x14ac:dyDescent="0.25">
      <c r="A32" s="129">
        <v>7</v>
      </c>
      <c r="C32" s="337" t="str">
        <f>VLOOKUP(A32, '2. 2016 Continuity Schedule'!$A$24:$BV$87,3,FALSE)</f>
        <v>RSVA - Global Adjustment</v>
      </c>
      <c r="D32" s="338">
        <f>VLOOKUP(A32, '2. 2016 Continuity Schedule'!$A$24:$BV$87,4,FALSE)</f>
        <v>1589</v>
      </c>
      <c r="E32" s="339">
        <f>IF(ISERROR(VLOOKUP($A32, '2. 2016 Continuity Schedule'!$A$20:$BV$89, MATCH('3. Appendix A'!$E$20, '2. 2016 Continuity Schedule'!$A$20:$BV$20,0),FALSE)), 0, VLOOKUP($A32, '2. 2016 Continuity Schedule'!$A$20:$BV$89, MATCH('3. Appendix A'!$E$20, '2. 2016 Continuity Schedule'!$A$20:$BV$20,0),FALSE))</f>
        <v>0.83000000007450581</v>
      </c>
      <c r="F32" s="407" t="s">
        <v>392</v>
      </c>
    </row>
    <row r="33" spans="1:6" ht="30.75" hidden="1" customHeight="1" x14ac:dyDescent="0.25">
      <c r="A33" s="129">
        <v>8</v>
      </c>
      <c r="C33" s="337" t="str">
        <f>VLOOKUP(A33, '2. 2016 Continuity Schedule'!$A$24:$BV$87,3,FALSE)</f>
        <v>Disposition and Recovery/Refund of Regulatory Balances (2009)8</v>
      </c>
      <c r="D33" s="338">
        <f>VLOOKUP(A33, '2. 2016 Continuity Schedule'!$A$24:$BV$87,4,FALSE)</f>
        <v>1595</v>
      </c>
      <c r="E33" s="339">
        <f>IF(ISERROR(VLOOKUP($A33, '2. 2016 Continuity Schedule'!$A$20:$BV$89, MATCH('3. Appendix A'!$E$20, '2. 2016 Continuity Schedule'!$A$20:$BV$20,0),FALSE)), 0, VLOOKUP($A33, '2. 2016 Continuity Schedule'!$A$20:$BV$89, MATCH('3. Appendix A'!$E$20, '2. 2016 Continuity Schedule'!$A$20:$BV$20,0),FALSE))</f>
        <v>0</v>
      </c>
      <c r="F33" s="181"/>
    </row>
    <row r="34" spans="1:6" ht="30.75" hidden="1" customHeight="1" x14ac:dyDescent="0.25">
      <c r="A34" s="129">
        <v>9</v>
      </c>
      <c r="C34" s="337" t="str">
        <f>VLOOKUP(A34, '2. 2016 Continuity Schedule'!$A$24:$BV$87,3,FALSE)</f>
        <v>Disposition and Recovery/Refund of Regulatory Balances (2010)8</v>
      </c>
      <c r="D34" s="338">
        <f>VLOOKUP(A34, '2. 2016 Continuity Schedule'!$A$24:$BV$87,4,FALSE)</f>
        <v>1595</v>
      </c>
      <c r="E34" s="339">
        <f>IF(ISERROR(VLOOKUP($A34, '2. 2016 Continuity Schedule'!$A$20:$BV$89, MATCH('3. Appendix A'!$E$20, '2. 2016 Continuity Schedule'!$A$20:$BV$20,0),FALSE)), 0, VLOOKUP($A34, '2. 2016 Continuity Schedule'!$A$20:$BV$89, MATCH('3. Appendix A'!$E$20, '2. 2016 Continuity Schedule'!$A$20:$BV$20,0),FALSE))</f>
        <v>0</v>
      </c>
      <c r="F34" s="181"/>
    </row>
    <row r="35" spans="1:6" ht="30.75" hidden="1" customHeight="1" x14ac:dyDescent="0.25">
      <c r="A35" s="129">
        <v>10</v>
      </c>
      <c r="C35" s="337" t="str">
        <f>VLOOKUP(A35, '2. 2016 Continuity Schedule'!$A$24:$BV$87,3,FALSE)</f>
        <v>Disposition and Recovery/Refund of Regulatory Balances (2011)8</v>
      </c>
      <c r="D35" s="338">
        <f>VLOOKUP(A35, '2. 2016 Continuity Schedule'!$A$24:$BV$87,4,FALSE)</f>
        <v>1595</v>
      </c>
      <c r="E35" s="339">
        <f>IF(ISERROR(VLOOKUP($A35, '2. 2016 Continuity Schedule'!$A$20:$BV$89, MATCH('3. Appendix A'!$E$20, '2. 2016 Continuity Schedule'!$A$20:$BV$20,0),FALSE)), 0, VLOOKUP($A35, '2. 2016 Continuity Schedule'!$A$20:$BV$89, MATCH('3. Appendix A'!$E$20, '2. 2016 Continuity Schedule'!$A$20:$BV$20,0),FALSE))</f>
        <v>0</v>
      </c>
      <c r="F35" s="181"/>
    </row>
    <row r="36" spans="1:6" ht="30.75" hidden="1" customHeight="1" x14ac:dyDescent="0.25">
      <c r="A36" s="129">
        <v>11</v>
      </c>
      <c r="C36" s="337" t="str">
        <f>VLOOKUP(A36, '2. 2016 Continuity Schedule'!$A$24:$BV$87,3,FALSE)</f>
        <v>Disposition and Recovery/Refund of Regulatory Balances (2012)8</v>
      </c>
      <c r="D36" s="338">
        <f>VLOOKUP(A36, '2. 2016 Continuity Schedule'!$A$24:$BV$87,4,FALSE)</f>
        <v>1595</v>
      </c>
      <c r="E36" s="339">
        <f>IF(ISERROR(VLOOKUP($A36, '2. 2016 Continuity Schedule'!$A$20:$BV$89, MATCH('3. Appendix A'!$E$20, '2. 2016 Continuity Schedule'!$A$20:$BV$20,0),FALSE)), 0, VLOOKUP($A36, '2. 2016 Continuity Schedule'!$A$20:$BV$89, MATCH('3. Appendix A'!$E$20, '2. 2016 Continuity Schedule'!$A$20:$BV$20,0),FALSE))</f>
        <v>0</v>
      </c>
      <c r="F36" s="181"/>
    </row>
    <row r="37" spans="1:6" ht="30.75" hidden="1" customHeight="1" x14ac:dyDescent="0.25">
      <c r="A37" s="129">
        <v>12</v>
      </c>
      <c r="C37" s="337" t="str">
        <f>VLOOKUP(A37, '2. 2016 Continuity Schedule'!$A$24:$BV$87,3,FALSE)</f>
        <v>Disposition and Recovery/Refund of Regulatory Balances (2013)8</v>
      </c>
      <c r="D37" s="338">
        <f>VLOOKUP(A37, '2. 2016 Continuity Schedule'!$A$24:$BV$87,4,FALSE)</f>
        <v>1595</v>
      </c>
      <c r="E37" s="339">
        <f>IF(ISERROR(VLOOKUP($A37, '2. 2016 Continuity Schedule'!$A$20:$BV$89, MATCH('3. Appendix A'!$E$20, '2. 2016 Continuity Schedule'!$A$20:$BV$20,0),FALSE)), 0, VLOOKUP($A37, '2. 2016 Continuity Schedule'!$A$20:$BV$89, MATCH('3. Appendix A'!$E$20, '2. 2016 Continuity Schedule'!$A$20:$BV$20,0),FALSE))</f>
        <v>0</v>
      </c>
      <c r="F37" s="181"/>
    </row>
    <row r="38" spans="1:6" ht="30.75" hidden="1" customHeight="1" x14ac:dyDescent="0.25">
      <c r="A38" s="129">
        <v>13</v>
      </c>
      <c r="C38" s="337" t="str">
        <f>VLOOKUP(A38, '2. 2016 Continuity Schedule'!$A$24:$BV$87,3,FALSE)</f>
        <v>Disposition and Recovery/Refund of Regulatory Balances (2014)8</v>
      </c>
      <c r="D38" s="338">
        <f>VLOOKUP(A38, '2. 2016 Continuity Schedule'!$A$24:$BV$87,4,FALSE)</f>
        <v>1595</v>
      </c>
      <c r="E38" s="339">
        <f>IF(ISERROR(VLOOKUP($A38, '2. 2016 Continuity Schedule'!$A$20:$BV$89, MATCH('3. Appendix A'!$E$20, '2. 2016 Continuity Schedule'!$A$20:$BV$20,0),FALSE)), 0, VLOOKUP($A38, '2. 2016 Continuity Schedule'!$A$20:$BV$89, MATCH('3. Appendix A'!$E$20, '2. 2016 Continuity Schedule'!$A$20:$BV$20,0),FALSE))</f>
        <v>0</v>
      </c>
      <c r="F38" s="181"/>
    </row>
    <row r="39" spans="1:6" ht="30.75" hidden="1" customHeight="1" x14ac:dyDescent="0.25">
      <c r="A39" s="129">
        <v>14</v>
      </c>
      <c r="C39" s="337" t="str">
        <f>VLOOKUP(A39, '2. 2016 Continuity Schedule'!$A$24:$BV$87,3,FALSE)</f>
        <v>Disposition and Recovery/Refund of Regulatory Balances (2015)8</v>
      </c>
      <c r="D39" s="338">
        <f>VLOOKUP(A39, '2. 2016 Continuity Schedule'!$A$24:$BV$87,4,FALSE)</f>
        <v>1595</v>
      </c>
      <c r="E39" s="339">
        <f>IF(ISERROR(VLOOKUP($A39, '2. 2016 Continuity Schedule'!$A$20:$BV$89, MATCH('3. Appendix A'!$E$20, '2. 2016 Continuity Schedule'!$A$20:$BV$20,0),FALSE)), 0, VLOOKUP($A39, '2. 2016 Continuity Schedule'!$A$20:$BV$89, MATCH('3. Appendix A'!$E$20, '2. 2016 Continuity Schedule'!$A$20:$BV$20,0),FALSE))</f>
        <v>0</v>
      </c>
      <c r="F39" s="181"/>
    </row>
    <row r="40" spans="1:6" ht="30.75" hidden="1" customHeight="1" x14ac:dyDescent="0.25">
      <c r="C40" s="340"/>
      <c r="D40" s="338"/>
      <c r="E40" s="339"/>
      <c r="F40" s="182"/>
    </row>
    <row r="41" spans="1:6" ht="30.75" hidden="1" customHeight="1" thickBot="1" x14ac:dyDescent="0.3">
      <c r="C41" s="334" t="s">
        <v>27</v>
      </c>
      <c r="D41" s="341"/>
      <c r="E41" s="339"/>
      <c r="F41" s="125"/>
    </row>
    <row r="42" spans="1:6" ht="30.75" customHeight="1" x14ac:dyDescent="0.25">
      <c r="A42" s="1">
        <v>15</v>
      </c>
      <c r="C42" s="337" t="str">
        <f>VLOOKUP(A42, '2. 2016 Continuity Schedule'!$A$24:$BV$87,3,FALSE)</f>
        <v>Other Regulatory Assets - Sub-Account - Deferred IFRS Transition Costs</v>
      </c>
      <c r="D42" s="338">
        <f>VLOOKUP(A42, '2. 2016 Continuity Schedule'!$A$24:$BV$87,4,FALSE)</f>
        <v>1508</v>
      </c>
      <c r="E42" s="339">
        <f>IF(ISERROR(VLOOKUP($A42, '2. 2016 Continuity Schedule'!$A$20:$BV$89, MATCH('3. Appendix A'!$E$20, '2. 2016 Continuity Schedule'!$A$20:$BV$20,0),FALSE)), 0, VLOOKUP($A42, '2. 2016 Continuity Schedule'!$A$20:$BV$89, MATCH('3. Appendix A'!$E$20, '2. 2016 Continuity Schedule'!$A$20:$BV$20,0),FALSE))</f>
        <v>2563.4499999999534</v>
      </c>
      <c r="F42" s="407" t="s">
        <v>394</v>
      </c>
    </row>
    <row r="43" spans="1:6" ht="30.75" hidden="1" customHeight="1" x14ac:dyDescent="0.25">
      <c r="A43" s="1">
        <v>16</v>
      </c>
      <c r="C43" s="337" t="str">
        <f>VLOOKUP(A43, '2. 2016 Continuity Schedule'!$A$24:$BV$87,3,FALSE)</f>
        <v>Other Regulatory Assets - Sub-Account - Incremental Capital Charges</v>
      </c>
      <c r="D43" s="338">
        <f>VLOOKUP(A43, '2. 2016 Continuity Schedule'!$A$24:$BV$87,4,FALSE)</f>
        <v>1508</v>
      </c>
      <c r="E43" s="339">
        <f>IF(ISERROR(VLOOKUP($A43, '2. 2016 Continuity Schedule'!$A$20:$BV$89, MATCH('3. Appendix A'!$E$20, '2. 2016 Continuity Schedule'!$A$20:$BV$20,0),FALSE)), 0, VLOOKUP($A43, '2. 2016 Continuity Schedule'!$A$20:$BV$89, MATCH('3. Appendix A'!$E$20, '2. 2016 Continuity Schedule'!$A$20:$BV$20,0),FALSE))</f>
        <v>0</v>
      </c>
      <c r="F43" s="181"/>
    </row>
    <row r="44" spans="1:6" ht="30.75" hidden="1" customHeight="1" x14ac:dyDescent="0.25">
      <c r="A44" s="1">
        <v>17</v>
      </c>
      <c r="C44" s="337" t="str">
        <f>VLOOKUP(A44, '2. 2016 Continuity Schedule'!$A$24:$BV$87,3,FALSE)</f>
        <v>Other Regulatory Assets - Sub-Account - Financial Assistance Payment and Recovery Variance - Ontario Clean Energy Benefit Act3</v>
      </c>
      <c r="D44" s="338">
        <f>VLOOKUP(A44, '2. 2016 Continuity Schedule'!$A$24:$BV$87,4,FALSE)</f>
        <v>1508</v>
      </c>
      <c r="E44" s="339">
        <f>IF(ISERROR(VLOOKUP($A44, '2. 2016 Continuity Schedule'!$A$20:$BV$89, MATCH('3. Appendix A'!$E$20, '2. 2016 Continuity Schedule'!$A$20:$BV$20,0),FALSE)), 0, VLOOKUP($A44, '2. 2016 Continuity Schedule'!$A$20:$BV$89, MATCH('3. Appendix A'!$E$20, '2. 2016 Continuity Schedule'!$A$20:$BV$20,0),FALSE))</f>
        <v>0</v>
      </c>
      <c r="F44" s="181"/>
    </row>
    <row r="45" spans="1:6" ht="30.75" customHeight="1" x14ac:dyDescent="0.25">
      <c r="A45" s="1">
        <v>18</v>
      </c>
      <c r="C45" s="337" t="str">
        <f>VLOOKUP(A45, '2. 2016 Continuity Schedule'!$A$24:$BV$87,3,FALSE)</f>
        <v>Other Regulatory Assets - Sub-Account - Other 4</v>
      </c>
      <c r="D45" s="338">
        <f>VLOOKUP(A45, '2. 2016 Continuity Schedule'!$A$24:$BV$87,4,FALSE)</f>
        <v>1508</v>
      </c>
      <c r="E45" s="339">
        <f>IF(ISERROR(VLOOKUP($A45, '2. 2016 Continuity Schedule'!$A$20:$BV$89, MATCH('3. Appendix A'!$E$20, '2. 2016 Continuity Schedule'!$A$20:$BV$20,0),FALSE)), 0, VLOOKUP($A45, '2. 2016 Continuity Schedule'!$A$20:$BV$89, MATCH('3. Appendix A'!$E$20, '2. 2016 Continuity Schedule'!$A$20:$BV$20,0),FALSE))</f>
        <v>-2565.0700000000002</v>
      </c>
      <c r="F45" s="407" t="s">
        <v>394</v>
      </c>
    </row>
    <row r="46" spans="1:6" ht="30.75" customHeight="1" x14ac:dyDescent="0.25">
      <c r="A46" s="1">
        <v>19</v>
      </c>
      <c r="C46" s="337" t="str">
        <f>VLOOKUP(A46, '2. 2016 Continuity Schedule'!$A$24:$BV$87,3,FALSE)</f>
        <v>Retail Cost Variance Account - Retail</v>
      </c>
      <c r="D46" s="338">
        <f>VLOOKUP(A46, '2. 2016 Continuity Schedule'!$A$24:$BV$87,4,FALSE)</f>
        <v>1518</v>
      </c>
      <c r="E46" s="339">
        <f>IF(ISERROR(VLOOKUP($A46, '2. 2016 Continuity Schedule'!$A$20:$BV$89, MATCH('3. Appendix A'!$E$20, '2. 2016 Continuity Schedule'!$A$20:$BV$20,0),FALSE)), 0, VLOOKUP($A46, '2. 2016 Continuity Schedule'!$A$20:$BV$89, MATCH('3. Appendix A'!$E$20, '2. 2016 Continuity Schedule'!$A$20:$BV$20,0),FALSE))</f>
        <v>0.34999999999854481</v>
      </c>
      <c r="F46" s="407" t="s">
        <v>392</v>
      </c>
    </row>
    <row r="47" spans="1:6" ht="30.75" hidden="1" customHeight="1" x14ac:dyDescent="0.25">
      <c r="A47" s="1">
        <v>20</v>
      </c>
      <c r="C47" s="337" t="str">
        <f>VLOOKUP(A47, '2. 2016 Continuity Schedule'!$A$24:$BV$87,3,FALSE)</f>
        <v>Misc. Deferred Debits</v>
      </c>
      <c r="D47" s="338">
        <f>VLOOKUP(A47, '2. 2016 Continuity Schedule'!$A$24:$BV$87,4,FALSE)</f>
        <v>1525</v>
      </c>
      <c r="E47" s="339">
        <f>IF(ISERROR(VLOOKUP($A47, '2. 2016 Continuity Schedule'!$A$20:$BV$89, MATCH('3. Appendix A'!$E$20, '2. 2016 Continuity Schedule'!$A$20:$BV$20,0),FALSE)), 0, VLOOKUP($A47, '2. 2016 Continuity Schedule'!$A$20:$BV$89, MATCH('3. Appendix A'!$E$20, '2. 2016 Continuity Schedule'!$A$20:$BV$20,0),FALSE))</f>
        <v>0</v>
      </c>
      <c r="F47" s="181"/>
    </row>
    <row r="48" spans="1:6" ht="30.75" customHeight="1" x14ac:dyDescent="0.25">
      <c r="A48" s="1">
        <v>21</v>
      </c>
      <c r="C48" s="337" t="str">
        <f>VLOOKUP(A48, '2. 2016 Continuity Schedule'!$A$24:$BV$87,3,FALSE)</f>
        <v>Retail Cost Variance Account - STR</v>
      </c>
      <c r="D48" s="338">
        <f>VLOOKUP(A48, '2. 2016 Continuity Schedule'!$A$24:$BV$87,4,FALSE)</f>
        <v>1548</v>
      </c>
      <c r="E48" s="339">
        <f>IF(ISERROR(VLOOKUP($A48, '2. 2016 Continuity Schedule'!$A$20:$BV$89, MATCH('3. Appendix A'!$E$20, '2. 2016 Continuity Schedule'!$A$20:$BV$20,0),FALSE)), 0, VLOOKUP($A48, '2. 2016 Continuity Schedule'!$A$20:$BV$89, MATCH('3. Appendix A'!$E$20, '2. 2016 Continuity Schedule'!$A$20:$BV$20,0),FALSE))</f>
        <v>0.25000000000363798</v>
      </c>
      <c r="F48" s="407" t="s">
        <v>392</v>
      </c>
    </row>
    <row r="49" spans="1:6" ht="30.75" hidden="1" customHeight="1" x14ac:dyDescent="0.25">
      <c r="A49" s="1">
        <v>22</v>
      </c>
      <c r="C49" s="337" t="str">
        <f>VLOOKUP(A49, '2. 2016 Continuity Schedule'!$A$24:$BV$87,3,FALSE)</f>
        <v>Board-Approved CDM Variance Account</v>
      </c>
      <c r="D49" s="338">
        <f>VLOOKUP(A49, '2. 2016 Continuity Schedule'!$A$24:$BV$87,4,FALSE)</f>
        <v>1567</v>
      </c>
      <c r="E49" s="339">
        <f>IF(ISERROR(VLOOKUP($A49, '2. 2016 Continuity Schedule'!$A$20:$BV$89, MATCH('3. Appendix A'!$E$20, '2. 2016 Continuity Schedule'!$A$20:$BV$20,0),FALSE)), 0, VLOOKUP($A49, '2. 2016 Continuity Schedule'!$A$20:$BV$89, MATCH('3. Appendix A'!$E$20, '2. 2016 Continuity Schedule'!$A$20:$BV$20,0),FALSE))</f>
        <v>0</v>
      </c>
      <c r="F49" s="407" t="s">
        <v>392</v>
      </c>
    </row>
    <row r="50" spans="1:6" ht="30.75" hidden="1" customHeight="1" x14ac:dyDescent="0.25">
      <c r="A50" s="1">
        <v>23</v>
      </c>
      <c r="C50" s="337" t="str">
        <f>VLOOKUP(A50, '2. 2016 Continuity Schedule'!$A$24:$BV$87,3,FALSE)</f>
        <v>Extra-Ordinary Event Costs</v>
      </c>
      <c r="D50" s="338">
        <f>VLOOKUP(A50, '2. 2016 Continuity Schedule'!$A$24:$BV$87,4,FALSE)</f>
        <v>1572</v>
      </c>
      <c r="E50" s="339">
        <f>IF(ISERROR(VLOOKUP($A50, '2. 2016 Continuity Schedule'!$A$20:$BV$89, MATCH('3. Appendix A'!$E$20, '2. 2016 Continuity Schedule'!$A$20:$BV$20,0),FALSE)), 0, VLOOKUP($A50, '2. 2016 Continuity Schedule'!$A$20:$BV$89, MATCH('3. Appendix A'!$E$20, '2. 2016 Continuity Schedule'!$A$20:$BV$20,0),FALSE))</f>
        <v>0</v>
      </c>
      <c r="F50" s="407" t="s">
        <v>392</v>
      </c>
    </row>
    <row r="51" spans="1:6" ht="30.75" hidden="1" customHeight="1" x14ac:dyDescent="0.25">
      <c r="A51" s="1">
        <v>24</v>
      </c>
      <c r="C51" s="337" t="str">
        <f>VLOOKUP(A51, '2. 2016 Continuity Schedule'!$A$24:$BV$87,3,FALSE)</f>
        <v>Deferred Rate Impact Amounts</v>
      </c>
      <c r="D51" s="338">
        <f>VLOOKUP(A51, '2. 2016 Continuity Schedule'!$A$24:$BV$87,4,FALSE)</f>
        <v>1574</v>
      </c>
      <c r="E51" s="339">
        <f>IF(ISERROR(VLOOKUP($A51, '2. 2016 Continuity Schedule'!$A$20:$BV$89, MATCH('3. Appendix A'!$E$20, '2. 2016 Continuity Schedule'!$A$20:$BV$20,0),FALSE)), 0, VLOOKUP($A51, '2. 2016 Continuity Schedule'!$A$20:$BV$89, MATCH('3. Appendix A'!$E$20, '2. 2016 Continuity Schedule'!$A$20:$BV$20,0),FALSE))</f>
        <v>0</v>
      </c>
      <c r="F51" s="407" t="s">
        <v>392</v>
      </c>
    </row>
    <row r="52" spans="1:6" ht="30.75" customHeight="1" x14ac:dyDescent="0.25">
      <c r="A52" s="1">
        <v>25</v>
      </c>
      <c r="C52" s="337" t="str">
        <f>VLOOKUP(A52, '2. 2016 Continuity Schedule'!$A$24:$BV$87,3,FALSE)</f>
        <v>RSVA - One-time</v>
      </c>
      <c r="D52" s="338">
        <f>VLOOKUP(A52, '2. 2016 Continuity Schedule'!$A$24:$BV$87,4,FALSE)</f>
        <v>1582</v>
      </c>
      <c r="E52" s="339">
        <f>IF(ISERROR(VLOOKUP($A52, '2. 2016 Continuity Schedule'!$A$20:$BV$89, MATCH('3. Appendix A'!$E$20, '2. 2016 Continuity Schedule'!$A$20:$BV$20,0),FALSE)), 0, VLOOKUP($A52, '2. 2016 Continuity Schedule'!$A$20:$BV$89, MATCH('3. Appendix A'!$E$20, '2. 2016 Continuity Schedule'!$A$20:$BV$20,0),FALSE))</f>
        <v>0.44000000000596629</v>
      </c>
      <c r="F52" s="407" t="s">
        <v>392</v>
      </c>
    </row>
    <row r="53" spans="1:6" ht="30.75" hidden="1" customHeight="1" x14ac:dyDescent="0.25">
      <c r="A53" s="1">
        <v>26</v>
      </c>
      <c r="C53" s="337" t="str">
        <f>VLOOKUP(A53, '2. 2016 Continuity Schedule'!$A$24:$BV$87,3,FALSE)</f>
        <v>Other Deferred Credits</v>
      </c>
      <c r="D53" s="338">
        <f>VLOOKUP(A53, '2. 2016 Continuity Schedule'!$A$24:$BV$87,4,FALSE)</f>
        <v>2425</v>
      </c>
      <c r="E53" s="339">
        <f>IF(ISERROR(VLOOKUP($A53, '2. 2016 Continuity Schedule'!$A$20:$BV$89, MATCH('3. Appendix A'!$E$20, '2. 2016 Continuity Schedule'!$A$20:$BV$20,0),FALSE)), 0, VLOOKUP($A53, '2. 2016 Continuity Schedule'!$A$20:$BV$89, MATCH('3. Appendix A'!$E$20, '2. 2016 Continuity Schedule'!$A$20:$BV$20,0),FALSE))</f>
        <v>0</v>
      </c>
      <c r="F53" s="407" t="s">
        <v>392</v>
      </c>
    </row>
    <row r="54" spans="1:6" ht="30.75" hidden="1" customHeight="1" x14ac:dyDescent="0.25">
      <c r="A54" s="1">
        <v>27</v>
      </c>
      <c r="C54" s="337" t="str">
        <f>VLOOKUP(A54, '2. 2016 Continuity Schedule'!$A$24:$BV$87,3,FALSE)</f>
        <v>PILs and Tax Variance for 2006 and Subsequent Years                                                                          (excludes sub-account and contra account below)</v>
      </c>
      <c r="D54" s="338">
        <f>VLOOKUP(A54, '2. 2016 Continuity Schedule'!$A$24:$BV$87,4,FALSE)</f>
        <v>1592</v>
      </c>
      <c r="E54" s="339">
        <f>IF(ISERROR(VLOOKUP($A54, '2. 2016 Continuity Schedule'!$A$20:$BV$89, MATCH('3. Appendix A'!$E$20, '2. 2016 Continuity Schedule'!$A$20:$BV$20,0),FALSE)), 0, VLOOKUP($A54, '2. 2016 Continuity Schedule'!$A$20:$BV$89, MATCH('3. Appendix A'!$E$20, '2. 2016 Continuity Schedule'!$A$20:$BV$20,0),FALSE))</f>
        <v>0</v>
      </c>
      <c r="F54" s="407" t="s">
        <v>392</v>
      </c>
    </row>
    <row r="55" spans="1:6" ht="30.75" customHeight="1" x14ac:dyDescent="0.25">
      <c r="A55" s="1">
        <v>28</v>
      </c>
      <c r="C55" s="337" t="str">
        <f>VLOOKUP(A55, '2. 2016 Continuity Schedule'!$A$24:$BV$87,3,FALSE)</f>
        <v>PILs and Tax Variance for 2006 and Subsequent Years - Sub-Account HST/OVAT Input Tax Credits (ITCs)</v>
      </c>
      <c r="D55" s="338">
        <f>VLOOKUP(A55, '2. 2016 Continuity Schedule'!$A$24:$BV$87,4,FALSE)</f>
        <v>1592</v>
      </c>
      <c r="E55" s="339">
        <f>IF(ISERROR(VLOOKUP($A55, '2. 2016 Continuity Schedule'!$A$20:$BV$89, MATCH('3. Appendix A'!$E$20, '2. 2016 Continuity Schedule'!$A$20:$BV$20,0),FALSE)), 0, VLOOKUP($A55, '2. 2016 Continuity Schedule'!$A$20:$BV$89, MATCH('3. Appendix A'!$E$20, '2. 2016 Continuity Schedule'!$A$20:$BV$20,0),FALSE))</f>
        <v>0.23000000000001819</v>
      </c>
      <c r="F55" s="407" t="s">
        <v>392</v>
      </c>
    </row>
    <row r="56" spans="1:6" ht="30.75" customHeight="1" x14ac:dyDescent="0.25">
      <c r="A56" s="1">
        <v>29</v>
      </c>
      <c r="C56" s="337" t="str">
        <f>VLOOKUP(A56, '2. 2016 Continuity Schedule'!$A$24:$BV$87,3,FALSE)</f>
        <v>LRAM Variance Account12</v>
      </c>
      <c r="D56" s="338">
        <f>VLOOKUP(A56, '2. 2016 Continuity Schedule'!$A$24:$BV$87,4,FALSE)</f>
        <v>1568</v>
      </c>
      <c r="E56" s="339">
        <f>IF(ISERROR(VLOOKUP($A56, '2. 2016 Continuity Schedule'!$A$20:$BV$89, MATCH('3. Appendix A'!$E$20, '2. 2016 Continuity Schedule'!$A$20:$BV$20,0),FALSE)), 0, VLOOKUP($A56, '2. 2016 Continuity Schedule'!$A$20:$BV$89, MATCH('3. Appendix A'!$E$20, '2. 2016 Continuity Schedule'!$A$20:$BV$20,0),FALSE))</f>
        <v>0.53999999999723514</v>
      </c>
      <c r="F56" s="407" t="s">
        <v>392</v>
      </c>
    </row>
    <row r="57" spans="1:6" ht="30.75" hidden="1" customHeight="1" x14ac:dyDescent="0.25">
      <c r="A57" s="1">
        <v>30</v>
      </c>
      <c r="C57" s="337" t="str">
        <f>VLOOKUP(A57, '2. 2016 Continuity Schedule'!$A$24:$BV$87,3,FALSE)</f>
        <v>Renewable Generation Connection Capital Deferral Account9</v>
      </c>
      <c r="D57" s="338">
        <f>VLOOKUP(A57, '2. 2016 Continuity Schedule'!$A$24:$BV$87,4,FALSE)</f>
        <v>1531</v>
      </c>
      <c r="E57" s="339">
        <f>IF(ISERROR(VLOOKUP($A57, '2. 2016 Continuity Schedule'!$A$20:$BV$89, MATCH('3. Appendix A'!$E$20, '2. 2016 Continuity Schedule'!$A$20:$BV$20,0),FALSE)), 0, VLOOKUP($A57, '2. 2016 Continuity Schedule'!$A$20:$BV$89, MATCH('3. Appendix A'!$E$20, '2. 2016 Continuity Schedule'!$A$20:$BV$20,0),FALSE))</f>
        <v>0</v>
      </c>
      <c r="F57" s="407" t="s">
        <v>392</v>
      </c>
    </row>
    <row r="58" spans="1:6" ht="30.75" hidden="1" customHeight="1" x14ac:dyDescent="0.25">
      <c r="A58" s="1">
        <v>31</v>
      </c>
      <c r="C58" s="337" t="str">
        <f>VLOOKUP(A58, '2. 2016 Continuity Schedule'!$A$24:$BV$87,3,FALSE)</f>
        <v>Renewable Generation Connection OM&amp;A Deferral Account9</v>
      </c>
      <c r="D58" s="338">
        <f>VLOOKUP(A58, '2. 2016 Continuity Schedule'!$A$24:$BV$87,4,FALSE)</f>
        <v>1532</v>
      </c>
      <c r="E58" s="339">
        <f>IF(ISERROR(VLOOKUP($A58, '2. 2016 Continuity Schedule'!$A$20:$BV$89, MATCH('3. Appendix A'!$E$20, '2. 2016 Continuity Schedule'!$A$20:$BV$20,0),FALSE)), 0, VLOOKUP($A58, '2. 2016 Continuity Schedule'!$A$20:$BV$89, MATCH('3. Appendix A'!$E$20, '2. 2016 Continuity Schedule'!$A$20:$BV$20,0),FALSE))</f>
        <v>0</v>
      </c>
      <c r="F58" s="407" t="s">
        <v>392</v>
      </c>
    </row>
    <row r="59" spans="1:6" ht="30.75" hidden="1" customHeight="1" x14ac:dyDescent="0.25">
      <c r="A59" s="1">
        <v>32</v>
      </c>
      <c r="C59" s="337" t="str">
        <f>VLOOKUP(A59, '2. 2016 Continuity Schedule'!$A$24:$BV$87,3,FALSE)</f>
        <v xml:space="preserve">Renewable Generation Connection Funding Adder Deferral Account </v>
      </c>
      <c r="D59" s="338">
        <f>VLOOKUP(A59, '2. 2016 Continuity Schedule'!$A$24:$BV$87,4,FALSE)</f>
        <v>1533</v>
      </c>
      <c r="E59" s="339">
        <f>IF(ISERROR(VLOOKUP($A59, '2. 2016 Continuity Schedule'!$A$20:$BV$89, MATCH('3. Appendix A'!$E$20, '2. 2016 Continuity Schedule'!$A$20:$BV$20,0),FALSE)), 0, VLOOKUP($A59, '2. 2016 Continuity Schedule'!$A$20:$BV$89, MATCH('3. Appendix A'!$E$20, '2. 2016 Continuity Schedule'!$A$20:$BV$20,0),FALSE))</f>
        <v>0</v>
      </c>
      <c r="F59" s="407" t="s">
        <v>392</v>
      </c>
    </row>
    <row r="60" spans="1:6" ht="30.75" hidden="1" customHeight="1" x14ac:dyDescent="0.25">
      <c r="A60" s="1">
        <v>33</v>
      </c>
      <c r="C60" s="337" t="str">
        <f>VLOOKUP(A60, '2. 2016 Continuity Schedule'!$A$24:$BV$87,3,FALSE)</f>
        <v>Smart Grid Capital Deferral Account</v>
      </c>
      <c r="D60" s="338">
        <f>VLOOKUP(A60, '2. 2016 Continuity Schedule'!$A$24:$BV$87,4,FALSE)</f>
        <v>1534</v>
      </c>
      <c r="E60" s="339">
        <f>IF(ISERROR(VLOOKUP($A60, '2. 2016 Continuity Schedule'!$A$20:$BV$89, MATCH('3. Appendix A'!$E$20, '2. 2016 Continuity Schedule'!$A$20:$BV$20,0),FALSE)), 0, VLOOKUP($A60, '2. 2016 Continuity Schedule'!$A$20:$BV$89, MATCH('3. Appendix A'!$E$20, '2. 2016 Continuity Schedule'!$A$20:$BV$20,0),FALSE))</f>
        <v>0</v>
      </c>
      <c r="F60" s="407" t="s">
        <v>392</v>
      </c>
    </row>
    <row r="61" spans="1:6" ht="30.75" hidden="1" customHeight="1" x14ac:dyDescent="0.25">
      <c r="A61" s="1">
        <v>34</v>
      </c>
      <c r="C61" s="337" t="str">
        <f>VLOOKUP(A61, '2. 2016 Continuity Schedule'!$A$24:$BV$87,3,FALSE)</f>
        <v>Smart Grid OM&amp;A Deferral Account</v>
      </c>
      <c r="D61" s="338">
        <f>VLOOKUP(A61, '2. 2016 Continuity Schedule'!$A$24:$BV$87,4,FALSE)</f>
        <v>1535</v>
      </c>
      <c r="E61" s="339">
        <f>IF(ISERROR(VLOOKUP($A61, '2. 2016 Continuity Schedule'!$A$20:$BV$89, MATCH('3. Appendix A'!$E$20, '2. 2016 Continuity Schedule'!$A$20:$BV$20,0),FALSE)), 0, VLOOKUP($A61, '2. 2016 Continuity Schedule'!$A$20:$BV$89, MATCH('3. Appendix A'!$E$20, '2. 2016 Continuity Schedule'!$A$20:$BV$20,0),FALSE))</f>
        <v>0</v>
      </c>
      <c r="F61" s="407" t="s">
        <v>392</v>
      </c>
    </row>
    <row r="62" spans="1:6" ht="30.75" hidden="1" customHeight="1" x14ac:dyDescent="0.25">
      <c r="A62" s="1">
        <v>35</v>
      </c>
      <c r="C62" s="337" t="str">
        <f>VLOOKUP(A62, '2. 2016 Continuity Schedule'!$A$24:$BV$87,3,FALSE)</f>
        <v>Smart Grid Funding Adder Deferral Account</v>
      </c>
      <c r="D62" s="338">
        <f>VLOOKUP(A62, '2. 2016 Continuity Schedule'!$A$24:$BV$87,4,FALSE)</f>
        <v>1536</v>
      </c>
      <c r="E62" s="339">
        <f>IF(ISERROR(VLOOKUP($A62, '2. 2016 Continuity Schedule'!$A$20:$BV$89, MATCH('3. Appendix A'!$E$20, '2. 2016 Continuity Schedule'!$A$20:$BV$20,0),FALSE)), 0, VLOOKUP($A62, '2. 2016 Continuity Schedule'!$A$20:$BV$89, MATCH('3. Appendix A'!$E$20, '2. 2016 Continuity Schedule'!$A$20:$BV$20,0),FALSE))</f>
        <v>0</v>
      </c>
      <c r="F62" s="407" t="s">
        <v>392</v>
      </c>
    </row>
    <row r="63" spans="1:6" ht="30.75" hidden="1" customHeight="1" x14ac:dyDescent="0.25">
      <c r="A63" s="1">
        <v>36</v>
      </c>
      <c r="B63" s="6"/>
      <c r="C63" s="337" t="str">
        <f>VLOOKUP(A63, '2. 2016 Continuity Schedule'!$A$24:$BV$87,3,FALSE)</f>
        <v>Smart Meter Capital and Recovery Offset Variance - Sub-Account - Capital5</v>
      </c>
      <c r="D63" s="338">
        <f>VLOOKUP(A63, '2. 2016 Continuity Schedule'!$A$24:$BV$87,4,FALSE)</f>
        <v>1555</v>
      </c>
      <c r="E63" s="339">
        <f>IF(ISERROR(VLOOKUP($A63, '2. 2016 Continuity Schedule'!$A$20:$BV$89, MATCH('3. Appendix A'!$E$20, '2. 2016 Continuity Schedule'!$A$20:$BV$20,0),FALSE)), 0, VLOOKUP($A63, '2. 2016 Continuity Schedule'!$A$20:$BV$89, MATCH('3. Appendix A'!$E$20, '2. 2016 Continuity Schedule'!$A$20:$BV$20,0),FALSE))</f>
        <v>0</v>
      </c>
      <c r="F63" s="407" t="s">
        <v>392</v>
      </c>
    </row>
    <row r="64" spans="1:6" ht="30.75" hidden="1" customHeight="1" x14ac:dyDescent="0.25">
      <c r="A64" s="1">
        <v>37</v>
      </c>
      <c r="B64" s="6"/>
      <c r="C64" s="337" t="str">
        <f>VLOOKUP(A64, '2. 2016 Continuity Schedule'!$A$24:$BV$87,3,FALSE)</f>
        <v>Smart Meter Capital and Recovery Offset Variance - Sub-Account - Recoveries5</v>
      </c>
      <c r="D64" s="338">
        <f>VLOOKUP(A64, '2. 2016 Continuity Schedule'!$A$24:$BV$87,4,FALSE)</f>
        <v>1555</v>
      </c>
      <c r="E64" s="339">
        <f>IF(ISERROR(VLOOKUP($A64, '2. 2016 Continuity Schedule'!$A$20:$BV$89, MATCH('3. Appendix A'!$E$20, '2. 2016 Continuity Schedule'!$A$20:$BV$20,0),FALSE)), 0, VLOOKUP($A64, '2. 2016 Continuity Schedule'!$A$20:$BV$89, MATCH('3. Appendix A'!$E$20, '2. 2016 Continuity Schedule'!$A$20:$BV$20,0),FALSE))</f>
        <v>0</v>
      </c>
      <c r="F64" s="407" t="s">
        <v>392</v>
      </c>
    </row>
    <row r="65" spans="1:6" ht="30.75" customHeight="1" x14ac:dyDescent="0.25">
      <c r="A65" s="1">
        <v>38</v>
      </c>
      <c r="B65" s="6"/>
      <c r="C65" s="337" t="str">
        <f>VLOOKUP(A65, '2. 2016 Continuity Schedule'!$A$24:$BV$87,3,FALSE)</f>
        <v>Smart Meter Capital and Recovery Offset Variance - Sub-Account - Stranded Meter Costs5</v>
      </c>
      <c r="D65" s="338">
        <f>VLOOKUP(A65, '2. 2016 Continuity Schedule'!$A$24:$BV$87,4,FALSE)</f>
        <v>1555</v>
      </c>
      <c r="E65" s="339">
        <f>IF(ISERROR(VLOOKUP($A65, '2. 2016 Continuity Schedule'!$A$20:$BV$89, MATCH('3. Appendix A'!$E$20, '2. 2016 Continuity Schedule'!$A$20:$BV$20,0),FALSE)), 0, VLOOKUP($A65, '2. 2016 Continuity Schedule'!$A$20:$BV$89, MATCH('3. Appendix A'!$E$20, '2. 2016 Continuity Schedule'!$A$20:$BV$20,0),FALSE))</f>
        <v>-0.29000000002997695</v>
      </c>
      <c r="F65" s="407" t="s">
        <v>392</v>
      </c>
    </row>
    <row r="66" spans="1:6" ht="30.75" hidden="1" customHeight="1" x14ac:dyDescent="0.25">
      <c r="A66" s="1">
        <v>39</v>
      </c>
      <c r="B66" s="6"/>
      <c r="C66" s="337" t="str">
        <f>VLOOKUP(A66, '2. 2016 Continuity Schedule'!$A$24:$BV$87,3,FALSE)</f>
        <v>Smart Meter OM&amp;A Variance5</v>
      </c>
      <c r="D66" s="338">
        <f>VLOOKUP(A66, '2. 2016 Continuity Schedule'!$A$24:$BV$87,4,FALSE)</f>
        <v>1556</v>
      </c>
      <c r="E66" s="339">
        <f>IF(ISERROR(VLOOKUP($A66, '2. 2016 Continuity Schedule'!$A$20:$BV$89, MATCH('3. Appendix A'!$E$20, '2. 2016 Continuity Schedule'!$A$20:$BV$20,0),FALSE)), 0, VLOOKUP($A66, '2. 2016 Continuity Schedule'!$A$20:$BV$89, MATCH('3. Appendix A'!$E$20, '2. 2016 Continuity Schedule'!$A$20:$BV$20,0),FALSE))</f>
        <v>0</v>
      </c>
      <c r="F66" s="181"/>
    </row>
    <row r="67" spans="1:6" ht="30.75" hidden="1" customHeight="1" x14ac:dyDescent="0.25">
      <c r="A67" s="1">
        <v>40</v>
      </c>
      <c r="B67" s="6"/>
      <c r="C67" s="337" t="str">
        <f>VLOOKUP(A67, '2. 2016 Continuity Schedule'!$A$24:$BV$87,3,FALSE)</f>
        <v>Meter Cost Deferral Account (MIST Meters)11</v>
      </c>
      <c r="D67" s="338">
        <f>VLOOKUP(A67, '2. 2016 Continuity Schedule'!$A$24:$BV$87,4,FALSE)</f>
        <v>1557</v>
      </c>
      <c r="E67" s="339">
        <f>IF(ISERROR(VLOOKUP($A67, '2. 2016 Continuity Schedule'!$A$20:$BV$89, MATCH('3. Appendix A'!$E$20, '2. 2016 Continuity Schedule'!$A$20:$BV$20,0),FALSE)), 0, VLOOKUP($A67, '2. 2016 Continuity Schedule'!$A$20:$BV$89, MATCH('3. Appendix A'!$E$20, '2. 2016 Continuity Schedule'!$A$20:$BV$20,0),FALSE))</f>
        <v>0</v>
      </c>
      <c r="F67" s="181"/>
    </row>
    <row r="68" spans="1:6" ht="30.75" hidden="1" customHeight="1" x14ac:dyDescent="0.25">
      <c r="A68" s="1">
        <v>41</v>
      </c>
      <c r="B68" s="6"/>
      <c r="C68" s="342" t="str">
        <f>VLOOKUP(A68, '2. 2016 Continuity Schedule'!$A$24:$BV$87,3,FALSE)</f>
        <v>IFRS-CGAAP Transition PP&amp;E Amounts Balance + Return Component6</v>
      </c>
      <c r="D68" s="343">
        <f>VLOOKUP(A68, '2. 2016 Continuity Schedule'!$A$24:$BV$87,4,FALSE)</f>
        <v>1575</v>
      </c>
      <c r="E68" s="339">
        <f>IF(ISERROR(VLOOKUP($A68, '2. 2016 Continuity Schedule'!$A$20:$BV$89, MATCH('3. Appendix A'!$E$20, '2. 2016 Continuity Schedule'!$A$20:$BV$20,0),FALSE)), 0, VLOOKUP($A68, '2. 2016 Continuity Schedule'!$A$20:$BV$89, MATCH('3. Appendix A'!$E$20, '2. 2016 Continuity Schedule'!$A$20:$BV$20,0),FALSE))</f>
        <v>0</v>
      </c>
      <c r="F68" s="322"/>
    </row>
    <row r="69" spans="1:6" ht="30.75" hidden="1" customHeight="1" thickBot="1" x14ac:dyDescent="0.3">
      <c r="A69" s="1">
        <v>42</v>
      </c>
      <c r="C69" s="344" t="str">
        <f>VLOOKUP(A69, '2. 2016 Continuity Schedule'!$A$24:$BV$87,3,FALSE)</f>
        <v>Accounting Changes Under CGAAP Balance + Return Component6</v>
      </c>
      <c r="D69" s="345">
        <f>VLOOKUP(A69, '2. 2016 Continuity Schedule'!$A$24:$BV$87,4,FALSE)</f>
        <v>1576</v>
      </c>
      <c r="E69" s="346">
        <f>IF(ISERROR(VLOOKUP($A69, '2. 2016 Continuity Schedule'!$A$20:$BV$89, MATCH('3. Appendix A'!$E$20, '2. 2016 Continuity Schedule'!$A$20:$BV$20,0),FALSE)), 0, VLOOKUP($A69, '2. 2016 Continuity Schedule'!$A$20:$BV$89, MATCH('3. Appendix A'!$E$20, '2. 2016 Continuity Schedule'!$A$20:$BV$20,0),FALSE))</f>
        <v>0</v>
      </c>
      <c r="F69" s="321"/>
    </row>
    <row r="70" spans="1:6" hidden="1" x14ac:dyDescent="0.25"/>
    <row r="71" spans="1:6" hidden="1" x14ac:dyDescent="0.25"/>
    <row r="72" spans="1:6" hidden="1" x14ac:dyDescent="0.25"/>
  </sheetData>
  <sheetProtection password="F8BD" sheet="1" objects="1" scenarios="1"/>
  <mergeCells count="5">
    <mergeCell ref="E20:E22"/>
    <mergeCell ref="F20:F22"/>
    <mergeCell ref="C20:C22"/>
    <mergeCell ref="D20:D22"/>
    <mergeCell ref="B16:E16"/>
  </mergeCells>
  <phoneticPr fontId="17" type="noConversion"/>
  <conditionalFormatting sqref="F24:F40 F42:F69">
    <cfRule type="expression" dxfId="14" priority="4" stopIfTrue="1">
      <formula>ISBLANK(F24)</formula>
    </cfRule>
  </conditionalFormatting>
  <pageMargins left="0.35433070866141736" right="0.39370078740157483" top="0.61" bottom="0.63" header="0.37" footer="0.31"/>
  <pageSetup scale="4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EU51"/>
  <sheetViews>
    <sheetView showGridLines="0" topLeftCell="A19" zoomScaleNormal="100" workbookViewId="0">
      <selection activeCell="F29" sqref="F29"/>
    </sheetView>
  </sheetViews>
  <sheetFormatPr defaultColWidth="9.109375" defaultRowHeight="13.2" x14ac:dyDescent="0.25"/>
  <cols>
    <col min="1" max="1" width="9.109375" style="1"/>
    <col min="2" max="2" width="54" style="1" bestFit="1" customWidth="1"/>
    <col min="3" max="3" width="6.5546875" style="1" customWidth="1"/>
    <col min="4" max="4" width="14.88671875" style="1" customWidth="1"/>
    <col min="5" max="6" width="17.109375" style="1" customWidth="1"/>
    <col min="7" max="7" width="14" style="1" bestFit="1" customWidth="1"/>
    <col min="8" max="8" width="12.6640625" style="1" bestFit="1" customWidth="1"/>
    <col min="9" max="9" width="16" style="1" bestFit="1" customWidth="1"/>
    <col min="10" max="11" width="18.44140625" style="1" bestFit="1" customWidth="1"/>
    <col min="12" max="12" width="17" style="1" customWidth="1"/>
    <col min="13" max="13" width="18.109375" style="1" bestFit="1" customWidth="1"/>
    <col min="14" max="14" width="17" style="1" hidden="1" customWidth="1"/>
    <col min="15" max="15" width="16.6640625" style="1" customWidth="1"/>
    <col min="16" max="16" width="17" style="1" hidden="1" customWidth="1"/>
    <col min="17" max="17" width="21.33203125" style="1" hidden="1" customWidth="1"/>
    <col min="18" max="18" width="21.88671875" style="1" hidden="1" customWidth="1"/>
    <col min="19" max="19" width="26.6640625" style="1" customWidth="1"/>
    <col min="20" max="20" width="20.88671875" style="1" hidden="1" customWidth="1"/>
    <col min="21" max="27" width="21.33203125" style="1" customWidth="1"/>
    <col min="28" max="29" width="17.44140625" style="1" customWidth="1"/>
    <col min="30" max="16384" width="9.109375" style="1"/>
  </cols>
  <sheetData>
    <row r="1" spans="2:16" x14ac:dyDescent="0.25">
      <c r="J1" s="356"/>
      <c r="K1" s="356"/>
      <c r="L1" s="356"/>
    </row>
    <row r="2" spans="2:16" x14ac:dyDescent="0.25">
      <c r="B2" s="356" t="b">
        <v>0</v>
      </c>
      <c r="J2" s="356"/>
      <c r="K2" s="356"/>
      <c r="L2" s="356"/>
    </row>
    <row r="3" spans="2:16" x14ac:dyDescent="0.25">
      <c r="J3" s="356"/>
      <c r="K3" s="356"/>
      <c r="L3" s="356"/>
    </row>
    <row r="4" spans="2:16" x14ac:dyDescent="0.25">
      <c r="J4" s="356"/>
      <c r="K4" s="356"/>
      <c r="L4" s="356"/>
    </row>
    <row r="5" spans="2:16" x14ac:dyDescent="0.25">
      <c r="J5" s="356"/>
      <c r="K5" s="356"/>
      <c r="L5" s="356"/>
    </row>
    <row r="6" spans="2:16" x14ac:dyDescent="0.25">
      <c r="J6" s="356"/>
      <c r="K6" s="356"/>
      <c r="L6" s="356"/>
    </row>
    <row r="7" spans="2:16" x14ac:dyDescent="0.25">
      <c r="J7" s="356"/>
      <c r="K7" s="356"/>
      <c r="L7" s="356"/>
    </row>
    <row r="8" spans="2:16" x14ac:dyDescent="0.25">
      <c r="J8" s="356"/>
      <c r="K8" s="356"/>
      <c r="L8" s="356"/>
    </row>
    <row r="9" spans="2:16" x14ac:dyDescent="0.25">
      <c r="J9" s="356"/>
      <c r="K9" s="356"/>
      <c r="L9" s="356"/>
    </row>
    <row r="10" spans="2:16" x14ac:dyDescent="0.25">
      <c r="J10" s="356"/>
      <c r="K10" s="356"/>
      <c r="L10" s="356"/>
    </row>
    <row r="11" spans="2:16" x14ac:dyDescent="0.25">
      <c r="J11" s="356"/>
      <c r="K11" s="356"/>
      <c r="L11" s="356"/>
    </row>
    <row r="12" spans="2:16" x14ac:dyDescent="0.25">
      <c r="J12" s="356"/>
      <c r="K12" s="356"/>
      <c r="L12" s="356"/>
    </row>
    <row r="13" spans="2:16" ht="3" customHeight="1" x14ac:dyDescent="0.25">
      <c r="J13" s="356"/>
      <c r="K13" s="356"/>
      <c r="L13" s="356"/>
    </row>
    <row r="14" spans="2:16" ht="3" customHeight="1" x14ac:dyDescent="0.25">
      <c r="J14" s="356"/>
      <c r="K14" s="356"/>
      <c r="L14" s="356"/>
    </row>
    <row r="15" spans="2:16" ht="3" customHeight="1" x14ac:dyDescent="0.25"/>
    <row r="16" spans="2:16" ht="12.75" customHeight="1" x14ac:dyDescent="0.25">
      <c r="B16" s="458" t="s">
        <v>237</v>
      </c>
      <c r="C16" s="458"/>
      <c r="D16" s="458"/>
      <c r="E16" s="458"/>
      <c r="F16" s="458"/>
      <c r="G16" s="458"/>
      <c r="H16" s="458"/>
      <c r="I16" s="458"/>
      <c r="J16" s="133"/>
      <c r="K16" s="133"/>
      <c r="L16" s="133"/>
      <c r="M16" s="133"/>
      <c r="N16" s="133"/>
      <c r="O16" s="133"/>
      <c r="P16" s="133"/>
    </row>
    <row r="17" spans="1:16375" x14ac:dyDescent="0.25">
      <c r="B17" s="458"/>
      <c r="C17" s="458"/>
      <c r="D17" s="458"/>
      <c r="E17" s="458"/>
      <c r="F17" s="458"/>
      <c r="G17" s="458"/>
      <c r="H17" s="458"/>
      <c r="I17" s="458"/>
      <c r="J17" s="133"/>
      <c r="K17" s="133"/>
      <c r="L17" s="133"/>
      <c r="M17" s="133"/>
      <c r="N17" s="133"/>
      <c r="O17" s="133"/>
      <c r="P17" s="133"/>
    </row>
    <row r="18" spans="1:16375" x14ac:dyDescent="0.25">
      <c r="B18" s="134"/>
      <c r="C18" s="134"/>
      <c r="D18" s="134"/>
      <c r="E18" s="477" t="s">
        <v>349</v>
      </c>
      <c r="F18" s="477"/>
      <c r="G18" s="477" t="s">
        <v>351</v>
      </c>
      <c r="H18" s="477"/>
      <c r="I18" s="134"/>
      <c r="J18" s="477" t="s">
        <v>376</v>
      </c>
      <c r="K18" s="477"/>
      <c r="L18" s="481" t="s">
        <v>377</v>
      </c>
      <c r="M18" s="482"/>
      <c r="N18" s="134"/>
      <c r="O18" s="477" t="s">
        <v>378</v>
      </c>
      <c r="P18" s="477"/>
      <c r="Q18" s="477"/>
      <c r="R18" s="134"/>
      <c r="S18" s="41" t="s">
        <v>379</v>
      </c>
    </row>
    <row r="19" spans="1:16375" ht="12.75" customHeight="1" x14ac:dyDescent="0.25">
      <c r="B19" s="471" t="s">
        <v>210</v>
      </c>
      <c r="C19" s="470" t="s">
        <v>62</v>
      </c>
      <c r="D19" s="469" t="s">
        <v>71</v>
      </c>
      <c r="E19" s="468" t="s">
        <v>208</v>
      </c>
      <c r="F19" s="468" t="s">
        <v>209</v>
      </c>
      <c r="G19" s="468" t="s">
        <v>322</v>
      </c>
      <c r="H19" s="468" t="s">
        <v>323</v>
      </c>
      <c r="I19" s="468" t="s">
        <v>299</v>
      </c>
      <c r="J19" s="468" t="s">
        <v>324</v>
      </c>
      <c r="K19" s="468" t="s">
        <v>325</v>
      </c>
      <c r="L19" s="468" t="s">
        <v>211</v>
      </c>
      <c r="M19" s="468" t="s">
        <v>326</v>
      </c>
      <c r="N19" s="476" t="s">
        <v>309</v>
      </c>
      <c r="O19" s="468" t="s">
        <v>371</v>
      </c>
      <c r="P19" s="474" t="s">
        <v>345</v>
      </c>
      <c r="Q19" s="473" t="s">
        <v>369</v>
      </c>
      <c r="R19" s="473" t="s">
        <v>370</v>
      </c>
      <c r="S19" s="468" t="s">
        <v>375</v>
      </c>
      <c r="T19" s="468" t="s">
        <v>327</v>
      </c>
      <c r="U19" s="473" t="s">
        <v>300</v>
      </c>
      <c r="V19" s="473" t="s">
        <v>301</v>
      </c>
      <c r="W19" s="473" t="s">
        <v>302</v>
      </c>
      <c r="X19" s="473" t="s">
        <v>303</v>
      </c>
      <c r="Y19" s="473" t="s">
        <v>304</v>
      </c>
      <c r="Z19" s="473" t="s">
        <v>305</v>
      </c>
      <c r="AA19" s="473" t="s">
        <v>315</v>
      </c>
      <c r="AB19" s="480" t="s">
        <v>336</v>
      </c>
      <c r="AC19" s="478" t="s">
        <v>306</v>
      </c>
    </row>
    <row r="20" spans="1:16375" ht="75.75" customHeight="1" x14ac:dyDescent="0.25">
      <c r="B20" s="472"/>
      <c r="C20" s="470"/>
      <c r="D20" s="469"/>
      <c r="E20" s="469"/>
      <c r="F20" s="469"/>
      <c r="G20" s="468"/>
      <c r="H20" s="468"/>
      <c r="I20" s="468"/>
      <c r="J20" s="468"/>
      <c r="K20" s="468"/>
      <c r="L20" s="468"/>
      <c r="M20" s="468"/>
      <c r="N20" s="476"/>
      <c r="O20" s="468"/>
      <c r="P20" s="475"/>
      <c r="Q20" s="473"/>
      <c r="R20" s="473"/>
      <c r="S20" s="468"/>
      <c r="T20" s="468"/>
      <c r="U20" s="473"/>
      <c r="V20" s="473"/>
      <c r="W20" s="473"/>
      <c r="X20" s="473"/>
      <c r="Y20" s="473"/>
      <c r="Z20" s="473"/>
      <c r="AA20" s="473"/>
      <c r="AB20" s="480"/>
      <c r="AC20" s="479"/>
    </row>
    <row r="21" spans="1:16375" x14ac:dyDescent="0.25">
      <c r="B21" s="190" t="s">
        <v>386</v>
      </c>
      <c r="C21" s="191" t="s">
        <v>189</v>
      </c>
      <c r="D21" s="250">
        <v>15554.75</v>
      </c>
      <c r="E21" s="251">
        <v>145847424</v>
      </c>
      <c r="F21" s="252"/>
      <c r="G21" s="253">
        <f>E21*0.06</f>
        <v>8750845.4399999995</v>
      </c>
      <c r="H21" s="137">
        <f>IF(ISERROR(F21/E21*G21), 0, F21/E21*G21)</f>
        <v>0</v>
      </c>
      <c r="I21" s="254"/>
      <c r="J21" s="250"/>
      <c r="K21" s="250"/>
      <c r="L21" s="138">
        <f>E21-J21</f>
        <v>145847424</v>
      </c>
      <c r="M21" s="138">
        <f>F21-K21</f>
        <v>0</v>
      </c>
      <c r="N21" s="303"/>
      <c r="O21" s="193"/>
      <c r="P21" s="250"/>
      <c r="Q21" s="75"/>
      <c r="R21" s="194"/>
      <c r="S21" s="138">
        <f>IF(OR(G21=0, ISBLANK(G21)), 0, G21-J21-O21-Q21)</f>
        <v>8750845.4399999995</v>
      </c>
      <c r="T21" s="138">
        <f>IF(OR(H21=0, ISBLANK(H21)), 0, H21-K21-P21-R21)</f>
        <v>0</v>
      </c>
      <c r="U21" s="409">
        <v>0.67769999999999997</v>
      </c>
      <c r="V21" s="409">
        <v>0.67769999999999997</v>
      </c>
      <c r="W21" s="409">
        <v>0.67769999999999997</v>
      </c>
      <c r="X21" s="409">
        <v>0.67769999999999997</v>
      </c>
      <c r="Y21" s="409">
        <v>0.625</v>
      </c>
      <c r="Z21" s="409">
        <v>0.625</v>
      </c>
      <c r="AA21" s="409">
        <v>0.625</v>
      </c>
      <c r="AB21" s="255"/>
      <c r="AC21" s="255">
        <f>D21</f>
        <v>15554.75</v>
      </c>
    </row>
    <row r="22" spans="1:16375" x14ac:dyDescent="0.25">
      <c r="B22" s="190" t="s">
        <v>387</v>
      </c>
      <c r="C22" s="191" t="s">
        <v>189</v>
      </c>
      <c r="D22" s="250">
        <v>1034.4166666666667</v>
      </c>
      <c r="E22" s="251">
        <v>31828340</v>
      </c>
      <c r="F22" s="252"/>
      <c r="G22" s="253">
        <f>E22*0.17</f>
        <v>5410817.8000000007</v>
      </c>
      <c r="H22" s="137">
        <f t="shared" ref="H22:H40" si="0">IF(ISERROR(F22/E22*G22), 0, F22/E22*G22)</f>
        <v>0</v>
      </c>
      <c r="I22" s="254"/>
      <c r="J22" s="250"/>
      <c r="K22" s="250"/>
      <c r="L22" s="138">
        <f t="shared" ref="L22:L40" si="1">E22-J22</f>
        <v>31828340</v>
      </c>
      <c r="M22" s="138">
        <f t="shared" ref="M22:M40" si="2">F22-K22</f>
        <v>0</v>
      </c>
      <c r="N22" s="303"/>
      <c r="O22" s="193"/>
      <c r="P22" s="250"/>
      <c r="Q22" s="75"/>
      <c r="R22" s="194"/>
      <c r="S22" s="138">
        <f t="shared" ref="S22:S40" si="3">IF(OR(G22=0, ISBLANK(G22)), 0, G22-J22-O22-Q22)</f>
        <v>5410817.8000000007</v>
      </c>
      <c r="T22" s="138">
        <f t="shared" ref="T22:T40" si="4">IF(OR(H22=0, ISBLANK(H22)), 0, H22-K22-P22-R22)</f>
        <v>0</v>
      </c>
      <c r="U22" s="409">
        <v>0.13669999999999999</v>
      </c>
      <c r="V22" s="409">
        <v>0.13669999999999999</v>
      </c>
      <c r="W22" s="409">
        <v>0.13669999999999999</v>
      </c>
      <c r="X22" s="409">
        <v>0.13669999999999999</v>
      </c>
      <c r="Y22" s="409">
        <v>0.13500000000000001</v>
      </c>
      <c r="Z22" s="409">
        <v>0.13500000000000001</v>
      </c>
      <c r="AA22" s="409">
        <v>0.13500000000000001</v>
      </c>
      <c r="AB22" s="255"/>
      <c r="AC22" s="255">
        <f>D22</f>
        <v>1034.4166666666667</v>
      </c>
    </row>
    <row r="23" spans="1:16375" x14ac:dyDescent="0.25">
      <c r="B23" s="190" t="s">
        <v>388</v>
      </c>
      <c r="C23" s="191" t="s">
        <v>298</v>
      </c>
      <c r="D23" s="250">
        <v>87.5</v>
      </c>
      <c r="E23" s="251">
        <v>63763903</v>
      </c>
      <c r="F23" s="252">
        <v>176744</v>
      </c>
      <c r="G23" s="253">
        <f>E23*0.96</f>
        <v>61213346.879999995</v>
      </c>
      <c r="H23" s="137">
        <f t="shared" si="0"/>
        <v>169674.23999999999</v>
      </c>
      <c r="I23" s="254"/>
      <c r="J23" s="192"/>
      <c r="K23" s="192"/>
      <c r="L23" s="138">
        <f t="shared" si="1"/>
        <v>63763903</v>
      </c>
      <c r="M23" s="138">
        <f t="shared" si="2"/>
        <v>176744</v>
      </c>
      <c r="N23" s="303"/>
      <c r="O23" s="193"/>
      <c r="P23" s="250"/>
      <c r="Q23" s="75"/>
      <c r="R23" s="194"/>
      <c r="S23" s="138">
        <f t="shared" si="3"/>
        <v>61213346.879999995</v>
      </c>
      <c r="T23" s="138">
        <f t="shared" si="4"/>
        <v>169674.23999999999</v>
      </c>
      <c r="U23" s="409">
        <v>0.1754</v>
      </c>
      <c r="V23" s="409">
        <v>0.1754</v>
      </c>
      <c r="W23" s="409">
        <v>0.1754</v>
      </c>
      <c r="X23" s="409">
        <v>0.1754</v>
      </c>
      <c r="Y23" s="409">
        <v>0.23400000000000001</v>
      </c>
      <c r="Z23" s="409">
        <v>0.23400000000000001</v>
      </c>
      <c r="AA23" s="409">
        <v>0.23400000000000001</v>
      </c>
      <c r="AB23" s="255"/>
      <c r="AC23" s="255"/>
    </row>
    <row r="24" spans="1:16375" x14ac:dyDescent="0.25">
      <c r="B24" s="190" t="s">
        <v>389</v>
      </c>
      <c r="C24" s="191" t="s">
        <v>298</v>
      </c>
      <c r="D24" s="250">
        <v>161</v>
      </c>
      <c r="E24" s="251">
        <v>103051.65856497742</v>
      </c>
      <c r="F24" s="252">
        <v>286.28122226821648</v>
      </c>
      <c r="G24" s="253">
        <f>E24*0.16</f>
        <v>16488.265370396388</v>
      </c>
      <c r="H24" s="137">
        <f t="shared" si="0"/>
        <v>45.804995562914641</v>
      </c>
      <c r="I24" s="254"/>
      <c r="J24" s="192"/>
      <c r="K24" s="192"/>
      <c r="L24" s="138">
        <f t="shared" si="1"/>
        <v>103051.65856497742</v>
      </c>
      <c r="M24" s="138">
        <f t="shared" si="2"/>
        <v>286.28122226821648</v>
      </c>
      <c r="N24" s="303"/>
      <c r="O24" s="193"/>
      <c r="P24" s="250"/>
      <c r="Q24" s="75"/>
      <c r="R24" s="194"/>
      <c r="S24" s="138">
        <f t="shared" si="3"/>
        <v>16488.265370396388</v>
      </c>
      <c r="T24" s="138">
        <f t="shared" si="4"/>
        <v>45.804995562914641</v>
      </c>
      <c r="U24" s="409">
        <v>2.3999999999999998E-3</v>
      </c>
      <c r="V24" s="409">
        <v>2.3999999999999998E-3</v>
      </c>
      <c r="W24" s="409">
        <v>2.3999999999999998E-3</v>
      </c>
      <c r="X24" s="409">
        <v>2.3999999999999998E-3</v>
      </c>
      <c r="Y24" s="409">
        <v>0</v>
      </c>
      <c r="Z24" s="409">
        <v>0</v>
      </c>
      <c r="AA24" s="409">
        <v>0</v>
      </c>
      <c r="AB24" s="255"/>
      <c r="AC24" s="255"/>
    </row>
    <row r="25" spans="1:16375" x14ac:dyDescent="0.25">
      <c r="B25" s="190" t="s">
        <v>390</v>
      </c>
      <c r="C25" s="191" t="s">
        <v>298</v>
      </c>
      <c r="D25" s="250">
        <v>2994.8333333333335</v>
      </c>
      <c r="E25" s="251">
        <v>561223.48942778981</v>
      </c>
      <c r="F25" s="252">
        <v>1598.6472960042561</v>
      </c>
      <c r="G25" s="253">
        <v>561223</v>
      </c>
      <c r="H25" s="137">
        <f t="shared" si="0"/>
        <v>1598.6459018672901</v>
      </c>
      <c r="I25" s="254"/>
      <c r="J25" s="250"/>
      <c r="K25" s="250"/>
      <c r="L25" s="138">
        <f t="shared" si="1"/>
        <v>561223.48942778981</v>
      </c>
      <c r="M25" s="138">
        <f t="shared" si="2"/>
        <v>1598.6472960042561</v>
      </c>
      <c r="N25" s="303">
        <v>0</v>
      </c>
      <c r="O25" s="193"/>
      <c r="P25" s="250"/>
      <c r="Q25" s="75"/>
      <c r="R25" s="194"/>
      <c r="S25" s="138">
        <f t="shared" si="3"/>
        <v>561223</v>
      </c>
      <c r="T25" s="138">
        <f t="shared" si="4"/>
        <v>1598.6459018672901</v>
      </c>
      <c r="U25" s="409">
        <v>5.0000000000000001E-4</v>
      </c>
      <c r="V25" s="409">
        <v>5.0000000000000001E-4</v>
      </c>
      <c r="W25" s="409">
        <v>5.0000000000000001E-4</v>
      </c>
      <c r="X25" s="409">
        <v>5.0000000000000001E-4</v>
      </c>
      <c r="Y25" s="409">
        <v>3.0000000000000001E-3</v>
      </c>
      <c r="Z25" s="409">
        <v>3.0000000000000001E-3</v>
      </c>
      <c r="AA25" s="409">
        <v>3.0000000000000001E-3</v>
      </c>
      <c r="AB25" s="255"/>
      <c r="AC25" s="255"/>
    </row>
    <row r="26" spans="1:16375" s="139" customFormat="1" x14ac:dyDescent="0.25">
      <c r="A26" s="1"/>
      <c r="B26" s="190" t="s">
        <v>391</v>
      </c>
      <c r="C26" s="191" t="s">
        <v>189</v>
      </c>
      <c r="D26" s="250">
        <v>73.5</v>
      </c>
      <c r="E26" s="251">
        <v>461015.01227876113</v>
      </c>
      <c r="F26" s="252"/>
      <c r="G26" s="253">
        <f>E26*0.06</f>
        <v>27660.900736725667</v>
      </c>
      <c r="H26" s="137">
        <f t="shared" si="0"/>
        <v>0</v>
      </c>
      <c r="I26" s="254"/>
      <c r="J26" s="192"/>
      <c r="K26" s="192"/>
      <c r="L26" s="138">
        <f t="shared" si="1"/>
        <v>461015.01227876113</v>
      </c>
      <c r="M26" s="138">
        <f t="shared" si="2"/>
        <v>0</v>
      </c>
      <c r="N26" s="303">
        <v>0</v>
      </c>
      <c r="O26" s="193"/>
      <c r="P26" s="250"/>
      <c r="Q26" s="75"/>
      <c r="R26" s="194"/>
      <c r="S26" s="138">
        <f t="shared" si="3"/>
        <v>27660.900736725667</v>
      </c>
      <c r="T26" s="138">
        <f t="shared" si="4"/>
        <v>0</v>
      </c>
      <c r="U26" s="409">
        <v>7.1999999999999998E-3</v>
      </c>
      <c r="V26" s="409">
        <v>7.1999999999999998E-3</v>
      </c>
      <c r="W26" s="409">
        <v>7.1999999999999998E-3</v>
      </c>
      <c r="X26" s="409">
        <v>7.1999999999999998E-3</v>
      </c>
      <c r="Y26" s="409">
        <v>3.0000000000000001E-3</v>
      </c>
      <c r="Z26" s="410">
        <v>3.0000000000000001E-3</v>
      </c>
      <c r="AA26" s="410">
        <v>3.0000000000000001E-3</v>
      </c>
      <c r="AB26" s="255"/>
      <c r="AC26" s="255"/>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35"/>
      <c r="XEU26" s="136"/>
    </row>
    <row r="27" spans="1:16375" x14ac:dyDescent="0.25">
      <c r="B27" s="190"/>
      <c r="C27" s="191"/>
      <c r="D27" s="250"/>
      <c r="E27" s="251"/>
      <c r="F27" s="252"/>
      <c r="G27" s="253"/>
      <c r="H27" s="137">
        <f t="shared" si="0"/>
        <v>0</v>
      </c>
      <c r="I27" s="254"/>
      <c r="J27" s="250"/>
      <c r="K27" s="250"/>
      <c r="L27" s="138">
        <f t="shared" si="1"/>
        <v>0</v>
      </c>
      <c r="M27" s="138">
        <f t="shared" si="2"/>
        <v>0</v>
      </c>
      <c r="N27" s="303"/>
      <c r="O27" s="250"/>
      <c r="P27" s="250"/>
      <c r="Q27" s="75"/>
      <c r="R27" s="348"/>
      <c r="S27" s="138">
        <f t="shared" si="3"/>
        <v>0</v>
      </c>
      <c r="T27" s="138">
        <f t="shared" si="4"/>
        <v>0</v>
      </c>
      <c r="U27" s="348"/>
      <c r="V27" s="348"/>
      <c r="W27" s="150"/>
      <c r="X27" s="150"/>
      <c r="Y27" s="76"/>
      <c r="Z27" s="76"/>
      <c r="AA27" s="76"/>
      <c r="AB27" s="255"/>
      <c r="AC27" s="255"/>
    </row>
    <row r="28" spans="1:16375" x14ac:dyDescent="0.25">
      <c r="B28" s="190"/>
      <c r="C28" s="191"/>
      <c r="D28" s="250"/>
      <c r="E28" s="251"/>
      <c r="F28" s="252"/>
      <c r="G28" s="253"/>
      <c r="H28" s="137">
        <f t="shared" si="0"/>
        <v>0</v>
      </c>
      <c r="I28" s="254"/>
      <c r="J28" s="250"/>
      <c r="K28" s="250"/>
      <c r="L28" s="138">
        <f t="shared" si="1"/>
        <v>0</v>
      </c>
      <c r="M28" s="138">
        <f t="shared" si="2"/>
        <v>0</v>
      </c>
      <c r="N28" s="303"/>
      <c r="O28" s="250"/>
      <c r="P28" s="250"/>
      <c r="Q28" s="75"/>
      <c r="R28" s="348"/>
      <c r="S28" s="138">
        <f t="shared" si="3"/>
        <v>0</v>
      </c>
      <c r="T28" s="138">
        <f t="shared" si="4"/>
        <v>0</v>
      </c>
      <c r="U28" s="348"/>
      <c r="V28" s="348"/>
      <c r="W28" s="150"/>
      <c r="X28" s="150"/>
      <c r="Y28" s="76"/>
      <c r="Z28" s="76"/>
      <c r="AA28" s="76"/>
      <c r="AB28" s="255"/>
      <c r="AC28" s="255"/>
    </row>
    <row r="29" spans="1:16375" x14ac:dyDescent="0.25">
      <c r="B29" s="190"/>
      <c r="C29" s="191"/>
      <c r="D29" s="250"/>
      <c r="E29" s="251"/>
      <c r="F29" s="252"/>
      <c r="G29" s="253"/>
      <c r="H29" s="137">
        <f t="shared" si="0"/>
        <v>0</v>
      </c>
      <c r="I29" s="254"/>
      <c r="J29" s="250"/>
      <c r="K29" s="250"/>
      <c r="L29" s="138">
        <f t="shared" si="1"/>
        <v>0</v>
      </c>
      <c r="M29" s="138">
        <f t="shared" si="2"/>
        <v>0</v>
      </c>
      <c r="N29" s="304"/>
      <c r="O29" s="75"/>
      <c r="P29" s="75"/>
      <c r="Q29" s="75"/>
      <c r="R29" s="150"/>
      <c r="S29" s="138">
        <f t="shared" si="3"/>
        <v>0</v>
      </c>
      <c r="T29" s="138">
        <f t="shared" si="4"/>
        <v>0</v>
      </c>
      <c r="U29" s="76"/>
      <c r="V29" s="150"/>
      <c r="W29" s="150"/>
      <c r="X29" s="150"/>
      <c r="Y29" s="76"/>
      <c r="Z29" s="76"/>
      <c r="AA29" s="76"/>
      <c r="AB29" s="255"/>
      <c r="AC29" s="255"/>
    </row>
    <row r="30" spans="1:16375" s="139" customFormat="1" x14ac:dyDescent="0.25">
      <c r="A30" s="1"/>
      <c r="B30" s="190"/>
      <c r="C30" s="191"/>
      <c r="D30" s="250"/>
      <c r="E30" s="251"/>
      <c r="F30" s="252"/>
      <c r="G30" s="253"/>
      <c r="H30" s="137">
        <f t="shared" si="0"/>
        <v>0</v>
      </c>
      <c r="I30" s="254"/>
      <c r="J30" s="75"/>
      <c r="K30" s="75"/>
      <c r="L30" s="138">
        <f t="shared" si="1"/>
        <v>0</v>
      </c>
      <c r="M30" s="138">
        <f t="shared" si="2"/>
        <v>0</v>
      </c>
      <c r="N30" s="304"/>
      <c r="O30" s="75"/>
      <c r="P30" s="75"/>
      <c r="Q30" s="75"/>
      <c r="R30" s="150"/>
      <c r="S30" s="138">
        <f t="shared" si="3"/>
        <v>0</v>
      </c>
      <c r="T30" s="138">
        <f t="shared" si="4"/>
        <v>0</v>
      </c>
      <c r="U30" s="76"/>
      <c r="V30" s="150"/>
      <c r="W30" s="150"/>
      <c r="X30" s="150"/>
      <c r="Y30" s="76"/>
      <c r="Z30" s="76"/>
      <c r="AA30" s="76"/>
      <c r="AB30" s="255"/>
      <c r="AC30" s="255"/>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35"/>
      <c r="XEU30" s="136"/>
    </row>
    <row r="31" spans="1:16375" x14ac:dyDescent="0.25">
      <c r="B31" s="190"/>
      <c r="C31" s="191"/>
      <c r="D31" s="250"/>
      <c r="E31" s="251"/>
      <c r="F31" s="252"/>
      <c r="G31" s="253"/>
      <c r="H31" s="137">
        <f t="shared" si="0"/>
        <v>0</v>
      </c>
      <c r="I31" s="254"/>
      <c r="J31" s="75"/>
      <c r="K31" s="75"/>
      <c r="L31" s="138">
        <f t="shared" si="1"/>
        <v>0</v>
      </c>
      <c r="M31" s="138">
        <f t="shared" si="2"/>
        <v>0</v>
      </c>
      <c r="N31" s="304"/>
      <c r="O31" s="75"/>
      <c r="P31" s="75"/>
      <c r="Q31" s="75"/>
      <c r="R31" s="76"/>
      <c r="S31" s="138">
        <f t="shared" si="3"/>
        <v>0</v>
      </c>
      <c r="T31" s="138">
        <f t="shared" si="4"/>
        <v>0</v>
      </c>
      <c r="U31" s="76"/>
      <c r="V31" s="76"/>
      <c r="W31" s="76"/>
      <c r="X31" s="76"/>
      <c r="Y31" s="76"/>
      <c r="Z31" s="76"/>
      <c r="AA31" s="76"/>
      <c r="AB31" s="255"/>
      <c r="AC31" s="255"/>
    </row>
    <row r="32" spans="1:16375" x14ac:dyDescent="0.25">
      <c r="B32" s="190"/>
      <c r="C32" s="74"/>
      <c r="D32" s="250"/>
      <c r="E32" s="250"/>
      <c r="F32" s="250"/>
      <c r="G32" s="250"/>
      <c r="H32" s="137">
        <f t="shared" si="0"/>
        <v>0</v>
      </c>
      <c r="I32" s="75"/>
      <c r="J32" s="75"/>
      <c r="K32" s="75"/>
      <c r="L32" s="138">
        <f t="shared" si="1"/>
        <v>0</v>
      </c>
      <c r="M32" s="138">
        <f t="shared" si="2"/>
        <v>0</v>
      </c>
      <c r="N32" s="304"/>
      <c r="O32" s="75"/>
      <c r="P32" s="75"/>
      <c r="Q32" s="75"/>
      <c r="R32" s="76"/>
      <c r="S32" s="138">
        <f t="shared" si="3"/>
        <v>0</v>
      </c>
      <c r="T32" s="138">
        <f t="shared" si="4"/>
        <v>0</v>
      </c>
      <c r="U32" s="76"/>
      <c r="V32" s="76"/>
      <c r="W32" s="76"/>
      <c r="X32" s="76"/>
      <c r="Y32" s="76"/>
      <c r="Z32" s="76"/>
      <c r="AA32" s="76"/>
      <c r="AB32" s="255"/>
      <c r="AC32" s="255"/>
    </row>
    <row r="33" spans="1:29" x14ac:dyDescent="0.25">
      <c r="B33" s="130"/>
      <c r="C33" s="74"/>
      <c r="D33" s="75"/>
      <c r="E33" s="75"/>
      <c r="F33" s="75"/>
      <c r="G33" s="75"/>
      <c r="H33" s="137">
        <f t="shared" si="0"/>
        <v>0</v>
      </c>
      <c r="I33" s="75"/>
      <c r="J33" s="75"/>
      <c r="K33" s="75"/>
      <c r="L33" s="138">
        <f t="shared" si="1"/>
        <v>0</v>
      </c>
      <c r="M33" s="138">
        <f t="shared" si="2"/>
        <v>0</v>
      </c>
      <c r="N33" s="304"/>
      <c r="O33" s="75"/>
      <c r="P33" s="75"/>
      <c r="Q33" s="75"/>
      <c r="R33" s="76"/>
      <c r="S33" s="138">
        <f t="shared" si="3"/>
        <v>0</v>
      </c>
      <c r="T33" s="138">
        <f t="shared" si="4"/>
        <v>0</v>
      </c>
      <c r="U33" s="76"/>
      <c r="V33" s="76"/>
      <c r="W33" s="76"/>
      <c r="X33" s="76"/>
      <c r="Y33" s="76"/>
      <c r="Z33" s="76"/>
      <c r="AA33" s="76"/>
      <c r="AB33" s="255"/>
      <c r="AC33" s="255"/>
    </row>
    <row r="34" spans="1:29" x14ac:dyDescent="0.25">
      <c r="B34" s="130"/>
      <c r="C34" s="74"/>
      <c r="D34" s="75"/>
      <c r="E34" s="75"/>
      <c r="F34" s="75"/>
      <c r="G34" s="75"/>
      <c r="H34" s="137">
        <f t="shared" si="0"/>
        <v>0</v>
      </c>
      <c r="I34" s="75"/>
      <c r="J34" s="75"/>
      <c r="K34" s="75"/>
      <c r="L34" s="138">
        <f t="shared" si="1"/>
        <v>0</v>
      </c>
      <c r="M34" s="138">
        <f t="shared" si="2"/>
        <v>0</v>
      </c>
      <c r="N34" s="304"/>
      <c r="O34" s="75"/>
      <c r="P34" s="75"/>
      <c r="Q34" s="75"/>
      <c r="R34" s="76"/>
      <c r="S34" s="138">
        <f t="shared" si="3"/>
        <v>0</v>
      </c>
      <c r="T34" s="138">
        <f t="shared" si="4"/>
        <v>0</v>
      </c>
      <c r="U34" s="76"/>
      <c r="V34" s="76"/>
      <c r="W34" s="76"/>
      <c r="X34" s="76"/>
      <c r="Y34" s="76"/>
      <c r="Z34" s="76"/>
      <c r="AA34" s="76"/>
      <c r="AB34" s="255"/>
      <c r="AC34" s="255"/>
    </row>
    <row r="35" spans="1:29" x14ac:dyDescent="0.25">
      <c r="B35" s="130"/>
      <c r="C35" s="74"/>
      <c r="D35" s="75"/>
      <c r="E35" s="75"/>
      <c r="F35" s="75"/>
      <c r="G35" s="75"/>
      <c r="H35" s="137">
        <f t="shared" si="0"/>
        <v>0</v>
      </c>
      <c r="I35" s="75"/>
      <c r="J35" s="75"/>
      <c r="K35" s="75"/>
      <c r="L35" s="138">
        <f t="shared" si="1"/>
        <v>0</v>
      </c>
      <c r="M35" s="138">
        <f t="shared" si="2"/>
        <v>0</v>
      </c>
      <c r="N35" s="304"/>
      <c r="O35" s="75"/>
      <c r="P35" s="75"/>
      <c r="Q35" s="75"/>
      <c r="R35" s="76"/>
      <c r="S35" s="138">
        <f t="shared" si="3"/>
        <v>0</v>
      </c>
      <c r="T35" s="138">
        <f t="shared" si="4"/>
        <v>0</v>
      </c>
      <c r="U35" s="76"/>
      <c r="V35" s="76"/>
      <c r="W35" s="76"/>
      <c r="X35" s="76"/>
      <c r="Y35" s="76"/>
      <c r="Z35" s="76"/>
      <c r="AA35" s="76"/>
      <c r="AB35" s="255"/>
      <c r="AC35" s="255"/>
    </row>
    <row r="36" spans="1:29" x14ac:dyDescent="0.25">
      <c r="B36" s="130"/>
      <c r="C36" s="74"/>
      <c r="D36" s="75"/>
      <c r="E36" s="75"/>
      <c r="F36" s="75"/>
      <c r="G36" s="75"/>
      <c r="H36" s="137">
        <f t="shared" si="0"/>
        <v>0</v>
      </c>
      <c r="I36" s="75"/>
      <c r="J36" s="75"/>
      <c r="K36" s="75"/>
      <c r="L36" s="138">
        <f t="shared" si="1"/>
        <v>0</v>
      </c>
      <c r="M36" s="138">
        <f t="shared" si="2"/>
        <v>0</v>
      </c>
      <c r="N36" s="304"/>
      <c r="O36" s="75"/>
      <c r="P36" s="75"/>
      <c r="Q36" s="75"/>
      <c r="R36" s="76"/>
      <c r="S36" s="138">
        <f t="shared" si="3"/>
        <v>0</v>
      </c>
      <c r="T36" s="138">
        <f t="shared" si="4"/>
        <v>0</v>
      </c>
      <c r="U36" s="76"/>
      <c r="V36" s="76"/>
      <c r="W36" s="76"/>
      <c r="X36" s="76"/>
      <c r="Y36" s="76"/>
      <c r="Z36" s="76"/>
      <c r="AA36" s="76"/>
      <c r="AB36" s="255"/>
      <c r="AC36" s="255"/>
    </row>
    <row r="37" spans="1:29" x14ac:dyDescent="0.25">
      <c r="B37" s="130"/>
      <c r="C37" s="74"/>
      <c r="D37" s="75"/>
      <c r="E37" s="75"/>
      <c r="F37" s="75"/>
      <c r="G37" s="75"/>
      <c r="H37" s="137">
        <f t="shared" si="0"/>
        <v>0</v>
      </c>
      <c r="I37" s="75"/>
      <c r="J37" s="75"/>
      <c r="K37" s="75"/>
      <c r="L37" s="138">
        <f t="shared" si="1"/>
        <v>0</v>
      </c>
      <c r="M37" s="138">
        <f t="shared" si="2"/>
        <v>0</v>
      </c>
      <c r="N37" s="304"/>
      <c r="O37" s="75"/>
      <c r="P37" s="75"/>
      <c r="Q37" s="75"/>
      <c r="R37" s="76"/>
      <c r="S37" s="138">
        <f t="shared" si="3"/>
        <v>0</v>
      </c>
      <c r="T37" s="138">
        <f t="shared" si="4"/>
        <v>0</v>
      </c>
      <c r="U37" s="76"/>
      <c r="V37" s="76"/>
      <c r="W37" s="76"/>
      <c r="X37" s="76"/>
      <c r="Y37" s="76"/>
      <c r="Z37" s="76"/>
      <c r="AA37" s="76"/>
      <c r="AB37" s="255"/>
      <c r="AC37" s="255"/>
    </row>
    <row r="38" spans="1:29" x14ac:dyDescent="0.25">
      <c r="B38" s="130"/>
      <c r="C38" s="74"/>
      <c r="D38" s="75"/>
      <c r="E38" s="75"/>
      <c r="F38" s="75"/>
      <c r="G38" s="75"/>
      <c r="H38" s="137">
        <f t="shared" si="0"/>
        <v>0</v>
      </c>
      <c r="I38" s="75"/>
      <c r="J38" s="75"/>
      <c r="K38" s="75"/>
      <c r="L38" s="138">
        <f t="shared" si="1"/>
        <v>0</v>
      </c>
      <c r="M38" s="138">
        <f t="shared" si="2"/>
        <v>0</v>
      </c>
      <c r="N38" s="304"/>
      <c r="O38" s="75"/>
      <c r="P38" s="75"/>
      <c r="Q38" s="75"/>
      <c r="R38" s="76"/>
      <c r="S38" s="138">
        <f t="shared" si="3"/>
        <v>0</v>
      </c>
      <c r="T38" s="138">
        <f t="shared" si="4"/>
        <v>0</v>
      </c>
      <c r="U38" s="76"/>
      <c r="V38" s="76"/>
      <c r="W38" s="76"/>
      <c r="X38" s="76"/>
      <c r="Y38" s="76"/>
      <c r="Z38" s="76"/>
      <c r="AA38" s="76"/>
      <c r="AB38" s="255"/>
      <c r="AC38" s="255"/>
    </row>
    <row r="39" spans="1:29" x14ac:dyDescent="0.25">
      <c r="B39" s="130"/>
      <c r="C39" s="74"/>
      <c r="D39" s="75"/>
      <c r="E39" s="75"/>
      <c r="F39" s="75"/>
      <c r="G39" s="75"/>
      <c r="H39" s="137">
        <f t="shared" si="0"/>
        <v>0</v>
      </c>
      <c r="I39" s="75"/>
      <c r="J39" s="75"/>
      <c r="K39" s="75"/>
      <c r="L39" s="138">
        <f t="shared" si="1"/>
        <v>0</v>
      </c>
      <c r="M39" s="138">
        <f t="shared" si="2"/>
        <v>0</v>
      </c>
      <c r="N39" s="304"/>
      <c r="O39" s="75"/>
      <c r="P39" s="75"/>
      <c r="Q39" s="75"/>
      <c r="R39" s="76"/>
      <c r="S39" s="138">
        <f t="shared" si="3"/>
        <v>0</v>
      </c>
      <c r="T39" s="138">
        <f t="shared" si="4"/>
        <v>0</v>
      </c>
      <c r="U39" s="76"/>
      <c r="V39" s="76"/>
      <c r="W39" s="76"/>
      <c r="X39" s="76"/>
      <c r="Y39" s="76"/>
      <c r="Z39" s="76"/>
      <c r="AA39" s="76"/>
      <c r="AB39" s="255"/>
      <c r="AC39" s="255"/>
    </row>
    <row r="40" spans="1:29" x14ac:dyDescent="0.25">
      <c r="B40" s="130"/>
      <c r="C40" s="74"/>
      <c r="D40" s="75"/>
      <c r="E40" s="75"/>
      <c r="F40" s="75"/>
      <c r="G40" s="75"/>
      <c r="H40" s="137">
        <f t="shared" si="0"/>
        <v>0</v>
      </c>
      <c r="I40" s="75"/>
      <c r="J40" s="75"/>
      <c r="K40" s="75"/>
      <c r="L40" s="138">
        <f t="shared" si="1"/>
        <v>0</v>
      </c>
      <c r="M40" s="138">
        <f t="shared" si="2"/>
        <v>0</v>
      </c>
      <c r="N40" s="304"/>
      <c r="O40" s="75"/>
      <c r="P40" s="75"/>
      <c r="Q40" s="75"/>
      <c r="R40" s="76"/>
      <c r="S40" s="138">
        <f t="shared" si="3"/>
        <v>0</v>
      </c>
      <c r="T40" s="138">
        <f t="shared" si="4"/>
        <v>0</v>
      </c>
      <c r="U40" s="76"/>
      <c r="V40" s="76"/>
      <c r="W40" s="76"/>
      <c r="X40" s="76"/>
      <c r="Y40" s="76"/>
      <c r="Z40" s="76"/>
      <c r="AA40" s="76"/>
      <c r="AB40" s="255"/>
      <c r="AC40" s="255"/>
    </row>
    <row r="41" spans="1:29" x14ac:dyDescent="0.25">
      <c r="B41" s="140" t="s">
        <v>63</v>
      </c>
      <c r="C41" s="141"/>
      <c r="D41" s="142">
        <f t="shared" ref="D41:J41" si="5">SUM(D21:D40)</f>
        <v>19906</v>
      </c>
      <c r="E41" s="142">
        <f t="shared" si="5"/>
        <v>242564957.16027153</v>
      </c>
      <c r="F41" s="142">
        <f t="shared" si="5"/>
        <v>178628.92851827247</v>
      </c>
      <c r="G41" s="142">
        <f t="shared" si="5"/>
        <v>75980382.286107108</v>
      </c>
      <c r="H41" s="142">
        <f t="shared" si="5"/>
        <v>171318.69089743018</v>
      </c>
      <c r="I41" s="143">
        <f t="shared" si="5"/>
        <v>0</v>
      </c>
      <c r="J41" s="144">
        <f t="shared" si="5"/>
        <v>0</v>
      </c>
      <c r="K41" s="144">
        <f t="shared" ref="K41:P41" si="6">SUM(K21:K40)</f>
        <v>0</v>
      </c>
      <c r="L41" s="144">
        <f t="shared" si="6"/>
        <v>242564957.16027153</v>
      </c>
      <c r="M41" s="144">
        <f t="shared" si="6"/>
        <v>178628.92851827247</v>
      </c>
      <c r="N41" s="305">
        <f t="shared" si="6"/>
        <v>0</v>
      </c>
      <c r="O41" s="144">
        <f t="shared" si="6"/>
        <v>0</v>
      </c>
      <c r="P41" s="144">
        <f t="shared" si="6"/>
        <v>0</v>
      </c>
      <c r="Q41" s="145"/>
      <c r="R41" s="145"/>
      <c r="S41" s="144">
        <f t="shared" ref="S41:T41" si="7">SUM(S21:S40)</f>
        <v>75980382.286107108</v>
      </c>
      <c r="T41" s="144">
        <f t="shared" si="7"/>
        <v>171318.69089743018</v>
      </c>
      <c r="U41" s="145">
        <f t="shared" ref="U41:AB41" si="8">SUM(U21:U40)</f>
        <v>0.9998999999999999</v>
      </c>
      <c r="V41" s="145">
        <f t="shared" si="8"/>
        <v>0.9998999999999999</v>
      </c>
      <c r="W41" s="145">
        <f t="shared" si="8"/>
        <v>0.9998999999999999</v>
      </c>
      <c r="X41" s="145">
        <f t="shared" si="8"/>
        <v>0.9998999999999999</v>
      </c>
      <c r="Y41" s="411">
        <f t="shared" si="8"/>
        <v>1</v>
      </c>
      <c r="Z41" s="411">
        <f t="shared" si="8"/>
        <v>1</v>
      </c>
      <c r="AA41" s="411">
        <f t="shared" si="8"/>
        <v>1</v>
      </c>
      <c r="AB41" s="143">
        <f t="shared" si="8"/>
        <v>0</v>
      </c>
    </row>
    <row r="42" spans="1:29" x14ac:dyDescent="0.25">
      <c r="B42" s="146"/>
      <c r="W42" s="147"/>
      <c r="Y42" s="147"/>
      <c r="Z42" s="147"/>
      <c r="AA42" s="147" t="s">
        <v>64</v>
      </c>
      <c r="AB42" s="148">
        <f>'2. 2016 Continuity Schedule'!CE68</f>
        <v>0</v>
      </c>
    </row>
    <row r="43" spans="1:29" x14ac:dyDescent="0.25">
      <c r="B43" s="146"/>
      <c r="W43" s="147"/>
      <c r="Y43" s="147"/>
      <c r="Z43" s="147"/>
      <c r="AA43" s="147" t="s">
        <v>65</v>
      </c>
      <c r="AB43" s="149">
        <f>AB41-AB42</f>
        <v>0</v>
      </c>
    </row>
    <row r="44" spans="1:29" x14ac:dyDescent="0.25">
      <c r="B44" s="1" t="s">
        <v>372</v>
      </c>
      <c r="H44" s="158"/>
    </row>
    <row r="45" spans="1:29" x14ac:dyDescent="0.25">
      <c r="A45" s="467"/>
      <c r="B45" s="467"/>
      <c r="C45" s="467"/>
      <c r="D45" s="467"/>
      <c r="E45" s="467"/>
      <c r="F45" s="467"/>
      <c r="G45" s="467"/>
      <c r="H45" s="467"/>
    </row>
    <row r="46" spans="1:29" ht="21" customHeight="1" x14ac:dyDescent="0.25">
      <c r="A46" s="467"/>
      <c r="B46" s="467"/>
      <c r="C46" s="467"/>
      <c r="D46" s="467"/>
      <c r="E46" s="467"/>
      <c r="F46" s="467"/>
      <c r="G46" s="467"/>
      <c r="H46" s="467"/>
    </row>
    <row r="47" spans="1:29" ht="16.2" x14ac:dyDescent="0.25">
      <c r="A47" s="467" t="s">
        <v>307</v>
      </c>
      <c r="B47" s="467"/>
      <c r="C47" s="467"/>
      <c r="D47" s="467"/>
      <c r="E47" s="467"/>
      <c r="F47" s="467"/>
      <c r="G47" s="467"/>
      <c r="H47" s="467"/>
    </row>
    <row r="49" spans="1:1" ht="16.2" x14ac:dyDescent="0.3">
      <c r="A49" s="297" t="s">
        <v>308</v>
      </c>
    </row>
    <row r="51" spans="1:1" ht="16.2" x14ac:dyDescent="0.3">
      <c r="A51" s="297" t="s">
        <v>337</v>
      </c>
    </row>
  </sheetData>
  <sheetProtection formatColumns="0"/>
  <mergeCells count="36">
    <mergeCell ref="L18:M18"/>
    <mergeCell ref="O18:Q18"/>
    <mergeCell ref="T19:T20"/>
    <mergeCell ref="U19:U20"/>
    <mergeCell ref="V19:V20"/>
    <mergeCell ref="W19:W20"/>
    <mergeCell ref="AC19:AC20"/>
    <mergeCell ref="X19:X20"/>
    <mergeCell ref="Y19:Y20"/>
    <mergeCell ref="Z19:Z20"/>
    <mergeCell ref="AA19:AA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A45:H46"/>
    <mergeCell ref="A47:H47"/>
    <mergeCell ref="F19:F20"/>
    <mergeCell ref="E19:E20"/>
    <mergeCell ref="C19:C20"/>
    <mergeCell ref="B19:B20"/>
    <mergeCell ref="G19:G20"/>
    <mergeCell ref="H19:H20"/>
  </mergeCells>
  <dataValidations count="1">
    <dataValidation type="list" allowBlank="1" showInputMessage="1" showErrorMessage="1" sqref="C21:C40">
      <formula1>"kWh, kW"</formula1>
    </dataValidation>
  </dataValidations>
  <pageMargins left="0.7" right="0.7" top="0.75" bottom="0.75" header="0.3" footer="0.3"/>
  <pageSetup paperSize="17" scale="3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macro="[0]!CheckBox1_Click" altText="Wording Will be Provided">
                <anchor moveWithCells="1">
                  <from>
                    <xdr:col>12</xdr:col>
                    <xdr:colOff>845820</xdr:colOff>
                    <xdr:row>3</xdr:row>
                    <xdr:rowOff>45720</xdr:rowOff>
                  </from>
                  <to>
                    <xdr:col>18</xdr:col>
                    <xdr:colOff>419100</xdr:colOff>
                    <xdr:row>4</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61"/>
  <sheetViews>
    <sheetView showGridLines="0" topLeftCell="B16" zoomScale="120" zoomScaleNormal="120" workbookViewId="0">
      <selection activeCell="D33" sqref="D33"/>
    </sheetView>
  </sheetViews>
  <sheetFormatPr defaultColWidth="9.109375" defaultRowHeight="13.2" x14ac:dyDescent="0.25"/>
  <cols>
    <col min="1" max="1" width="5.6640625" style="146" hidden="1" customWidth="1"/>
    <col min="2" max="2" width="64" style="146" customWidth="1"/>
    <col min="3" max="3" width="9.109375" style="146"/>
    <col min="4" max="4" width="14.5546875" style="146" customWidth="1"/>
    <col min="5" max="5" width="14.6640625" style="146" customWidth="1"/>
    <col min="6" max="25" width="24.109375" style="146" customWidth="1"/>
    <col min="26" max="26" width="9.109375" style="146"/>
    <col min="27" max="28" width="0" style="146" hidden="1" customWidth="1"/>
    <col min="29" max="16384" width="9.109375" style="146"/>
  </cols>
  <sheetData>
    <row r="1" spans="1:27" ht="143.25" customHeight="1" x14ac:dyDescent="0.25">
      <c r="AA1" s="146">
        <v>21</v>
      </c>
    </row>
    <row r="2" spans="1:27" x14ac:dyDescent="0.25">
      <c r="AA2" s="146">
        <v>22</v>
      </c>
    </row>
    <row r="4" spans="1:27" ht="39" customHeight="1" x14ac:dyDescent="0.25">
      <c r="A4" s="146">
        <v>1</v>
      </c>
      <c r="D4" s="166" t="s">
        <v>75</v>
      </c>
      <c r="E4" s="167" t="s">
        <v>69</v>
      </c>
      <c r="F4" s="166" t="str">
        <f>IF(LEN(TRIM('4. Billing Determinants'!$B21))=0, "", UPPER('4. Billing Determinants'!$B21))</f>
        <v>RESIDENTIAL</v>
      </c>
      <c r="G4" s="166" t="str">
        <f>IF(LEN(TRIM('4. Billing Determinants'!$B22))=0, "", '4. Billing Determinants'!$B22)</f>
        <v>GENERAL SERVICE &lt; 50 KW</v>
      </c>
      <c r="H4" s="166" t="str">
        <f>IF(LEN(TRIM('4. Billing Determinants'!$B23))=0, "", '4. Billing Determinants'!$B23)</f>
        <v>GENERAL SERVICE &gt; 50 KW TO 4,999 KW</v>
      </c>
      <c r="I4" s="166" t="str">
        <f>IF(LEN(TRIM('4. Billing Determinants'!$B24))=0, "", '4. Billing Determinants'!$B24)</f>
        <v>SENTINEL LIGHTING</v>
      </c>
      <c r="J4" s="166" t="str">
        <f>IF(LEN(TRIM('4. Billing Determinants'!$B25))=0, "", '4. Billing Determinants'!$B25)</f>
        <v>STREET LIGHTING</v>
      </c>
      <c r="K4" s="166" t="str">
        <f>IF(LEN(TRIM('4. Billing Determinants'!$B26))=0, "", '4. Billing Determinants'!$B26)</f>
        <v>UNMETERED SCATTERED LOAD</v>
      </c>
      <c r="L4" s="166" t="str">
        <f>IF(LEN(TRIM('4. Billing Determinants'!$B27))=0, "", '4. Billing Determinants'!$B27)</f>
        <v/>
      </c>
      <c r="M4" s="166" t="str">
        <f>IF(LEN(TRIM('4. Billing Determinants'!$B28))=0, "", '4. Billing Determinants'!$B28)</f>
        <v/>
      </c>
      <c r="N4" s="166" t="str">
        <f>IF(LEN(TRIM('4. Billing Determinants'!$B29))=0, "", '4. Billing Determinants'!$B29)</f>
        <v/>
      </c>
      <c r="O4" s="166" t="str">
        <f>IF(LEN(TRIM('4. Billing Determinants'!$B30))=0, "", '4. Billing Determinants'!$B30)</f>
        <v/>
      </c>
      <c r="P4" s="166" t="str">
        <f>IF(LEN(TRIM('4. Billing Determinants'!$B31))=0, "", '4. Billing Determinants'!$B31)</f>
        <v/>
      </c>
      <c r="Q4" s="166" t="str">
        <f>IF(LEN(TRIM('4. Billing Determinants'!$B32))=0, "", '4. Billing Determinants'!$B32)</f>
        <v/>
      </c>
      <c r="R4" s="166" t="str">
        <f>IF(LEN(TRIM('4. Billing Determinants'!$B33))=0, "", '4. Billing Determinants'!$B33)</f>
        <v/>
      </c>
      <c r="S4" s="166" t="str">
        <f>IF(LEN(TRIM('4. Billing Determinants'!$B34))=0, "", '4. Billing Determinants'!$B34)</f>
        <v/>
      </c>
      <c r="T4" s="166" t="str">
        <f>IF(LEN(TRIM('4. Billing Determinants'!$B35))=0, "", '4. Billing Determinants'!$B35)</f>
        <v/>
      </c>
      <c r="U4" s="166" t="str">
        <f>IF(LEN(TRIM('4. Billing Determinants'!$B36))=0, "", '4. Billing Determinants'!$B36)</f>
        <v/>
      </c>
      <c r="V4" s="166" t="str">
        <f>IF(LEN(TRIM('4. Billing Determinants'!$B37))=0, "", '4. Billing Determinants'!$B37)</f>
        <v/>
      </c>
      <c r="W4" s="166" t="str">
        <f>IF(LEN(TRIM('4. Billing Determinants'!$B38))=0, "", '4. Billing Determinants'!$B38)</f>
        <v/>
      </c>
      <c r="X4" s="166" t="str">
        <f>IF(LEN(TRIM('4. Billing Determinants'!$B39))=0, "", '4. Billing Determinants'!$B39)</f>
        <v/>
      </c>
      <c r="Y4" s="166" t="str">
        <f>IF(LEN(TRIM('4. Billing Determinants'!$B40))=0, "", '4. Billing Determinants'!$B40)</f>
        <v/>
      </c>
    </row>
    <row r="5" spans="1:27" x14ac:dyDescent="0.25">
      <c r="A5" s="146">
        <v>2</v>
      </c>
      <c r="B5" s="40" t="s">
        <v>28</v>
      </c>
      <c r="C5" s="306">
        <v>1550</v>
      </c>
      <c r="D5" s="42">
        <f>'2. 2016 Continuity Schedule'!BT24</f>
        <v>311371.04000000004</v>
      </c>
      <c r="E5" s="74" t="s">
        <v>189</v>
      </c>
      <c r="F5" s="42">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187218.56868300709</v>
      </c>
      <c r="G5" s="42">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40856.780976509406</v>
      </c>
      <c r="H5" s="42">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81851.19987653743</v>
      </c>
      <c r="I5" s="42">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132.28333753049364</v>
      </c>
      <c r="J5" s="42">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720.42039221723633</v>
      </c>
      <c r="K5" s="42">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591.78673419839481</v>
      </c>
      <c r="L5" s="42">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2">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2">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2">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2">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2">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2">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2">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2">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2">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2">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2">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2">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2">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5">
      <c r="A6" s="146">
        <v>3</v>
      </c>
      <c r="B6" s="43" t="s">
        <v>175</v>
      </c>
      <c r="C6" s="306">
        <v>1551</v>
      </c>
      <c r="D6" s="42">
        <f>'2. 2016 Continuity Schedule'!BT25</f>
        <v>-5597.5110000000004</v>
      </c>
      <c r="E6" s="351" t="s">
        <v>71</v>
      </c>
      <c r="F6" s="408">
        <f>('4. Billing Determinants'!$AC21/('4. Billing Determinants'!$AC21+'4. Billing Determinants'!$AC22))*$D$6</f>
        <v>-5248.4784785603051</v>
      </c>
      <c r="G6" s="408">
        <f>('4. Billing Determinants'!$AC22/('4. Billing Determinants'!$AC21+'4. Billing Determinants'!$AC22))*$D$6</f>
        <v>-349.03252143969462</v>
      </c>
      <c r="H6" s="131"/>
      <c r="I6" s="42"/>
      <c r="J6" s="42"/>
      <c r="K6" s="42"/>
      <c r="L6" s="42"/>
      <c r="M6" s="42"/>
      <c r="N6" s="42"/>
      <c r="O6" s="42"/>
      <c r="P6" s="42"/>
      <c r="Q6" s="42"/>
      <c r="R6" s="42"/>
      <c r="S6" s="42"/>
      <c r="T6" s="42"/>
      <c r="U6" s="42"/>
      <c r="V6" s="42"/>
      <c r="W6" s="42"/>
      <c r="X6" s="42"/>
      <c r="Y6" s="42"/>
    </row>
    <row r="7" spans="1:27" x14ac:dyDescent="0.25">
      <c r="A7" s="327">
        <v>4</v>
      </c>
      <c r="B7" s="43" t="s">
        <v>1</v>
      </c>
      <c r="C7" s="306">
        <v>1580</v>
      </c>
      <c r="D7" s="42">
        <f>IF('2. 2016 Continuity Schedule'!CA11,'2. 2016 Continuity Schedule'!BT26,'2. 2016 Continuity Schedule'!BT26+'2. 2016 Continuity Schedule'!BT28)</f>
        <v>-541579.54999999993</v>
      </c>
      <c r="E7" s="74" t="s">
        <v>189</v>
      </c>
      <c r="F7" s="42">
        <f>IFERROR(IF(F$4="",0,IF($E7="kWh",VLOOKUP(F$4,'4. Billing Determinants'!$B$19:$R$41,11,0)/'4. Billing Determinants'!$L$41*$D7,IF($E7="kW",VLOOKUP(F$4,'4. Billing Determinants'!$B$19:$R$41,12,0)/'4. Billing Determinants'!$M$41*$D7,))),0)</f>
        <v>-325636.41171955829</v>
      </c>
      <c r="G7" s="42">
        <f>IFERROR(IF(G$4="",0,IF($E7="kWh",VLOOKUP(G$4,'4. Billing Determinants'!$B$19:$R$41,11,0)/'4. Billing Determinants'!$L$41*$D7,IF($E7="kW",VLOOKUP(G$4,'4. Billing Determinants'!$B$19:$R$41,12,0)/'4. Billing Determinants'!$M$41*$D7,))),0)</f>
        <v>-71063.760636527149</v>
      </c>
      <c r="H7" s="42">
        <f>IFERROR(IF(H$4="",0,IF($E7="kWh",VLOOKUP(H$4,'4. Billing Determinants'!$B$19:$R$41,11,0)/'4. Billing Determinants'!$L$41*$D7,IF($E7="kW",VLOOKUP(H$4,'4. Billing Determinants'!$B$19:$R$41,12,0)/'4. Billing Determinants'!$M$41*$D7,))),0)</f>
        <v>-142366.92017374252</v>
      </c>
      <c r="I7" s="42">
        <f>IFERROR(IF(I$4="",0,IF($E7="kWh",VLOOKUP(I$4,'4. Billing Determinants'!$B$19:$R$41,11,0)/'4. Billing Determinants'!$L$41*$D7,IF($E7="kW",VLOOKUP(I$4,'4. Billing Determinants'!$B$19:$R$41,12,0)/'4. Billing Determinants'!$M$41*$D7,))),0)</f>
        <v>-230.08546463493471</v>
      </c>
      <c r="J7" s="42">
        <f>IFERROR(IF(J$4="",0,IF($E7="kWh",VLOOKUP(J$4,'4. Billing Determinants'!$B$19:$R$41,11,0)/'4. Billing Determinants'!$L$41*$D7,IF($E7="kW",VLOOKUP(J$4,'4. Billing Determinants'!$B$19:$R$41,12,0)/'4. Billing Determinants'!$M$41*$D7,))),0)</f>
        <v>-1253.054721556103</v>
      </c>
      <c r="K7" s="42">
        <f>IFERROR(IF(K$4="",0,IF($E7="kWh",VLOOKUP(K$4,'4. Billing Determinants'!$B$19:$R$41,11,0)/'4. Billing Determinants'!$L$41*$D7,IF($E7="kW",VLOOKUP(K$4,'4. Billing Determinants'!$B$19:$R$41,12,0)/'4. Billing Determinants'!$M$41*$D7,))),0)</f>
        <v>-1029.3172839809902</v>
      </c>
      <c r="L7" s="42">
        <f>IFERROR(IF(L$4="",0,IF($E7="kWh",VLOOKUP(L$4,'4. Billing Determinants'!$B$19:$R$41,11,0)/'4. Billing Determinants'!$L$41*$D7,IF($E7="kW",VLOOKUP(L$4,'4. Billing Determinants'!$B$19:$R$41,12,0)/'4. Billing Determinants'!$M$41*$D7,))),0)</f>
        <v>0</v>
      </c>
      <c r="M7" s="42">
        <f>IFERROR(IF(M$4="",0,IF($E7="kWh",VLOOKUP(M$4,'4. Billing Determinants'!$B$19:$R$41,11,0)/'4. Billing Determinants'!$L$41*$D7,IF($E7="kW",VLOOKUP(M$4,'4. Billing Determinants'!$B$19:$R$41,12,0)/'4. Billing Determinants'!$M$41*$D7,))),0)</f>
        <v>0</v>
      </c>
      <c r="N7" s="42">
        <f>IFERROR(IF(N$4="",0,IF($E7="kWh",VLOOKUP(N$4,'4. Billing Determinants'!$B$19:$R$41,11,0)/'4. Billing Determinants'!$L$41*$D7,IF($E7="kW",VLOOKUP(N$4,'4. Billing Determinants'!$B$19:$R$41,12,0)/'4. Billing Determinants'!$M$41*$D7,))),0)</f>
        <v>0</v>
      </c>
      <c r="O7" s="42">
        <f>IFERROR(IF(O$4="",0,IF($E7="kWh",VLOOKUP(O$4,'4. Billing Determinants'!$B$19:$R$41,11,0)/'4. Billing Determinants'!$L$41*$D7,IF($E7="kW",VLOOKUP(O$4,'4. Billing Determinants'!$B$19:$R$41,12,0)/'4. Billing Determinants'!$M$41*$D7,))),0)</f>
        <v>0</v>
      </c>
      <c r="P7" s="42">
        <f>IFERROR(IF(P$4="",0,IF($E7="kWh",VLOOKUP(P$4,'4. Billing Determinants'!$B$19:$R$41,11,0)/'4. Billing Determinants'!$L$41*$D7,IF($E7="kW",VLOOKUP(P$4,'4. Billing Determinants'!$B$19:$R$41,12,0)/'4. Billing Determinants'!$M$41*$D7,))),0)</f>
        <v>0</v>
      </c>
      <c r="Q7" s="42">
        <f>IFERROR(IF(Q$4="",0,IF($E7="kWh",VLOOKUP(Q$4,'4. Billing Determinants'!$B$19:$R$41,11,0)/'4. Billing Determinants'!$L$41*$D7,IF($E7="kW",VLOOKUP(Q$4,'4. Billing Determinants'!$B$19:$R$41,12,0)/'4. Billing Determinants'!$M$41*$D7,))),0)</f>
        <v>0</v>
      </c>
      <c r="R7" s="42">
        <f>IFERROR(IF(R$4="",0,IF($E7="kWh",VLOOKUP(R$4,'4. Billing Determinants'!$B$19:$R$41,11,0)/'4. Billing Determinants'!$L$41*$D7,IF($E7="kW",VLOOKUP(R$4,'4. Billing Determinants'!$B$19:$R$41,12,0)/'4. Billing Determinants'!$M$41*$D7,))),0)</f>
        <v>0</v>
      </c>
      <c r="S7" s="42">
        <f>IFERROR(IF(S$4="",0,IF($E7="kWh",VLOOKUP(S$4,'4. Billing Determinants'!$B$19:$R$41,11,0)/'4. Billing Determinants'!$L$41*$D7,IF($E7="kW",VLOOKUP(S$4,'4. Billing Determinants'!$B$19:$R$41,12,0)/'4. Billing Determinants'!$M$41*$D7,))),0)</f>
        <v>0</v>
      </c>
      <c r="T7" s="42">
        <f>IFERROR(IF(T$4="",0,IF($E7="kWh",VLOOKUP(T$4,'4. Billing Determinants'!$B$19:$R$41,11,0)/'4. Billing Determinants'!$L$41*$D7,IF($E7="kW",VLOOKUP(T$4,'4. Billing Determinants'!$B$19:$R$41,12,0)/'4. Billing Determinants'!$M$41*$D7,))),0)</f>
        <v>0</v>
      </c>
      <c r="U7" s="42">
        <f>IFERROR(IF(U$4="",0,IF($E7="kWh",VLOOKUP(U$4,'4. Billing Determinants'!$B$19:$R$41,11,0)/'4. Billing Determinants'!$L$41*$D7,IF($E7="kW",VLOOKUP(U$4,'4. Billing Determinants'!$B$19:$R$41,12,0)/'4. Billing Determinants'!$M$41*$D7,))),0)</f>
        <v>0</v>
      </c>
      <c r="V7" s="42">
        <f>IFERROR(IF(V$4="",0,IF($E7="kWh",VLOOKUP(V$4,'4. Billing Determinants'!$B$19:$R$41,11,0)/'4. Billing Determinants'!$L$41*$D7,IF($E7="kW",VLOOKUP(V$4,'4. Billing Determinants'!$B$19:$R$41,12,0)/'4. Billing Determinants'!$M$41*$D7,))),0)</f>
        <v>0</v>
      </c>
      <c r="W7" s="42">
        <f>IFERROR(IF(W$4="",0,IF($E7="kWh",VLOOKUP(W$4,'4. Billing Determinants'!$B$19:$R$41,11,0)/'4. Billing Determinants'!$L$41*$D7,IF($E7="kW",VLOOKUP(W$4,'4. Billing Determinants'!$B$19:$R$41,12,0)/'4. Billing Determinants'!$M$41*$D7,))),0)</f>
        <v>0</v>
      </c>
      <c r="X7" s="42">
        <f>IFERROR(IF(X$4="",0,IF($E7="kWh",VLOOKUP(X$4,'4. Billing Determinants'!$B$19:$R$41,11,0)/'4. Billing Determinants'!$L$41*$D7,IF($E7="kW",VLOOKUP(X$4,'4. Billing Determinants'!$B$19:$R$41,12,0)/'4. Billing Determinants'!$M$41*$D7,))),0)</f>
        <v>0</v>
      </c>
      <c r="Y7" s="42">
        <f>IFERROR(IF(Y$4="",0,IF($E7="kWh",VLOOKUP(Y$4,'4. Billing Determinants'!$B$19:$R$41,11,0)/'4. Billing Determinants'!$L$41*$D7,IF($E7="kW",VLOOKUP(Y$4,'4. Billing Determinants'!$B$19:$R$41,12,0)/'4. Billing Determinants'!$M$41*$D7,))),0)</f>
        <v>0</v>
      </c>
    </row>
    <row r="8" spans="1:27" x14ac:dyDescent="0.25">
      <c r="A8" s="146">
        <v>5</v>
      </c>
      <c r="B8" s="43" t="s">
        <v>2</v>
      </c>
      <c r="C8" s="306">
        <v>1584</v>
      </c>
      <c r="D8" s="42">
        <f>'2. 2016 Continuity Schedule'!BT29</f>
        <v>95686.722999999998</v>
      </c>
      <c r="E8" s="74" t="s">
        <v>189</v>
      </c>
      <c r="F8" s="42">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57533.710656030737</v>
      </c>
      <c r="G8" s="42">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12555.604027821355</v>
      </c>
      <c r="H8" s="42">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25153.505251496317</v>
      </c>
      <c r="I8" s="42">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40.651690265722358</v>
      </c>
      <c r="J8" s="42">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221.3907449891359</v>
      </c>
      <c r="K8" s="42">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181.86062939673653</v>
      </c>
      <c r="L8" s="42">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2">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2">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2">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2">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2">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2">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2">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2">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2">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2">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2">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2">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2">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5">
      <c r="A9" s="146">
        <v>6</v>
      </c>
      <c r="B9" s="43" t="s">
        <v>3</v>
      </c>
      <c r="C9" s="306">
        <v>1586</v>
      </c>
      <c r="D9" s="42">
        <f>'2. 2016 Continuity Schedule'!BT30</f>
        <v>190348.17600000001</v>
      </c>
      <c r="E9" s="74" t="s">
        <v>189</v>
      </c>
      <c r="F9" s="42">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114450.95556138143</v>
      </c>
      <c r="G9" s="42">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24976.676495380121</v>
      </c>
      <c r="H9" s="42">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50037.494173865118</v>
      </c>
      <c r="I9" s="42">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80.867803293850983</v>
      </c>
      <c r="J9" s="42">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440.40931877208465</v>
      </c>
      <c r="K9" s="42">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361.77264730740944</v>
      </c>
      <c r="L9" s="42">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2">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2">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2">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2">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2">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2">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2">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2">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2">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2">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2">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2">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2">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5">
      <c r="A10" s="146">
        <v>7</v>
      </c>
      <c r="B10" s="43" t="s">
        <v>48</v>
      </c>
      <c r="C10" s="306">
        <v>1588</v>
      </c>
      <c r="D10" s="42">
        <v>0</v>
      </c>
      <c r="E10" s="74" t="s">
        <v>189</v>
      </c>
      <c r="F10" s="42">
        <f>IFERROR(IF(F$4="",0,IF($E10="kWh",VLOOKUP(F$4,'4. Billing Determinants'!$B$19:$R$41,11,0)/'4. Billing Determinants'!$L$41*$D10,IF($E10="kW",VLOOKUP(F$4,'4. Billing Determinants'!$B$19:$R$41,12,0)/'4. Billing Determinants'!$M$41*$D10,))),0)</f>
        <v>0</v>
      </c>
      <c r="G10" s="42">
        <f>IFERROR(IF(G$4="",0,IF($E10="kWh",VLOOKUP(G$4,'4. Billing Determinants'!$B$19:$R$41,11,0)/'4. Billing Determinants'!$L$41*$D10,IF($E10="kW",VLOOKUP(G$4,'4. Billing Determinants'!$B$19:$R$41,12,0)/'4. Billing Determinants'!$M$41*$D10,))),0)</f>
        <v>0</v>
      </c>
      <c r="H10" s="42">
        <f>IFERROR(IF(H$4="",0,IF($E10="kWh",VLOOKUP(H$4,'4. Billing Determinants'!$B$19:$R$41,11,0)/'4. Billing Determinants'!$L$41*$D10,IF($E10="kW",VLOOKUP(H$4,'4. Billing Determinants'!$B$19:$R$41,12,0)/'4. Billing Determinants'!$M$41*$D10,))),0)</f>
        <v>0</v>
      </c>
      <c r="I10" s="42">
        <f>IFERROR(IF(I$4="",0,IF($E10="kWh",VLOOKUP(I$4,'4. Billing Determinants'!$B$19:$R$41,11,0)/'4. Billing Determinants'!$L$41*$D10,IF($E10="kW",VLOOKUP(I$4,'4. Billing Determinants'!$B$19:$R$41,12,0)/'4. Billing Determinants'!$M$41*$D10,))),0)</f>
        <v>0</v>
      </c>
      <c r="J10" s="42">
        <f>IFERROR(IF(J$4="",0,IF($E10="kWh",VLOOKUP(J$4,'4. Billing Determinants'!$B$19:$R$41,11,0)/'4. Billing Determinants'!$L$41*$D10,IF($E10="kW",VLOOKUP(J$4,'4. Billing Determinants'!$B$19:$R$41,12,0)/'4. Billing Determinants'!$M$41*$D10,))),0)</f>
        <v>0</v>
      </c>
      <c r="K10" s="42">
        <f>IFERROR(IF(K$4="",0,IF($E10="kWh",VLOOKUP(K$4,'4. Billing Determinants'!$B$19:$R$41,11,0)/'4. Billing Determinants'!$L$41*$D10,IF($E10="kW",VLOOKUP(K$4,'4. Billing Determinants'!$B$19:$R$41,12,0)/'4. Billing Determinants'!$M$41*$D10,))),0)</f>
        <v>0</v>
      </c>
      <c r="L10" s="42">
        <f>IFERROR(IF(L$4="",0,IF($E10="kWh",VLOOKUP(L$4,'4. Billing Determinants'!$B$19:$R$41,11,0)/'4. Billing Determinants'!$L$41*$D10,IF($E10="kW",VLOOKUP(L$4,'4. Billing Determinants'!$B$19:$R$41,12,0)/'4. Billing Determinants'!$M$41*$D10,))),0)</f>
        <v>0</v>
      </c>
      <c r="M10" s="42">
        <f>IFERROR(IF(M$4="",0,IF($E10="kWh",VLOOKUP(M$4,'4. Billing Determinants'!$B$19:$R$41,11,0)/'4. Billing Determinants'!$L$41*$D10,IF($E10="kW",VLOOKUP(M$4,'4. Billing Determinants'!$B$19:$R$41,12,0)/'4. Billing Determinants'!$M$41*$D10,))),0)</f>
        <v>0</v>
      </c>
      <c r="N10" s="42">
        <f>IFERROR(IF(N$4="",0,IF($E10="kWh",VLOOKUP(N$4,'4. Billing Determinants'!$B$19:$R$41,11,0)/'4. Billing Determinants'!$L$41*$D10,IF($E10="kW",VLOOKUP(N$4,'4. Billing Determinants'!$B$19:$R$41,12,0)/'4. Billing Determinants'!$M$41*$D10,))),0)</f>
        <v>0</v>
      </c>
      <c r="O10" s="42">
        <f>IFERROR(IF(O$4="",0,IF($E10="kWh",VLOOKUP(O$4,'4. Billing Determinants'!$B$19:$R$41,11,0)/'4. Billing Determinants'!$L$41*$D10,IF($E10="kW",VLOOKUP(O$4,'4. Billing Determinants'!$B$19:$R$41,12,0)/'4. Billing Determinants'!$M$41*$D10,))),0)</f>
        <v>0</v>
      </c>
      <c r="P10" s="42">
        <f>IFERROR(IF(P$4="",0,IF($E10="kWh",VLOOKUP(P$4,'4. Billing Determinants'!$B$19:$R$41,11,0)/'4. Billing Determinants'!$L$41*$D10,IF($E10="kW",VLOOKUP(P$4,'4. Billing Determinants'!$B$19:$R$41,12,0)/'4. Billing Determinants'!$M$41*$D10,))),0)</f>
        <v>0</v>
      </c>
      <c r="Q10" s="42">
        <f>IFERROR(IF(Q$4="",0,IF($E10="kWh",VLOOKUP(Q$4,'4. Billing Determinants'!$B$19:$R$41,11,0)/'4. Billing Determinants'!$L$41*$D10,IF($E10="kW",VLOOKUP(Q$4,'4. Billing Determinants'!$B$19:$R$41,12,0)/'4. Billing Determinants'!$M$41*$D10,))),0)</f>
        <v>0</v>
      </c>
      <c r="R10" s="42">
        <f>IFERROR(IF(R$4="",0,IF($E10="kWh",VLOOKUP(R$4,'4. Billing Determinants'!$B$19:$R$41,11,0)/'4. Billing Determinants'!$L$41*$D10,IF($E10="kW",VLOOKUP(R$4,'4. Billing Determinants'!$B$19:$R$41,12,0)/'4. Billing Determinants'!$M$41*$D10,))),0)</f>
        <v>0</v>
      </c>
      <c r="S10" s="42">
        <f>IFERROR(IF(S$4="",0,IF($E10="kWh",VLOOKUP(S$4,'4. Billing Determinants'!$B$19:$R$41,11,0)/'4. Billing Determinants'!$L$41*$D10,IF($E10="kW",VLOOKUP(S$4,'4. Billing Determinants'!$B$19:$R$41,12,0)/'4. Billing Determinants'!$M$41*$D10,))),0)</f>
        <v>0</v>
      </c>
      <c r="T10" s="42">
        <f>IFERROR(IF(T$4="",0,IF($E10="kWh",VLOOKUP(T$4,'4. Billing Determinants'!$B$19:$R$41,11,0)/'4. Billing Determinants'!$L$41*$D10,IF($E10="kW",VLOOKUP(T$4,'4. Billing Determinants'!$B$19:$R$41,12,0)/'4. Billing Determinants'!$M$41*$D10,))),0)</f>
        <v>0</v>
      </c>
      <c r="U10" s="42">
        <f>IFERROR(IF(U$4="",0,IF($E10="kWh",VLOOKUP(U$4,'4. Billing Determinants'!$B$19:$R$41,11,0)/'4. Billing Determinants'!$L$41*$D10,IF($E10="kW",VLOOKUP(U$4,'4. Billing Determinants'!$B$19:$R$41,12,0)/'4. Billing Determinants'!$M$41*$D10,))),0)</f>
        <v>0</v>
      </c>
      <c r="V10" s="42">
        <f>IFERROR(IF(V$4="",0,IF($E10="kWh",VLOOKUP(V$4,'4. Billing Determinants'!$B$19:$R$41,11,0)/'4. Billing Determinants'!$L$41*$D10,IF($E10="kW",VLOOKUP(V$4,'4. Billing Determinants'!$B$19:$R$41,12,0)/'4. Billing Determinants'!$M$41*$D10,))),0)</f>
        <v>0</v>
      </c>
      <c r="W10" s="42">
        <f>IFERROR(IF(W$4="",0,IF($E10="kWh",VLOOKUP(W$4,'4. Billing Determinants'!$B$19:$R$41,11,0)/'4. Billing Determinants'!$L$41*$D10,IF($E10="kW",VLOOKUP(W$4,'4. Billing Determinants'!$B$19:$R$41,12,0)/'4. Billing Determinants'!$M$41*$D10,))),0)</f>
        <v>0</v>
      </c>
      <c r="X10" s="42">
        <f>IFERROR(IF(X$4="",0,IF($E10="kWh",VLOOKUP(X$4,'4. Billing Determinants'!$B$19:$R$41,11,0)/'4. Billing Determinants'!$L$41*$D10,IF($E10="kW",VLOOKUP(X$4,'4. Billing Determinants'!$B$19:$R$41,12,0)/'4. Billing Determinants'!$M$41*$D10,))),0)</f>
        <v>0</v>
      </c>
      <c r="Y10" s="42">
        <f>IFERROR(IF(Y$4="",0,IF($E10="kWh",VLOOKUP(Y$4,'4. Billing Determinants'!$B$19:$R$41,11,0)/'4. Billing Determinants'!$L$41*$D10,IF($E10="kW",VLOOKUP(Y$4,'4. Billing Determinants'!$B$19:$R$41,12,0)/'4. Billing Determinants'!$M$41*$D10,))),0)</f>
        <v>0</v>
      </c>
    </row>
    <row r="11" spans="1:27" x14ac:dyDescent="0.25">
      <c r="A11" s="327">
        <v>8</v>
      </c>
      <c r="B11" s="40" t="s">
        <v>81</v>
      </c>
      <c r="C11" s="306">
        <v>1589</v>
      </c>
      <c r="D11" s="199">
        <v>0</v>
      </c>
      <c r="E11" s="353" t="s">
        <v>223</v>
      </c>
      <c r="F11" s="199">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0</v>
      </c>
      <c r="G11" s="199">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0</v>
      </c>
      <c r="H11" s="199">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0</v>
      </c>
      <c r="I11" s="199">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99">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99">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99">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99">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99">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99">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99">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99">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99">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99">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99">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99">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99">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99">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99">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99">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x14ac:dyDescent="0.25">
      <c r="A12" s="146">
        <v>9</v>
      </c>
      <c r="B12" s="44" t="s">
        <v>66</v>
      </c>
      <c r="C12" s="306">
        <v>1595</v>
      </c>
      <c r="D12" s="42">
        <f>'2. 2016 Continuity Schedule'!BT33</f>
        <v>-352.06299999999999</v>
      </c>
      <c r="E12" s="74" t="s">
        <v>212</v>
      </c>
      <c r="F12" s="42">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-238.59309509999997</v>
      </c>
      <c r="G12" s="42">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-48.127012099999995</v>
      </c>
      <c r="H12" s="42">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-61.7518502</v>
      </c>
      <c r="I12" s="42">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-0.8449511999999999</v>
      </c>
      <c r="J12" s="42">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-0.17603150000000001</v>
      </c>
      <c r="K12" s="42">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-2.5348535999999999</v>
      </c>
      <c r="L12" s="42">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2">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2">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2">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2">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2">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2">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2">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2">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2">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2">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2">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2">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2">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5">
      <c r="A13" s="146">
        <v>10</v>
      </c>
      <c r="B13" s="44" t="s">
        <v>67</v>
      </c>
      <c r="C13" s="306">
        <v>1595</v>
      </c>
      <c r="D13" s="42">
        <f>'2. 2016 Continuity Schedule'!BT34</f>
        <v>0</v>
      </c>
      <c r="E13" s="74" t="s">
        <v>212</v>
      </c>
      <c r="F13" s="34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34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34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34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34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34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34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34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34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34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34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34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34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34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34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34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34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34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34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34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5">
      <c r="A14" s="146">
        <v>11</v>
      </c>
      <c r="B14" s="44" t="s">
        <v>164</v>
      </c>
      <c r="C14" s="306">
        <v>1595</v>
      </c>
      <c r="D14" s="42">
        <f>'2. 2016 Continuity Schedule'!BT35</f>
        <v>0</v>
      </c>
      <c r="E14" s="74" t="s">
        <v>212</v>
      </c>
      <c r="F14" s="34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34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34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34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34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34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34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34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34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34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34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34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34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34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34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34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34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34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34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34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5">
      <c r="A15" s="327">
        <v>12</v>
      </c>
      <c r="B15" s="44" t="s">
        <v>188</v>
      </c>
      <c r="C15" s="306">
        <v>1595</v>
      </c>
      <c r="D15" s="42">
        <f>'2. 2016 Continuity Schedule'!BT36</f>
        <v>6790.1450000000004</v>
      </c>
      <c r="E15" s="74" t="s">
        <v>212</v>
      </c>
      <c r="F15" s="34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4601.6812664999998</v>
      </c>
      <c r="G15" s="34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928.21282150000002</v>
      </c>
      <c r="H15" s="34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1190.9914330000001</v>
      </c>
      <c r="I15" s="34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16.296347999999998</v>
      </c>
      <c r="J15" s="34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3.3950725000000004</v>
      </c>
      <c r="K15" s="34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48.889043999999998</v>
      </c>
      <c r="L15" s="34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34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34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34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34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34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34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34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34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34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34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34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34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34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5">
      <c r="A16" s="146">
        <v>13</v>
      </c>
      <c r="B16" s="44" t="s">
        <v>201</v>
      </c>
      <c r="C16" s="41">
        <v>1595</v>
      </c>
      <c r="D16" s="42">
        <f>'2. 2016 Continuity Schedule'!BT37</f>
        <v>105.691</v>
      </c>
      <c r="E16" s="74" t="s">
        <v>212</v>
      </c>
      <c r="F16" s="34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66.056875000000005</v>
      </c>
      <c r="G16" s="34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14.268285000000001</v>
      </c>
      <c r="H16" s="34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24.731694000000001</v>
      </c>
      <c r="I16" s="34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34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0.31707299999999999</v>
      </c>
      <c r="K16" s="34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0.31707299999999999</v>
      </c>
      <c r="L16" s="34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34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34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34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34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34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34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34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34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34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34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34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34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34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5">
      <c r="A17" s="146">
        <v>14</v>
      </c>
      <c r="B17" s="44" t="s">
        <v>202</v>
      </c>
      <c r="C17" s="41">
        <v>1595</v>
      </c>
      <c r="D17" s="42">
        <f>'2. 2016 Continuity Schedule'!BT38</f>
        <v>-28861.803</v>
      </c>
      <c r="E17" s="74" t="s">
        <v>212</v>
      </c>
      <c r="F17" s="34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-18038.626875000002</v>
      </c>
      <c r="G17" s="34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-3896.3434050000001</v>
      </c>
      <c r="H17" s="34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-6753.6619020000007</v>
      </c>
      <c r="I17" s="34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34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-86.585408999999999</v>
      </c>
      <c r="K17" s="34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-86.585408999999999</v>
      </c>
      <c r="L17" s="34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34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34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34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34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34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34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34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34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34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34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34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34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34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5">
      <c r="A18" s="146">
        <v>15</v>
      </c>
      <c r="B18" s="44" t="s">
        <v>329</v>
      </c>
      <c r="C18" s="41">
        <v>1595</v>
      </c>
      <c r="D18" s="42">
        <f>'2. 2016 Continuity Schedule'!BT39</f>
        <v>205482.851</v>
      </c>
      <c r="E18" s="74" t="s">
        <v>212</v>
      </c>
      <c r="F18" s="34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128426.781875</v>
      </c>
      <c r="G18" s="34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27740.184885000002</v>
      </c>
      <c r="H18" s="34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48082.987134000003</v>
      </c>
      <c r="I18" s="34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34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616.44855299999995</v>
      </c>
      <c r="K18" s="34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616.44855299999995</v>
      </c>
      <c r="L18" s="34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34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34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34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34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34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34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34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34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34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34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34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34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34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s="2" customFormat="1" x14ac:dyDescent="0.25">
      <c r="A19" s="327">
        <v>16</v>
      </c>
      <c r="B19" s="55" t="s">
        <v>95</v>
      </c>
      <c r="C19" s="55"/>
      <c r="D19" s="56">
        <f>SUM(D5:D18)-D11</f>
        <v>233393.69900000011</v>
      </c>
      <c r="E19" s="175"/>
      <c r="F19" s="56">
        <f>SUM(F5:F18)-F11</f>
        <v>143135.64474870067</v>
      </c>
      <c r="G19" s="56">
        <f t="shared" ref="G19:Y19" si="0">SUM(G5:G18)-G11</f>
        <v>31714.463916144043</v>
      </c>
      <c r="H19" s="56">
        <f t="shared" si="0"/>
        <v>57158.575636956346</v>
      </c>
      <c r="I19" s="56">
        <f t="shared" si="0"/>
        <v>39.168763255132269</v>
      </c>
      <c r="J19" s="56">
        <f t="shared" si="0"/>
        <v>662.56499242235384</v>
      </c>
      <c r="K19" s="56">
        <f t="shared" si="0"/>
        <v>682.63713432155055</v>
      </c>
      <c r="L19" s="56">
        <f t="shared" si="0"/>
        <v>0</v>
      </c>
      <c r="M19" s="56">
        <f t="shared" si="0"/>
        <v>0</v>
      </c>
      <c r="N19" s="56">
        <f t="shared" si="0"/>
        <v>0</v>
      </c>
      <c r="O19" s="56">
        <f t="shared" si="0"/>
        <v>0</v>
      </c>
      <c r="P19" s="56">
        <f t="shared" si="0"/>
        <v>0</v>
      </c>
      <c r="Q19" s="56">
        <f t="shared" si="0"/>
        <v>0</v>
      </c>
      <c r="R19" s="56">
        <f t="shared" si="0"/>
        <v>0</v>
      </c>
      <c r="S19" s="56">
        <f t="shared" si="0"/>
        <v>0</v>
      </c>
      <c r="T19" s="56">
        <f t="shared" si="0"/>
        <v>0</v>
      </c>
      <c r="U19" s="56">
        <f t="shared" si="0"/>
        <v>0</v>
      </c>
      <c r="V19" s="56">
        <f t="shared" si="0"/>
        <v>0</v>
      </c>
      <c r="W19" s="56">
        <f t="shared" si="0"/>
        <v>0</v>
      </c>
      <c r="X19" s="56">
        <f t="shared" si="0"/>
        <v>0</v>
      </c>
      <c r="Y19" s="56">
        <f t="shared" si="0"/>
        <v>0</v>
      </c>
    </row>
    <row r="20" spans="1:25" ht="8.25" customHeight="1" x14ac:dyDescent="0.25">
      <c r="A20" s="146">
        <v>17</v>
      </c>
      <c r="B20" s="45"/>
      <c r="C20" s="45"/>
      <c r="D20" s="46"/>
      <c r="E20" s="176"/>
    </row>
    <row r="21" spans="1:25" x14ac:dyDescent="0.25">
      <c r="A21" s="146">
        <v>18</v>
      </c>
      <c r="B21" s="40" t="s">
        <v>33</v>
      </c>
      <c r="C21" s="41">
        <v>1508</v>
      </c>
      <c r="D21" s="42">
        <f>'2. 2016 Continuity Schedule'!BT47</f>
        <v>11925.183999999999</v>
      </c>
      <c r="E21" s="74" t="s">
        <v>189</v>
      </c>
      <c r="F21" s="42">
        <f>IFERROR(IF(F$4="",0,IF($E21="kWh",VLOOKUP(F$4,'4. Billing Determinants'!$B$19:$R$41,4,0)/'4. Billing Determinants'!$E$41*$D21,IF($E21="kW",VLOOKUP(F$4,'4. Billing Determinants'!$B$19:$R$41,5,0)/'4. Billing Determinants'!$F$41*$D21,IF($E21="Non-RPP kWh",VLOOKUP(F$4,'4. Billing Determinants'!$B$19:$R$41,6,0)/'4. Billing Determinants'!$G$41*$D21,IF($E21="Distribution Rev.",VLOOKUP(F$4,'4. Billing Determinants'!$B$19:$R$41,8,0)/'4. Billing Determinants'!$I$41*$D21, VLOOKUP(F$4,'4. Billing Determinants'!$B$19:$R$41,3,0)/'4. Billing Determinants'!$D$41*$D21))))),0)</f>
        <v>7170.2746657540692</v>
      </c>
      <c r="G21" s="42">
        <f>IFERROR(IF(G$4="",0,IF($E21="kWh",VLOOKUP(G$4,'4. Billing Determinants'!$B$19:$R$41,4,0)/'4. Billing Determinants'!$E$41*$D21,IF($E21="kW",VLOOKUP(G$4,'4. Billing Determinants'!$B$19:$R$41,5,0)/'4. Billing Determinants'!$F$41*$D21,IF($E21="Non-RPP kWh",VLOOKUP(G$4,'4. Billing Determinants'!$B$19:$R$41,6,0)/'4. Billing Determinants'!$G$41*$D21,IF($E21="Distribution Rev.",VLOOKUP(G$4,'4. Billing Determinants'!$B$19:$R$41,8,0)/'4. Billing Determinants'!$I$41*$D21, VLOOKUP(G$4,'4. Billing Determinants'!$B$19:$R$41,3,0)/'4. Billing Determinants'!$D$41*$D21))))),0)</f>
        <v>1564.7718258980483</v>
      </c>
      <c r="H21" s="42">
        <f>IFERROR(IF(H$4="",0,IF($E21="kWh",VLOOKUP(H$4,'4. Billing Determinants'!$B$19:$R$41,4,0)/'4. Billing Determinants'!$E$41*$D21,IF($E21="kW",VLOOKUP(H$4,'4. Billing Determinants'!$B$19:$R$41,5,0)/'4. Billing Determinants'!$F$41*$D21,IF($E21="Non-RPP kWh",VLOOKUP(H$4,'4. Billing Determinants'!$B$19:$R$41,6,0)/'4. Billing Determinants'!$G$41*$D21,IF($E21="Distribution Rev.",VLOOKUP(H$4,'4. Billing Determinants'!$B$19:$R$41,8,0)/'4. Billing Determinants'!$I$41*$D21, VLOOKUP(H$4,'4. Billing Determinants'!$B$19:$R$41,3,0)/'4. Billing Determinants'!$D$41*$D21))))),0)</f>
        <v>3134.8150397945997</v>
      </c>
      <c r="I21" s="42">
        <f>IFERROR(IF(I$4="",0,IF($E21="kWh",VLOOKUP(I$4,'4. Billing Determinants'!$B$19:$R$41,4,0)/'4. Billing Determinants'!$E$41*$D21,IF($E21="kW",VLOOKUP(I$4,'4. Billing Determinants'!$B$19:$R$41,5,0)/'4. Billing Determinants'!$F$41*$D21,IF($E21="Non-RPP kWh",VLOOKUP(I$4,'4. Billing Determinants'!$B$19:$R$41,6,0)/'4. Billing Determinants'!$G$41*$D21,IF($E21="Distribution Rev.",VLOOKUP(I$4,'4. Billing Determinants'!$B$19:$R$41,8,0)/'4. Billing Determinants'!$I$41*$D21, VLOOKUP(I$4,'4. Billing Determinants'!$B$19:$R$41,3,0)/'4. Billing Determinants'!$D$41*$D21))))),0)</f>
        <v>5.0663129756230445</v>
      </c>
      <c r="J21" s="42">
        <f>IFERROR(IF(J$4="",0,IF($E21="kWh",VLOOKUP(J$4,'4. Billing Determinants'!$B$19:$R$41,4,0)/'4. Billing Determinants'!$E$41*$D21,IF($E21="kW",VLOOKUP(J$4,'4. Billing Determinants'!$B$19:$R$41,5,0)/'4. Billing Determinants'!$F$41*$D21,IF($E21="Non-RPP kWh",VLOOKUP(J$4,'4. Billing Determinants'!$B$19:$R$41,6,0)/'4. Billing Determinants'!$G$41*$D21,IF($E21="Distribution Rev.",VLOOKUP(J$4,'4. Billing Determinants'!$B$19:$R$41,8,0)/'4. Billing Determinants'!$I$41*$D21, VLOOKUP(J$4,'4. Billing Determinants'!$B$19:$R$41,3,0)/'4. Billing Determinants'!$D$41*$D21))))),0)</f>
        <v>27.591344829444349</v>
      </c>
      <c r="K21" s="42">
        <f>IFERROR(IF(K$4="",0,IF($E21="kWh",VLOOKUP(K$4,'4. Billing Determinants'!$B$19:$R$41,4,0)/'4. Billing Determinants'!$E$41*$D21,IF($E21="kW",VLOOKUP(K$4,'4. Billing Determinants'!$B$19:$R$41,5,0)/'4. Billing Determinants'!$F$41*$D21,IF($E21="Non-RPP kWh",VLOOKUP(K$4,'4. Billing Determinants'!$B$19:$R$41,6,0)/'4. Billing Determinants'!$G$41*$D21,IF($E21="Distribution Rev.",VLOOKUP(K$4,'4. Billing Determinants'!$B$19:$R$41,8,0)/'4. Billing Determinants'!$I$41*$D21, VLOOKUP(K$4,'4. Billing Determinants'!$B$19:$R$41,3,0)/'4. Billing Determinants'!$D$41*$D21))))),0)</f>
        <v>22.664810748215217</v>
      </c>
      <c r="L21" s="42">
        <f>IFERROR(IF(L$4="",0,IF($E21="kWh",VLOOKUP(L$4,'4. Billing Determinants'!$B$19:$R$41,4,0)/'4. Billing Determinants'!$E$41*$D21,IF($E21="kW",VLOOKUP(L$4,'4. Billing Determinants'!$B$19:$R$41,5,0)/'4. Billing Determinants'!$F$41*$D21,IF($E21="Non-RPP kWh",VLOOKUP(L$4,'4. Billing Determinants'!$B$19:$R$41,6,0)/'4. Billing Determinants'!$G$41*$D21,IF($E21="Distribution Rev.",VLOOKUP(L$4,'4. Billing Determinants'!$B$19:$R$41,8,0)/'4. Billing Determinants'!$I$41*$D21, VLOOKUP(L$4,'4. Billing Determinants'!$B$19:$R$41,3,0)/'4. Billing Determinants'!$D$41*$D21))))),0)</f>
        <v>0</v>
      </c>
      <c r="M21" s="42">
        <f>IFERROR(IF(M$4="",0,IF($E21="kWh",VLOOKUP(M$4,'4. Billing Determinants'!$B$19:$R$41,4,0)/'4. Billing Determinants'!$E$41*$D21,IF($E21="kW",VLOOKUP(M$4,'4. Billing Determinants'!$B$19:$R$41,5,0)/'4. Billing Determinants'!$F$41*$D21,IF($E21="Non-RPP kWh",VLOOKUP(M$4,'4. Billing Determinants'!$B$19:$R$41,6,0)/'4. Billing Determinants'!$G$41*$D21,IF($E21="Distribution Rev.",VLOOKUP(M$4,'4. Billing Determinants'!$B$19:$R$41,8,0)/'4. Billing Determinants'!$I$41*$D21, VLOOKUP(M$4,'4. Billing Determinants'!$B$19:$R$41,3,0)/'4. Billing Determinants'!$D$41*$D21))))),0)</f>
        <v>0</v>
      </c>
      <c r="N21" s="42">
        <f>IFERROR(IF(N$4="",0,IF($E21="kWh",VLOOKUP(N$4,'4. Billing Determinants'!$B$19:$R$41,4,0)/'4. Billing Determinants'!$E$41*$D21,IF($E21="kW",VLOOKUP(N$4,'4. Billing Determinants'!$B$19:$R$41,5,0)/'4. Billing Determinants'!$F$41*$D21,IF($E21="Non-RPP kWh",VLOOKUP(N$4,'4. Billing Determinants'!$B$19:$R$41,6,0)/'4. Billing Determinants'!$G$41*$D21,IF($E21="Distribution Rev.",VLOOKUP(N$4,'4. Billing Determinants'!$B$19:$R$41,8,0)/'4. Billing Determinants'!$I$41*$D21, VLOOKUP(N$4,'4. Billing Determinants'!$B$19:$R$41,3,0)/'4. Billing Determinants'!$D$41*$D21))))),0)</f>
        <v>0</v>
      </c>
      <c r="O21" s="42">
        <f>IFERROR(IF(O$4="",0,IF($E21="kWh",VLOOKUP(O$4,'4. Billing Determinants'!$B$19:$R$41,4,0)/'4. Billing Determinants'!$E$41*$D21,IF($E21="kW",VLOOKUP(O$4,'4. Billing Determinants'!$B$19:$R$41,5,0)/'4. Billing Determinants'!$F$41*$D21,IF($E21="Non-RPP kWh",VLOOKUP(O$4,'4. Billing Determinants'!$B$19:$R$41,6,0)/'4. Billing Determinants'!$G$41*$D21,IF($E21="Distribution Rev.",VLOOKUP(O$4,'4. Billing Determinants'!$B$19:$R$41,8,0)/'4. Billing Determinants'!$I$41*$D21, VLOOKUP(O$4,'4. Billing Determinants'!$B$19:$R$41,3,0)/'4. Billing Determinants'!$D$41*$D21))))),0)</f>
        <v>0</v>
      </c>
      <c r="P21" s="42">
        <f>IFERROR(IF(P$4="",0,IF($E21="kWh",VLOOKUP(P$4,'4. Billing Determinants'!$B$19:$R$41,4,0)/'4. Billing Determinants'!$E$41*$D21,IF($E21="kW",VLOOKUP(P$4,'4. Billing Determinants'!$B$19:$R$41,5,0)/'4. Billing Determinants'!$F$41*$D21,IF($E21="Non-RPP kWh",VLOOKUP(P$4,'4. Billing Determinants'!$B$19:$R$41,6,0)/'4. Billing Determinants'!$G$41*$D21,IF($E21="Distribution Rev.",VLOOKUP(P$4,'4. Billing Determinants'!$B$19:$R$41,8,0)/'4. Billing Determinants'!$I$41*$D21, VLOOKUP(P$4,'4. Billing Determinants'!$B$19:$R$41,3,0)/'4. Billing Determinants'!$D$41*$D21))))),0)</f>
        <v>0</v>
      </c>
      <c r="Q21" s="42">
        <f>IFERROR(IF(Q$4="",0,IF($E21="kWh",VLOOKUP(Q$4,'4. Billing Determinants'!$B$19:$R$41,4,0)/'4. Billing Determinants'!$E$41*$D21,IF($E21="kW",VLOOKUP(Q$4,'4. Billing Determinants'!$B$19:$R$41,5,0)/'4. Billing Determinants'!$F$41*$D21,IF($E21="Non-RPP kWh",VLOOKUP(Q$4,'4. Billing Determinants'!$B$19:$R$41,6,0)/'4. Billing Determinants'!$G$41*$D21,IF($E21="Distribution Rev.",VLOOKUP(Q$4,'4. Billing Determinants'!$B$19:$R$41,8,0)/'4. Billing Determinants'!$I$41*$D21, VLOOKUP(Q$4,'4. Billing Determinants'!$B$19:$R$41,3,0)/'4. Billing Determinants'!$D$41*$D21))))),0)</f>
        <v>0</v>
      </c>
      <c r="R21" s="42">
        <f>IFERROR(IF(R$4="",0,IF($E21="kWh",VLOOKUP(R$4,'4. Billing Determinants'!$B$19:$R$41,4,0)/'4. Billing Determinants'!$E$41*$D21,IF($E21="kW",VLOOKUP(R$4,'4. Billing Determinants'!$B$19:$R$41,5,0)/'4. Billing Determinants'!$F$41*$D21,IF($E21="Non-RPP kWh",VLOOKUP(R$4,'4. Billing Determinants'!$B$19:$R$41,6,0)/'4. Billing Determinants'!$G$41*$D21,IF($E21="Distribution Rev.",VLOOKUP(R$4,'4. Billing Determinants'!$B$19:$R$41,8,0)/'4. Billing Determinants'!$I$41*$D21, VLOOKUP(R$4,'4. Billing Determinants'!$B$19:$R$41,3,0)/'4. Billing Determinants'!$D$41*$D21))))),0)</f>
        <v>0</v>
      </c>
      <c r="S21" s="42">
        <f>IFERROR(IF(S$4="",0,IF($E21="kWh",VLOOKUP(S$4,'4. Billing Determinants'!$B$19:$R$41,4,0)/'4. Billing Determinants'!$E$41*$D21,IF($E21="kW",VLOOKUP(S$4,'4. Billing Determinants'!$B$19:$R$41,5,0)/'4. Billing Determinants'!$F$41*$D21,IF($E21="Non-RPP kWh",VLOOKUP(S$4,'4. Billing Determinants'!$B$19:$R$41,6,0)/'4. Billing Determinants'!$G$41*$D21,IF($E21="Distribution Rev.",VLOOKUP(S$4,'4. Billing Determinants'!$B$19:$R$41,8,0)/'4. Billing Determinants'!$I$41*$D21, VLOOKUP(S$4,'4. Billing Determinants'!$B$19:$R$41,3,0)/'4. Billing Determinants'!$D$41*$D21))))),0)</f>
        <v>0</v>
      </c>
      <c r="T21" s="42">
        <f>IFERROR(IF(T$4="",0,IF($E21="kWh",VLOOKUP(T$4,'4. Billing Determinants'!$B$19:$R$41,4,0)/'4. Billing Determinants'!$E$41*$D21,IF($E21="kW",VLOOKUP(T$4,'4. Billing Determinants'!$B$19:$R$41,5,0)/'4. Billing Determinants'!$F$41*$D21,IF($E21="Non-RPP kWh",VLOOKUP(T$4,'4. Billing Determinants'!$B$19:$R$41,6,0)/'4. Billing Determinants'!$G$41*$D21,IF($E21="Distribution Rev.",VLOOKUP(T$4,'4. Billing Determinants'!$B$19:$R$41,8,0)/'4. Billing Determinants'!$I$41*$D21, VLOOKUP(T$4,'4. Billing Determinants'!$B$19:$R$41,3,0)/'4. Billing Determinants'!$D$41*$D21))))),0)</f>
        <v>0</v>
      </c>
      <c r="U21" s="42">
        <f>IFERROR(IF(U$4="",0,IF($E21="kWh",VLOOKUP(U$4,'4. Billing Determinants'!$B$19:$R$41,4,0)/'4. Billing Determinants'!$E$41*$D21,IF($E21="kW",VLOOKUP(U$4,'4. Billing Determinants'!$B$19:$R$41,5,0)/'4. Billing Determinants'!$F$41*$D21,IF($E21="Non-RPP kWh",VLOOKUP(U$4,'4. Billing Determinants'!$B$19:$R$41,6,0)/'4. Billing Determinants'!$G$41*$D21,IF($E21="Distribution Rev.",VLOOKUP(U$4,'4. Billing Determinants'!$B$19:$R$41,8,0)/'4. Billing Determinants'!$I$41*$D21, VLOOKUP(U$4,'4. Billing Determinants'!$B$19:$R$41,3,0)/'4. Billing Determinants'!$D$41*$D21))))),0)</f>
        <v>0</v>
      </c>
      <c r="V21" s="42">
        <f>IFERROR(IF(V$4="",0,IF($E21="kWh",VLOOKUP(V$4,'4. Billing Determinants'!$B$19:$R$41,4,0)/'4. Billing Determinants'!$E$41*$D21,IF($E21="kW",VLOOKUP(V$4,'4. Billing Determinants'!$B$19:$R$41,5,0)/'4. Billing Determinants'!$F$41*$D21,IF($E21="Non-RPP kWh",VLOOKUP(V$4,'4. Billing Determinants'!$B$19:$R$41,6,0)/'4. Billing Determinants'!$G$41*$D21,IF($E21="Distribution Rev.",VLOOKUP(V$4,'4. Billing Determinants'!$B$19:$R$41,8,0)/'4. Billing Determinants'!$I$41*$D21, VLOOKUP(V$4,'4. Billing Determinants'!$B$19:$R$41,3,0)/'4. Billing Determinants'!$D$41*$D21))))),0)</f>
        <v>0</v>
      </c>
      <c r="W21" s="42">
        <f>IFERROR(IF(W$4="",0,IF($E21="kWh",VLOOKUP(W$4,'4. Billing Determinants'!$B$19:$R$41,4,0)/'4. Billing Determinants'!$E$41*$D21,IF($E21="kW",VLOOKUP(W$4,'4. Billing Determinants'!$B$19:$R$41,5,0)/'4. Billing Determinants'!$F$41*$D21,IF($E21="Non-RPP kWh",VLOOKUP(W$4,'4. Billing Determinants'!$B$19:$R$41,6,0)/'4. Billing Determinants'!$G$41*$D21,IF($E21="Distribution Rev.",VLOOKUP(W$4,'4. Billing Determinants'!$B$19:$R$41,8,0)/'4. Billing Determinants'!$I$41*$D21, VLOOKUP(W$4,'4. Billing Determinants'!$B$19:$R$41,3,0)/'4. Billing Determinants'!$D$41*$D21))))),0)</f>
        <v>0</v>
      </c>
      <c r="X21" s="42">
        <f>IFERROR(IF(X$4="",0,IF($E21="kWh",VLOOKUP(X$4,'4. Billing Determinants'!$B$19:$R$41,4,0)/'4. Billing Determinants'!$E$41*$D21,IF($E21="kW",VLOOKUP(X$4,'4. Billing Determinants'!$B$19:$R$41,5,0)/'4. Billing Determinants'!$F$41*$D21,IF($E21="Non-RPP kWh",VLOOKUP(X$4,'4. Billing Determinants'!$B$19:$R$41,6,0)/'4. Billing Determinants'!$G$41*$D21,IF($E21="Distribution Rev.",VLOOKUP(X$4,'4. Billing Determinants'!$B$19:$R$41,8,0)/'4. Billing Determinants'!$I$41*$D21, VLOOKUP(X$4,'4. Billing Determinants'!$B$19:$R$41,3,0)/'4. Billing Determinants'!$D$41*$D21))))),0)</f>
        <v>0</v>
      </c>
      <c r="Y21" s="42">
        <f>IFERROR(IF(Y$4="",0,IF($E21="kWh",VLOOKUP(Y$4,'4. Billing Determinants'!$B$19:$R$41,4,0)/'4. Billing Determinants'!$E$41*$D21,IF($E21="kW",VLOOKUP(Y$4,'4. Billing Determinants'!$B$19:$R$41,5,0)/'4. Billing Determinants'!$F$41*$D21,IF($E21="Non-RPP kWh",VLOOKUP(Y$4,'4. Billing Determinants'!$B$19:$R$41,6,0)/'4. Billing Determinants'!$G$41*$D21,IF($E21="Distribution Rev.",VLOOKUP(Y$4,'4. Billing Determinants'!$B$19:$R$41,8,0)/'4. Billing Determinants'!$I$41*$D21, VLOOKUP(Y$4,'4. Billing Determinants'!$B$19:$R$41,3,0)/'4. Billing Determinants'!$D$41*$D21))))),0)</f>
        <v>0</v>
      </c>
    </row>
    <row r="22" spans="1:25" x14ac:dyDescent="0.25">
      <c r="A22" s="146">
        <v>19</v>
      </c>
      <c r="B22" s="40" t="s">
        <v>34</v>
      </c>
      <c r="C22" s="41">
        <v>1508</v>
      </c>
      <c r="D22" s="42">
        <f>'2. 2016 Continuity Schedule'!BT48</f>
        <v>0</v>
      </c>
      <c r="E22" s="74" t="s">
        <v>189</v>
      </c>
      <c r="F22" s="42">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42">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42">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42">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42">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42">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2">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2">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2">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2">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2">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2">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2">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2">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2">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2">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2">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2">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2">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2">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ht="26.4" x14ac:dyDescent="0.25">
      <c r="A23" s="327">
        <v>20</v>
      </c>
      <c r="B23" s="126" t="s">
        <v>310</v>
      </c>
      <c r="C23" s="41">
        <v>1508</v>
      </c>
      <c r="D23" s="42">
        <f>'2. 2016 Continuity Schedule'!BT49</f>
        <v>0</v>
      </c>
      <c r="E23" s="74" t="s">
        <v>189</v>
      </c>
      <c r="F23" s="42">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42">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42">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42">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42">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42">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2">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2">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2">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2">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2">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2">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2">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2">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2">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2">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2">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2">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2">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2">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5">
      <c r="A24" s="146">
        <v>21</v>
      </c>
      <c r="B24" s="47" t="s">
        <v>311</v>
      </c>
      <c r="C24" s="41">
        <v>1508</v>
      </c>
      <c r="D24" s="42">
        <f>'2. 2016 Continuity Schedule'!BT50</f>
        <v>2595.8508400000001</v>
      </c>
      <c r="E24" s="74" t="s">
        <v>189</v>
      </c>
      <c r="F24" s="42">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1560.8114318511498</v>
      </c>
      <c r="G24" s="42">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340.61648513480236</v>
      </c>
      <c r="H24" s="42">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682.38043574803089</v>
      </c>
      <c r="I24" s="42">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1.1028251466370649</v>
      </c>
      <c r="J24" s="42">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6.0060302341869756</v>
      </c>
      <c r="K24" s="42">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4.9336318851931757</v>
      </c>
      <c r="L24" s="42">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2">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2">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2">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2">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2">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2">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2">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2">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2">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2">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2">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2">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2">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5">
      <c r="A25" s="146">
        <v>22</v>
      </c>
      <c r="B25" s="47" t="s">
        <v>4</v>
      </c>
      <c r="C25" s="41">
        <v>1518</v>
      </c>
      <c r="D25" s="42">
        <f>'2. 2016 Continuity Schedule'!BT51</f>
        <v>61882.947999999997</v>
      </c>
      <c r="E25" s="74" t="s">
        <v>189</v>
      </c>
      <c r="F25" s="42">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37208.460203765113</v>
      </c>
      <c r="G25" s="42">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8120.0167254370226</v>
      </c>
      <c r="H25" s="42">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16267.388083674614</v>
      </c>
      <c r="I25" s="42">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26.2904440235225</v>
      </c>
      <c r="J25" s="42">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143.17881865223828</v>
      </c>
      <c r="K25" s="42">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117.61372444749225</v>
      </c>
      <c r="L25" s="42">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2">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2">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2">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2">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2">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2">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2">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2">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2">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2">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2">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2">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2">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5">
      <c r="A26" s="146">
        <v>23</v>
      </c>
      <c r="B26" s="40" t="s">
        <v>9</v>
      </c>
      <c r="C26" s="41">
        <v>1525</v>
      </c>
      <c r="D26" s="42">
        <f>'2. 2016 Continuity Schedule'!BT52</f>
        <v>0</v>
      </c>
      <c r="E26" s="74" t="s">
        <v>189</v>
      </c>
      <c r="F26" s="42">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42">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42">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42">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42">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42">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2">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2">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2">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2">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2">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2">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2">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2">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2">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2">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2">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2">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2">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2">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5">
      <c r="A27" s="327">
        <v>24</v>
      </c>
      <c r="B27" s="40" t="s">
        <v>5</v>
      </c>
      <c r="C27" s="41">
        <v>1548</v>
      </c>
      <c r="D27" s="42">
        <f>'2. 2016 Continuity Schedule'!BT53</f>
        <v>26548.164000000001</v>
      </c>
      <c r="E27" s="74" t="s">
        <v>189</v>
      </c>
      <c r="F27" s="42">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15962.657494549705</v>
      </c>
      <c r="G27" s="42">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3483.536946391841</v>
      </c>
      <c r="H27" s="42">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6978.8091979237861</v>
      </c>
      <c r="I27" s="42">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11.278761631868205</v>
      </c>
      <c r="J27" s="42">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61.424590808212322</v>
      </c>
      <c r="K27" s="42">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50.457008694589561</v>
      </c>
      <c r="L27" s="42">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2">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2">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2">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2">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2">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2">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2">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2">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2">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2">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2">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2">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2">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5">
      <c r="A28" s="146">
        <v>25</v>
      </c>
      <c r="B28" s="40" t="s">
        <v>32</v>
      </c>
      <c r="C28" s="41">
        <v>1567</v>
      </c>
      <c r="D28" s="42">
        <f>'2. 2016 Continuity Schedule'!BT54</f>
        <v>0</v>
      </c>
      <c r="E28" s="74" t="s">
        <v>189</v>
      </c>
      <c r="F28" s="42">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2">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2">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2">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2">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2">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2">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2">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2">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2">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2">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2">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2">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2">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2">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2">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2">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2">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2">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2">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5">
      <c r="A29" s="146">
        <v>26</v>
      </c>
      <c r="B29" s="40" t="s">
        <v>10</v>
      </c>
      <c r="C29" s="41">
        <v>1572</v>
      </c>
      <c r="D29" s="42">
        <f>'2. 2016 Continuity Schedule'!BT55</f>
        <v>0</v>
      </c>
      <c r="E29" s="74" t="s">
        <v>189</v>
      </c>
      <c r="F29" s="42">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2">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2">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2">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2">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2">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2">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2">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2">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2">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2">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2">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2">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2">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2">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2">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2">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2">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2">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2">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5">
      <c r="A30" s="146">
        <v>27</v>
      </c>
      <c r="B30" s="40" t="s">
        <v>6</v>
      </c>
      <c r="C30" s="41">
        <v>1574</v>
      </c>
      <c r="D30" s="42">
        <f>'2. 2016 Continuity Schedule'!BT56</f>
        <v>0</v>
      </c>
      <c r="E30" s="74" t="s">
        <v>189</v>
      </c>
      <c r="F30" s="42">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2">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2">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2">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2">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2">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2">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2">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2">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2">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2">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2">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2">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2">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2">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2">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2">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2">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2">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2">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5">
      <c r="A31" s="327">
        <v>28</v>
      </c>
      <c r="B31" s="40" t="s">
        <v>29</v>
      </c>
      <c r="C31" s="41">
        <v>1582</v>
      </c>
      <c r="D31" s="42">
        <f>'2. 2016 Continuity Schedule'!BT57</f>
        <v>-0.44420000000603616</v>
      </c>
      <c r="E31" s="74" t="s">
        <v>189</v>
      </c>
      <c r="F31" s="42">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-0.26708485223970035</v>
      </c>
      <c r="G31" s="42">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-5.8286031064456387E-2</v>
      </c>
      <c r="H31" s="42">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-0.11676841553938988</v>
      </c>
      <c r="I31" s="42">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-1.8871459122159773E-4</v>
      </c>
      <c r="J31" s="42">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-1.0277472761347519E-3</v>
      </c>
      <c r="K31" s="42">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-8.442392951332246E-4</v>
      </c>
      <c r="L31" s="42">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2">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2">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2">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2">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2">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2">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2">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2">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2">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2">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2">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2">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2">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5">
      <c r="A32" s="146">
        <v>29</v>
      </c>
      <c r="B32" s="43" t="s">
        <v>7</v>
      </c>
      <c r="C32" s="41">
        <v>2425</v>
      </c>
      <c r="D32" s="42">
        <f>'2. 2016 Continuity Schedule'!BT58</f>
        <v>0</v>
      </c>
      <c r="E32" s="74" t="s">
        <v>189</v>
      </c>
      <c r="F32" s="42">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2">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2">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2">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2">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2">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2">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2">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2">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2">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2">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2">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2">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2">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2">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2">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2">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2">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2">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2">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s="2" customFormat="1" x14ac:dyDescent="0.25">
      <c r="A33" s="146">
        <v>30</v>
      </c>
      <c r="B33" s="55" t="s">
        <v>70</v>
      </c>
      <c r="C33" s="57"/>
      <c r="D33" s="56">
        <f>SUM(D21:D32)</f>
        <v>102951.70263999999</v>
      </c>
      <c r="E33" s="177"/>
      <c r="F33" s="56">
        <f t="shared" ref="F33:Y33" si="1">SUM(F21:F32)</f>
        <v>61901.936711067799</v>
      </c>
      <c r="G33" s="56">
        <f t="shared" si="1"/>
        <v>13508.883696830651</v>
      </c>
      <c r="H33" s="56">
        <f t="shared" si="1"/>
        <v>27063.275988725491</v>
      </c>
      <c r="I33" s="56">
        <f t="shared" si="1"/>
        <v>43.738155063059594</v>
      </c>
      <c r="J33" s="56">
        <f t="shared" si="1"/>
        <v>238.19975677680577</v>
      </c>
      <c r="K33" s="56">
        <f t="shared" si="1"/>
        <v>195.66833153619507</v>
      </c>
      <c r="L33" s="56">
        <f t="shared" si="1"/>
        <v>0</v>
      </c>
      <c r="M33" s="56">
        <f t="shared" si="1"/>
        <v>0</v>
      </c>
      <c r="N33" s="56">
        <f t="shared" si="1"/>
        <v>0</v>
      </c>
      <c r="O33" s="56">
        <f t="shared" si="1"/>
        <v>0</v>
      </c>
      <c r="P33" s="56">
        <f t="shared" si="1"/>
        <v>0</v>
      </c>
      <c r="Q33" s="56">
        <f t="shared" si="1"/>
        <v>0</v>
      </c>
      <c r="R33" s="56">
        <f t="shared" si="1"/>
        <v>0</v>
      </c>
      <c r="S33" s="56">
        <f t="shared" si="1"/>
        <v>0</v>
      </c>
      <c r="T33" s="56">
        <f t="shared" si="1"/>
        <v>0</v>
      </c>
      <c r="U33" s="56">
        <f t="shared" si="1"/>
        <v>0</v>
      </c>
      <c r="V33" s="56">
        <f t="shared" si="1"/>
        <v>0</v>
      </c>
      <c r="W33" s="56">
        <f t="shared" si="1"/>
        <v>0</v>
      </c>
      <c r="X33" s="56">
        <f t="shared" si="1"/>
        <v>0</v>
      </c>
      <c r="Y33" s="56">
        <f t="shared" si="1"/>
        <v>0</v>
      </c>
    </row>
    <row r="34" spans="1:25" s="51" customFormat="1" x14ac:dyDescent="0.25">
      <c r="A34" s="146">
        <v>31</v>
      </c>
      <c r="B34" s="48"/>
      <c r="C34" s="49"/>
      <c r="D34" s="50"/>
      <c r="E34" s="178"/>
      <c r="F34" s="50"/>
      <c r="G34" s="50"/>
      <c r="H34" s="50"/>
      <c r="I34" s="50"/>
      <c r="J34" s="50"/>
      <c r="K34" s="50"/>
      <c r="L34" s="50"/>
      <c r="M34" s="50"/>
      <c r="N34" s="50"/>
      <c r="O34" s="50"/>
      <c r="P34" s="50"/>
      <c r="Q34" s="50"/>
      <c r="R34" s="50"/>
      <c r="S34" s="50"/>
      <c r="T34" s="50"/>
      <c r="U34" s="50"/>
      <c r="V34" s="50"/>
      <c r="W34" s="50"/>
      <c r="X34" s="50"/>
      <c r="Y34" s="50"/>
    </row>
    <row r="35" spans="1:25" ht="26.4" x14ac:dyDescent="0.25">
      <c r="A35" s="327">
        <v>32</v>
      </c>
      <c r="B35" s="54" t="s">
        <v>73</v>
      </c>
      <c r="C35" s="53">
        <v>1592</v>
      </c>
      <c r="D35" s="42">
        <f>'2. 2016 Continuity Schedule'!BT62</f>
        <v>0</v>
      </c>
      <c r="E35" s="74" t="s">
        <v>189</v>
      </c>
      <c r="F35" s="42">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2">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2">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2">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2">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2">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2">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2">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2">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2">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2">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2">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2">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2">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2">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2">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2">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2">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2">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2">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t="26.4" x14ac:dyDescent="0.25">
      <c r="A36" s="146">
        <v>33</v>
      </c>
      <c r="B36" s="54" t="s">
        <v>68</v>
      </c>
      <c r="C36" s="53">
        <v>1592</v>
      </c>
      <c r="D36" s="42">
        <v>0</v>
      </c>
      <c r="E36" s="74" t="s">
        <v>189</v>
      </c>
      <c r="F36" s="42">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2">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2">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2">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2">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2">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2">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2">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2">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2">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2">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2">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2">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2">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2">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2">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2">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2">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2">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2">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s="2" customFormat="1" x14ac:dyDescent="0.25">
      <c r="A37" s="146">
        <v>34</v>
      </c>
      <c r="B37" s="55" t="s">
        <v>328</v>
      </c>
      <c r="C37" s="57"/>
      <c r="D37" s="56">
        <f>SUM(D35:D36)</f>
        <v>0</v>
      </c>
      <c r="E37" s="57"/>
      <c r="F37" s="56">
        <f t="shared" ref="F37:Y37" si="2">SUM(F35:F36)</f>
        <v>0</v>
      </c>
      <c r="G37" s="56">
        <f t="shared" si="2"/>
        <v>0</v>
      </c>
      <c r="H37" s="56">
        <f t="shared" si="2"/>
        <v>0</v>
      </c>
      <c r="I37" s="56">
        <f t="shared" si="2"/>
        <v>0</v>
      </c>
      <c r="J37" s="56">
        <f t="shared" si="2"/>
        <v>0</v>
      </c>
      <c r="K37" s="56">
        <f t="shared" si="2"/>
        <v>0</v>
      </c>
      <c r="L37" s="56">
        <f t="shared" si="2"/>
        <v>0</v>
      </c>
      <c r="M37" s="56">
        <f t="shared" si="2"/>
        <v>0</v>
      </c>
      <c r="N37" s="56">
        <f t="shared" si="2"/>
        <v>0</v>
      </c>
      <c r="O37" s="56">
        <f t="shared" si="2"/>
        <v>0</v>
      </c>
      <c r="P37" s="56">
        <f t="shared" si="2"/>
        <v>0</v>
      </c>
      <c r="Q37" s="56">
        <f t="shared" si="2"/>
        <v>0</v>
      </c>
      <c r="R37" s="56">
        <f t="shared" si="2"/>
        <v>0</v>
      </c>
      <c r="S37" s="56">
        <f t="shared" si="2"/>
        <v>0</v>
      </c>
      <c r="T37" s="56">
        <f t="shared" si="2"/>
        <v>0</v>
      </c>
      <c r="U37" s="56">
        <f t="shared" si="2"/>
        <v>0</v>
      </c>
      <c r="V37" s="56">
        <f t="shared" si="2"/>
        <v>0</v>
      </c>
      <c r="W37" s="56">
        <f t="shared" si="2"/>
        <v>0</v>
      </c>
      <c r="X37" s="56">
        <f t="shared" si="2"/>
        <v>0</v>
      </c>
      <c r="Y37" s="56">
        <f t="shared" si="2"/>
        <v>0</v>
      </c>
    </row>
    <row r="38" spans="1:25" x14ac:dyDescent="0.25">
      <c r="A38" s="146">
        <v>35</v>
      </c>
      <c r="B38" s="48"/>
      <c r="C38" s="51"/>
      <c r="D38" s="52"/>
      <c r="E38" s="51"/>
    </row>
    <row r="39" spans="1:25" x14ac:dyDescent="0.25">
      <c r="A39" s="327">
        <v>36</v>
      </c>
      <c r="B39" s="54" t="s">
        <v>74</v>
      </c>
      <c r="C39" s="53">
        <v>1568</v>
      </c>
      <c r="D39" s="132">
        <f>'2. 2016 Continuity Schedule'!BT68</f>
        <v>26366</v>
      </c>
      <c r="E39" s="59"/>
      <c r="F39" s="347">
        <f>'4. Billing Determinants'!AB21</f>
        <v>0</v>
      </c>
      <c r="G39" s="347">
        <f>'4. Billing Determinants'!AB22</f>
        <v>0</v>
      </c>
      <c r="H39" s="347">
        <f>'4. Billing Determinants'!AB23</f>
        <v>0</v>
      </c>
      <c r="I39" s="347">
        <f>'4. Billing Determinants'!AB24</f>
        <v>0</v>
      </c>
      <c r="J39" s="347">
        <f>'4. Billing Determinants'!AB25</f>
        <v>0</v>
      </c>
      <c r="K39" s="347">
        <f>'4. Billing Determinants'!AB26</f>
        <v>0</v>
      </c>
      <c r="L39" s="347">
        <f>'4. Billing Determinants'!AB27</f>
        <v>0</v>
      </c>
      <c r="M39" s="347">
        <f>'4. Billing Determinants'!AB28</f>
        <v>0</v>
      </c>
      <c r="N39" s="347">
        <f>'4. Billing Determinants'!AB29</f>
        <v>0</v>
      </c>
      <c r="O39" s="347">
        <f>'4. Billing Determinants'!AB30</f>
        <v>0</v>
      </c>
      <c r="P39" s="347">
        <f>'4. Billing Determinants'!AB31</f>
        <v>0</v>
      </c>
      <c r="Q39" s="347">
        <f>'4. Billing Determinants'!AB32</f>
        <v>0</v>
      </c>
      <c r="R39" s="347">
        <f>'4. Billing Determinants'!AB33</f>
        <v>0</v>
      </c>
      <c r="S39" s="347">
        <f>'4. Billing Determinants'!AB34</f>
        <v>0</v>
      </c>
      <c r="T39" s="347">
        <f>'4. Billing Determinants'!AB35</f>
        <v>0</v>
      </c>
      <c r="U39" s="347">
        <f>'4. Billing Determinants'!AB36</f>
        <v>0</v>
      </c>
      <c r="V39" s="347">
        <f>'4. Billing Determinants'!AB37</f>
        <v>0</v>
      </c>
      <c r="W39" s="347">
        <f>'4. Billing Determinants'!AB38</f>
        <v>0</v>
      </c>
      <c r="X39" s="347">
        <f>'4. Billing Determinants'!AB39</f>
        <v>0</v>
      </c>
      <c r="Y39" s="347">
        <f>'4. Billing Determinants'!AB40</f>
        <v>0</v>
      </c>
    </row>
    <row r="40" spans="1:25" s="51" customFormat="1" x14ac:dyDescent="0.25">
      <c r="A40" s="146">
        <v>37</v>
      </c>
      <c r="B40" s="485" t="s">
        <v>76</v>
      </c>
      <c r="C40" s="485"/>
      <c r="D40" s="168">
        <f>SUM(F39:Y39)</f>
        <v>0</v>
      </c>
    </row>
    <row r="41" spans="1:25" s="51" customFormat="1" x14ac:dyDescent="0.25">
      <c r="A41" s="146">
        <v>38</v>
      </c>
      <c r="B41" s="486" t="s">
        <v>65</v>
      </c>
      <c r="C41" s="486"/>
      <c r="D41" s="132">
        <f>D39-D40</f>
        <v>26366</v>
      </c>
      <c r="E41" s="58"/>
    </row>
    <row r="42" spans="1:25" s="51" customFormat="1" x14ac:dyDescent="0.25">
      <c r="A42" s="146">
        <v>39</v>
      </c>
      <c r="B42" s="324"/>
      <c r="C42" s="324"/>
      <c r="D42" s="325"/>
      <c r="E42" s="58"/>
    </row>
    <row r="43" spans="1:25" s="51" customFormat="1" x14ac:dyDescent="0.25">
      <c r="A43" s="327">
        <v>40</v>
      </c>
      <c r="B43" s="326" t="s">
        <v>31</v>
      </c>
      <c r="C43" s="323">
        <v>1532</v>
      </c>
      <c r="D43" s="132">
        <f>'2. 2016 Continuity Schedule'!BT74</f>
        <v>0</v>
      </c>
      <c r="E43" s="74" t="s">
        <v>189</v>
      </c>
      <c r="F43" s="42">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2">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2">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2">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2">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2">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2">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2">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2">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2">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2">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2">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2">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2">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2">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2">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2">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2">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2">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2">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s="51" customFormat="1" x14ac:dyDescent="0.25">
      <c r="A44" s="146">
        <v>41</v>
      </c>
      <c r="B44" s="349"/>
      <c r="C44" s="350"/>
      <c r="D44" s="325"/>
      <c r="E44" s="352"/>
      <c r="F44" s="50"/>
      <c r="G44" s="50"/>
      <c r="H44" s="50"/>
      <c r="I44" s="50"/>
      <c r="J44" s="50"/>
      <c r="K44" s="50"/>
      <c r="L44" s="50"/>
      <c r="M44" s="50"/>
      <c r="N44" s="50"/>
      <c r="O44" s="50"/>
      <c r="P44" s="50"/>
      <c r="Q44" s="50"/>
      <c r="R44" s="50"/>
      <c r="S44" s="50"/>
      <c r="T44" s="50"/>
      <c r="U44" s="50"/>
      <c r="V44" s="50"/>
      <c r="W44" s="50"/>
      <c r="X44" s="50"/>
      <c r="Y44" s="50"/>
    </row>
    <row r="45" spans="1:25" s="51" customFormat="1" x14ac:dyDescent="0.25">
      <c r="A45" s="146">
        <v>42</v>
      </c>
    </row>
    <row r="46" spans="1:25" s="169" customFormat="1" x14ac:dyDescent="0.25">
      <c r="A46" s="146">
        <v>43</v>
      </c>
      <c r="B46" s="483" t="s">
        <v>213</v>
      </c>
      <c r="C46" s="483"/>
      <c r="D46" s="61">
        <f>SUM(F46:Y46)</f>
        <v>774972.60519179993</v>
      </c>
      <c r="E46" s="62"/>
      <c r="F46" s="61">
        <f t="shared" ref="F46:Y46" si="3">SUM(F5,F6,F8,F9,F12:F18)</f>
        <v>468772.0564682589</v>
      </c>
      <c r="G46" s="61">
        <f t="shared" si="3"/>
        <v>102778.22455267119</v>
      </c>
      <c r="H46" s="61">
        <f t="shared" si="3"/>
        <v>199525.49581069883</v>
      </c>
      <c r="I46" s="61">
        <f t="shared" si="3"/>
        <v>269.254227890067</v>
      </c>
      <c r="J46" s="61">
        <f t="shared" si="3"/>
        <v>1915.6197139784567</v>
      </c>
      <c r="K46" s="61">
        <f t="shared" si="3"/>
        <v>1711.9544183025407</v>
      </c>
      <c r="L46" s="61">
        <f t="shared" si="3"/>
        <v>0</v>
      </c>
      <c r="M46" s="61">
        <f t="shared" si="3"/>
        <v>0</v>
      </c>
      <c r="N46" s="61">
        <f t="shared" si="3"/>
        <v>0</v>
      </c>
      <c r="O46" s="61">
        <f t="shared" si="3"/>
        <v>0</v>
      </c>
      <c r="P46" s="61">
        <f t="shared" si="3"/>
        <v>0</v>
      </c>
      <c r="Q46" s="61">
        <f t="shared" si="3"/>
        <v>0</v>
      </c>
      <c r="R46" s="61">
        <f t="shared" si="3"/>
        <v>0</v>
      </c>
      <c r="S46" s="61">
        <f t="shared" si="3"/>
        <v>0</v>
      </c>
      <c r="T46" s="61">
        <f t="shared" si="3"/>
        <v>0</v>
      </c>
      <c r="U46" s="61">
        <f t="shared" si="3"/>
        <v>0</v>
      </c>
      <c r="V46" s="61">
        <f t="shared" si="3"/>
        <v>0</v>
      </c>
      <c r="W46" s="61">
        <f t="shared" si="3"/>
        <v>0</v>
      </c>
      <c r="X46" s="61">
        <f t="shared" si="3"/>
        <v>0</v>
      </c>
      <c r="Y46" s="61">
        <f t="shared" si="3"/>
        <v>0</v>
      </c>
    </row>
    <row r="47" spans="1:25" s="51" customFormat="1" x14ac:dyDescent="0.25">
      <c r="A47" s="327">
        <v>44</v>
      </c>
      <c r="B47" s="483" t="s">
        <v>215</v>
      </c>
      <c r="C47" s="483"/>
      <c r="D47" s="61">
        <f>SUM(F47:Y47)</f>
        <v>-541579.55000000005</v>
      </c>
      <c r="E47" s="61"/>
      <c r="F47" s="61">
        <f t="shared" ref="F47:Y47" si="4">SUM(F7,F10)</f>
        <v>-325636.41171955829</v>
      </c>
      <c r="G47" s="61">
        <f t="shared" si="4"/>
        <v>-71063.760636527149</v>
      </c>
      <c r="H47" s="61">
        <f t="shared" si="4"/>
        <v>-142366.92017374252</v>
      </c>
      <c r="I47" s="61">
        <f t="shared" si="4"/>
        <v>-230.08546463493471</v>
      </c>
      <c r="J47" s="61">
        <f t="shared" si="4"/>
        <v>-1253.054721556103</v>
      </c>
      <c r="K47" s="61">
        <f t="shared" si="4"/>
        <v>-1029.3172839809902</v>
      </c>
      <c r="L47" s="61">
        <f t="shared" si="4"/>
        <v>0</v>
      </c>
      <c r="M47" s="61">
        <f t="shared" si="4"/>
        <v>0</v>
      </c>
      <c r="N47" s="61">
        <f t="shared" si="4"/>
        <v>0</v>
      </c>
      <c r="O47" s="61">
        <f t="shared" si="4"/>
        <v>0</v>
      </c>
      <c r="P47" s="61">
        <f t="shared" si="4"/>
        <v>0</v>
      </c>
      <c r="Q47" s="61">
        <f t="shared" si="4"/>
        <v>0</v>
      </c>
      <c r="R47" s="61">
        <f t="shared" si="4"/>
        <v>0</v>
      </c>
      <c r="S47" s="61">
        <f t="shared" si="4"/>
        <v>0</v>
      </c>
      <c r="T47" s="61">
        <f t="shared" si="4"/>
        <v>0</v>
      </c>
      <c r="U47" s="61">
        <f t="shared" si="4"/>
        <v>0</v>
      </c>
      <c r="V47" s="61">
        <f t="shared" si="4"/>
        <v>0</v>
      </c>
      <c r="W47" s="61">
        <f t="shared" si="4"/>
        <v>0</v>
      </c>
      <c r="X47" s="61">
        <f t="shared" si="4"/>
        <v>0</v>
      </c>
      <c r="Y47" s="61">
        <f t="shared" si="4"/>
        <v>0</v>
      </c>
    </row>
    <row r="48" spans="1:25" s="170" customFormat="1" x14ac:dyDescent="0.25">
      <c r="A48" s="146">
        <v>45</v>
      </c>
      <c r="B48" s="483" t="s">
        <v>220</v>
      </c>
      <c r="C48" s="483"/>
      <c r="D48" s="61">
        <f>SUM(F48:Y48)</f>
        <v>0</v>
      </c>
      <c r="E48" s="61"/>
      <c r="F48" s="61">
        <f t="shared" ref="F48:Y48" si="5">F11</f>
        <v>0</v>
      </c>
      <c r="G48" s="61">
        <f t="shared" si="5"/>
        <v>0</v>
      </c>
      <c r="H48" s="61">
        <f t="shared" si="5"/>
        <v>0</v>
      </c>
      <c r="I48" s="61">
        <f t="shared" si="5"/>
        <v>0</v>
      </c>
      <c r="J48" s="61">
        <f t="shared" si="5"/>
        <v>0</v>
      </c>
      <c r="K48" s="61">
        <f t="shared" si="5"/>
        <v>0</v>
      </c>
      <c r="L48" s="61">
        <f t="shared" si="5"/>
        <v>0</v>
      </c>
      <c r="M48" s="61">
        <f t="shared" si="5"/>
        <v>0</v>
      </c>
      <c r="N48" s="61">
        <f t="shared" si="5"/>
        <v>0</v>
      </c>
      <c r="O48" s="61">
        <f t="shared" si="5"/>
        <v>0</v>
      </c>
      <c r="P48" s="61">
        <f t="shared" si="5"/>
        <v>0</v>
      </c>
      <c r="Q48" s="61">
        <f t="shared" si="5"/>
        <v>0</v>
      </c>
      <c r="R48" s="61">
        <f t="shared" si="5"/>
        <v>0</v>
      </c>
      <c r="S48" s="61">
        <f t="shared" si="5"/>
        <v>0</v>
      </c>
      <c r="T48" s="61">
        <f t="shared" si="5"/>
        <v>0</v>
      </c>
      <c r="U48" s="61">
        <f t="shared" si="5"/>
        <v>0</v>
      </c>
      <c r="V48" s="61">
        <f t="shared" si="5"/>
        <v>0</v>
      </c>
      <c r="W48" s="61">
        <f t="shared" si="5"/>
        <v>0</v>
      </c>
      <c r="X48" s="61">
        <f t="shared" si="5"/>
        <v>0</v>
      </c>
      <c r="Y48" s="61">
        <f t="shared" si="5"/>
        <v>0</v>
      </c>
    </row>
    <row r="49" spans="1:25" s="51" customFormat="1" x14ac:dyDescent="0.25">
      <c r="A49" s="146">
        <v>46</v>
      </c>
    </row>
    <row r="50" spans="1:25" s="319" customFormat="1" hidden="1" x14ac:dyDescent="0.25">
      <c r="A50" s="146">
        <v>47</v>
      </c>
      <c r="B50" s="484" t="s">
        <v>218</v>
      </c>
      <c r="C50" s="484"/>
      <c r="D50" s="320">
        <f>SUM(F50:Y50)</f>
        <v>0</v>
      </c>
      <c r="E50" s="320"/>
      <c r="F50" s="320">
        <f>'4. Billing Determinants'!$N21*'2. 2016 Continuity Schedule'!$BT$44</f>
        <v>0</v>
      </c>
      <c r="G50" s="320">
        <f>'4. Billing Determinants'!$N22*'2. 2016 Continuity Schedule'!$BT$44</f>
        <v>0</v>
      </c>
      <c r="H50" s="320">
        <f>'4. Billing Determinants'!$N23*'2. 2016 Continuity Schedule'!$BT$44</f>
        <v>0</v>
      </c>
      <c r="I50" s="320">
        <f>'4. Billing Determinants'!$N24*'2. 2016 Continuity Schedule'!$BT$44</f>
        <v>0</v>
      </c>
      <c r="J50" s="320">
        <f>'4. Billing Determinants'!$N25*'2. 2016 Continuity Schedule'!$BT$44</f>
        <v>0</v>
      </c>
      <c r="K50" s="320">
        <f>'4. Billing Determinants'!$N26*'2. 2016 Continuity Schedule'!$BT$44</f>
        <v>0</v>
      </c>
      <c r="L50" s="320">
        <f>'4. Billing Determinants'!$N27*'2. 2016 Continuity Schedule'!$BT$44</f>
        <v>0</v>
      </c>
      <c r="M50" s="320">
        <f>'4. Billing Determinants'!$N28*'2. 2016 Continuity Schedule'!$BT$44</f>
        <v>0</v>
      </c>
      <c r="N50" s="320">
        <f>'4. Billing Determinants'!$N29*'2. 2016 Continuity Schedule'!$BT$44</f>
        <v>0</v>
      </c>
      <c r="O50" s="320">
        <f>'4. Billing Determinants'!$N30*'2. 2016 Continuity Schedule'!$BT$44</f>
        <v>0</v>
      </c>
      <c r="P50" s="320">
        <f>'4. Billing Determinants'!$N31*'2. 2016 Continuity Schedule'!$BT$44</f>
        <v>0</v>
      </c>
      <c r="Q50" s="320">
        <f>'4. Billing Determinants'!$N32*'2. 2016 Continuity Schedule'!$BT$44</f>
        <v>0</v>
      </c>
      <c r="R50" s="320">
        <f>'4. Billing Determinants'!$N33*'2. 2016 Continuity Schedule'!$BT$44</f>
        <v>0</v>
      </c>
      <c r="S50" s="320">
        <f>'4. Billing Determinants'!$N34*'2. 2016 Continuity Schedule'!$BT$44</f>
        <v>0</v>
      </c>
      <c r="T50" s="320">
        <f>'4. Billing Determinants'!$N35*'2. 2016 Continuity Schedule'!$BT$44</f>
        <v>0</v>
      </c>
      <c r="U50" s="320">
        <f>'4. Billing Determinants'!$N36*'2. 2016 Continuity Schedule'!$BT$44</f>
        <v>0</v>
      </c>
      <c r="V50" s="320">
        <f>'4. Billing Determinants'!$N37*'2. 2016 Continuity Schedule'!$BT$44</f>
        <v>0</v>
      </c>
      <c r="W50" s="320">
        <f>'4. Billing Determinants'!$N38*'2. 2016 Continuity Schedule'!$BT$44</f>
        <v>0</v>
      </c>
      <c r="X50" s="320">
        <f>'4. Billing Determinants'!$N39*'2. 2016 Continuity Schedule'!$BT$44</f>
        <v>0</v>
      </c>
      <c r="Y50" s="320">
        <f>'4. Billing Determinants'!$N40*'2. 2016 Continuity Schedule'!$BT$44</f>
        <v>0</v>
      </c>
    </row>
    <row r="51" spans="1:25" s="51" customFormat="1" hidden="1" x14ac:dyDescent="0.25">
      <c r="A51" s="327">
        <v>48</v>
      </c>
    </row>
    <row r="52" spans="1:25" s="169" customFormat="1" x14ac:dyDescent="0.25">
      <c r="A52" s="146">
        <v>49</v>
      </c>
      <c r="B52" s="483" t="s">
        <v>332</v>
      </c>
      <c r="C52" s="483"/>
      <c r="D52" s="61">
        <f>SUM(F52:Y52)</f>
        <v>102951.70264</v>
      </c>
      <c r="E52" s="62"/>
      <c r="F52" s="61">
        <f t="shared" ref="F52:Y52" si="6">SUM(F21:F32)+F37+F43</f>
        <v>61901.936711067799</v>
      </c>
      <c r="G52" s="61">
        <f t="shared" si="6"/>
        <v>13508.883696830651</v>
      </c>
      <c r="H52" s="61">
        <f t="shared" si="6"/>
        <v>27063.275988725491</v>
      </c>
      <c r="I52" s="61">
        <f t="shared" si="6"/>
        <v>43.738155063059594</v>
      </c>
      <c r="J52" s="61">
        <f t="shared" si="6"/>
        <v>238.19975677680577</v>
      </c>
      <c r="K52" s="61">
        <f t="shared" si="6"/>
        <v>195.66833153619507</v>
      </c>
      <c r="L52" s="61">
        <f t="shared" si="6"/>
        <v>0</v>
      </c>
      <c r="M52" s="61">
        <f t="shared" si="6"/>
        <v>0</v>
      </c>
      <c r="N52" s="61">
        <f t="shared" si="6"/>
        <v>0</v>
      </c>
      <c r="O52" s="61">
        <f t="shared" si="6"/>
        <v>0</v>
      </c>
      <c r="P52" s="61">
        <f t="shared" si="6"/>
        <v>0</v>
      </c>
      <c r="Q52" s="61">
        <f t="shared" si="6"/>
        <v>0</v>
      </c>
      <c r="R52" s="61">
        <f t="shared" si="6"/>
        <v>0</v>
      </c>
      <c r="S52" s="61">
        <f t="shared" si="6"/>
        <v>0</v>
      </c>
      <c r="T52" s="61">
        <f t="shared" si="6"/>
        <v>0</v>
      </c>
      <c r="U52" s="61">
        <f t="shared" si="6"/>
        <v>0</v>
      </c>
      <c r="V52" s="61">
        <f t="shared" si="6"/>
        <v>0</v>
      </c>
      <c r="W52" s="61">
        <f t="shared" si="6"/>
        <v>0</v>
      </c>
      <c r="X52" s="61">
        <f t="shared" si="6"/>
        <v>0</v>
      </c>
      <c r="Y52" s="61">
        <f t="shared" si="6"/>
        <v>0</v>
      </c>
    </row>
    <row r="53" spans="1:25" s="51" customFormat="1" x14ac:dyDescent="0.25">
      <c r="A53" s="146">
        <v>50</v>
      </c>
    </row>
    <row r="54" spans="1:25" x14ac:dyDescent="0.25">
      <c r="A54" s="146">
        <v>51</v>
      </c>
      <c r="B54" s="43" t="s">
        <v>167</v>
      </c>
      <c r="C54" s="43">
        <v>1575</v>
      </c>
      <c r="D54" s="42">
        <f>'2. 2016 Continuity Schedule'!BT85</f>
        <v>0</v>
      </c>
      <c r="E54" s="74" t="s">
        <v>189</v>
      </c>
      <c r="F54" s="42">
        <f>IFERROR(IF(F$4="",0,IF($E54="kWh",VLOOKUP(F$4,'4. Billing Determinants'!$B$19:$R$41,4,0)/'4. Billing Determinants'!$E$41*$D54,IF($E54="kW",VLOOKUP(F$4,'4. Billing Determinants'!$B$19:$R$41,5,0)/'4. Billing Determinants'!$F$41*$D54,IF($E54="Non-RPP kWh",VLOOKUP(F$4,'4. Billing Determinants'!$B$19:$R$41,6,0)/'4. Billing Determinants'!$G$41*$D54,IF($E54="Distribution Rev.",VLOOKUP(F$4,'4. Billing Determinants'!$B$19:$R$41,8,0)/'4. Billing Determinants'!$I$41*$D54, VLOOKUP(F$4,'4. Billing Determinants'!$B$19:$R$41,3,0)/'4. Billing Determinants'!$D$41*$D54))))),0)</f>
        <v>0</v>
      </c>
      <c r="G54" s="42">
        <f>IFERROR(IF(G$4="",0,IF($E54="kWh",VLOOKUP(G$4,'4. Billing Determinants'!$B$19:$R$41,4,0)/'4. Billing Determinants'!$E$41*$D54,IF($E54="kW",VLOOKUP(G$4,'4. Billing Determinants'!$B$19:$R$41,5,0)/'4. Billing Determinants'!$F$41*$D54,IF($E54="Non-RPP kWh",VLOOKUP(G$4,'4. Billing Determinants'!$B$19:$R$41,6,0)/'4. Billing Determinants'!$G$41*$D54,IF($E54="Distribution Rev.",VLOOKUP(G$4,'4. Billing Determinants'!$B$19:$R$41,8,0)/'4. Billing Determinants'!$I$41*$D54, VLOOKUP(G$4,'4. Billing Determinants'!$B$19:$R$41,3,0)/'4. Billing Determinants'!$D$41*$D54))))),0)</f>
        <v>0</v>
      </c>
      <c r="H54" s="42">
        <f>IFERROR(IF(H$4="",0,IF($E54="kWh",VLOOKUP(H$4,'4. Billing Determinants'!$B$19:$R$41,4,0)/'4. Billing Determinants'!$E$41*$D54,IF($E54="kW",VLOOKUP(H$4,'4. Billing Determinants'!$B$19:$R$41,5,0)/'4. Billing Determinants'!$F$41*$D54,IF($E54="Non-RPP kWh",VLOOKUP(H$4,'4. Billing Determinants'!$B$19:$R$41,6,0)/'4. Billing Determinants'!$G$41*$D54,IF($E54="Distribution Rev.",VLOOKUP(H$4,'4. Billing Determinants'!$B$19:$R$41,8,0)/'4. Billing Determinants'!$I$41*$D54, VLOOKUP(H$4,'4. Billing Determinants'!$B$19:$R$41,3,0)/'4. Billing Determinants'!$D$41*$D54))))),0)</f>
        <v>0</v>
      </c>
      <c r="I54" s="42">
        <f>IFERROR(IF(I$4="",0,IF($E54="kWh",VLOOKUP(I$4,'4. Billing Determinants'!$B$19:$R$41,4,0)/'4. Billing Determinants'!$E$41*$D54,IF($E54="kW",VLOOKUP(I$4,'4. Billing Determinants'!$B$19:$R$41,5,0)/'4. Billing Determinants'!$F$41*$D54,IF($E54="Non-RPP kWh",VLOOKUP(I$4,'4. Billing Determinants'!$B$19:$R$41,6,0)/'4. Billing Determinants'!$G$41*$D54,IF($E54="Distribution Rev.",VLOOKUP(I$4,'4. Billing Determinants'!$B$19:$R$41,8,0)/'4. Billing Determinants'!$I$41*$D54, VLOOKUP(I$4,'4. Billing Determinants'!$B$19:$R$41,3,0)/'4. Billing Determinants'!$D$41*$D54))))),0)</f>
        <v>0</v>
      </c>
      <c r="J54" s="42">
        <f>IFERROR(IF(J$4="",0,IF($E54="kWh",VLOOKUP(J$4,'4. Billing Determinants'!$B$19:$R$41,4,0)/'4. Billing Determinants'!$E$41*$D54,IF($E54="kW",VLOOKUP(J$4,'4. Billing Determinants'!$B$19:$R$41,5,0)/'4. Billing Determinants'!$F$41*$D54,IF($E54="Non-RPP kWh",VLOOKUP(J$4,'4. Billing Determinants'!$B$19:$R$41,6,0)/'4. Billing Determinants'!$G$41*$D54,IF($E54="Distribution Rev.",VLOOKUP(J$4,'4. Billing Determinants'!$B$19:$R$41,8,0)/'4. Billing Determinants'!$I$41*$D54, VLOOKUP(J$4,'4. Billing Determinants'!$B$19:$R$41,3,0)/'4. Billing Determinants'!$D$41*$D54))))),0)</f>
        <v>0</v>
      </c>
      <c r="K54" s="42">
        <f>IFERROR(IF(K$4="",0,IF($E54="kWh",VLOOKUP(K$4,'4. Billing Determinants'!$B$19:$R$41,4,0)/'4. Billing Determinants'!$E$41*$D54,IF($E54="kW",VLOOKUP(K$4,'4. Billing Determinants'!$B$19:$R$41,5,0)/'4. Billing Determinants'!$F$41*$D54,IF($E54="Non-RPP kWh",VLOOKUP(K$4,'4. Billing Determinants'!$B$19:$R$41,6,0)/'4. Billing Determinants'!$G$41*$D54,IF($E54="Distribution Rev.",VLOOKUP(K$4,'4. Billing Determinants'!$B$19:$R$41,8,0)/'4. Billing Determinants'!$I$41*$D54, VLOOKUP(K$4,'4. Billing Determinants'!$B$19:$R$41,3,0)/'4. Billing Determinants'!$D$41*$D54))))),0)</f>
        <v>0</v>
      </c>
      <c r="L54" s="42">
        <f>IFERROR(IF(L$4="",0,IF($E54="kWh",VLOOKUP(L$4,'4. Billing Determinants'!$B$19:$R$41,4,0)/'4. Billing Determinants'!$E$41*$D54,IF($E54="kW",VLOOKUP(L$4,'4. Billing Determinants'!$B$19:$R$41,5,0)/'4. Billing Determinants'!$F$41*$D54,IF($E54="Non-RPP kWh",VLOOKUP(L$4,'4. Billing Determinants'!$B$19:$R$41,6,0)/'4. Billing Determinants'!$G$41*$D54,IF($E54="Distribution Rev.",VLOOKUP(L$4,'4. Billing Determinants'!$B$19:$R$41,8,0)/'4. Billing Determinants'!$I$41*$D54, VLOOKUP(L$4,'4. Billing Determinants'!$B$19:$R$41,3,0)/'4. Billing Determinants'!$D$41*$D54))))),0)</f>
        <v>0</v>
      </c>
      <c r="M54" s="42">
        <f>IFERROR(IF(M$4="",0,IF($E54="kWh",VLOOKUP(M$4,'4. Billing Determinants'!$B$19:$R$41,4,0)/'4. Billing Determinants'!$E$41*$D54,IF($E54="kW",VLOOKUP(M$4,'4. Billing Determinants'!$B$19:$R$41,5,0)/'4. Billing Determinants'!$F$41*$D54,IF($E54="Non-RPP kWh",VLOOKUP(M$4,'4. Billing Determinants'!$B$19:$R$41,6,0)/'4. Billing Determinants'!$G$41*$D54,IF($E54="Distribution Rev.",VLOOKUP(M$4,'4. Billing Determinants'!$B$19:$R$41,8,0)/'4. Billing Determinants'!$I$41*$D54, VLOOKUP(M$4,'4. Billing Determinants'!$B$19:$R$41,3,0)/'4. Billing Determinants'!$D$41*$D54))))),0)</f>
        <v>0</v>
      </c>
      <c r="N54" s="42">
        <f>IFERROR(IF(N$4="",0,IF($E54="kWh",VLOOKUP(N$4,'4. Billing Determinants'!$B$19:$R$41,4,0)/'4. Billing Determinants'!$E$41*$D54,IF($E54="kW",VLOOKUP(N$4,'4. Billing Determinants'!$B$19:$R$41,5,0)/'4. Billing Determinants'!$F$41*$D54,IF($E54="Non-RPP kWh",VLOOKUP(N$4,'4. Billing Determinants'!$B$19:$R$41,6,0)/'4. Billing Determinants'!$G$41*$D54,IF($E54="Distribution Rev.",VLOOKUP(N$4,'4. Billing Determinants'!$B$19:$R$41,8,0)/'4. Billing Determinants'!$I$41*$D54, VLOOKUP(N$4,'4. Billing Determinants'!$B$19:$R$41,3,0)/'4. Billing Determinants'!$D$41*$D54))))),0)</f>
        <v>0</v>
      </c>
      <c r="O54" s="42">
        <f>IFERROR(IF(O$4="",0,IF($E54="kWh",VLOOKUP(O$4,'4. Billing Determinants'!$B$19:$R$41,4,0)/'4. Billing Determinants'!$E$41*$D54,IF($E54="kW",VLOOKUP(O$4,'4. Billing Determinants'!$B$19:$R$41,5,0)/'4. Billing Determinants'!$F$41*$D54,IF($E54="Non-RPP kWh",VLOOKUP(O$4,'4. Billing Determinants'!$B$19:$R$41,6,0)/'4. Billing Determinants'!$G$41*$D54,IF($E54="Distribution Rev.",VLOOKUP(O$4,'4. Billing Determinants'!$B$19:$R$41,8,0)/'4. Billing Determinants'!$I$41*$D54, VLOOKUP(O$4,'4. Billing Determinants'!$B$19:$R$41,3,0)/'4. Billing Determinants'!$D$41*$D54))))),0)</f>
        <v>0</v>
      </c>
      <c r="P54" s="42">
        <f>IFERROR(IF(P$4="",0,IF($E54="kWh",VLOOKUP(P$4,'4. Billing Determinants'!$B$19:$R$41,4,0)/'4. Billing Determinants'!$E$41*$D54,IF($E54="kW",VLOOKUP(P$4,'4. Billing Determinants'!$B$19:$R$41,5,0)/'4. Billing Determinants'!$F$41*$D54,IF($E54="Non-RPP kWh",VLOOKUP(P$4,'4. Billing Determinants'!$B$19:$R$41,6,0)/'4. Billing Determinants'!$G$41*$D54,IF($E54="Distribution Rev.",VLOOKUP(P$4,'4. Billing Determinants'!$B$19:$R$41,8,0)/'4. Billing Determinants'!$I$41*$D54, VLOOKUP(P$4,'4. Billing Determinants'!$B$19:$R$41,3,0)/'4. Billing Determinants'!$D$41*$D54))))),0)</f>
        <v>0</v>
      </c>
      <c r="Q54" s="42">
        <f>IFERROR(IF(Q$4="",0,IF($E54="kWh",VLOOKUP(Q$4,'4. Billing Determinants'!$B$19:$R$41,4,0)/'4. Billing Determinants'!$E$41*$D54,IF($E54="kW",VLOOKUP(Q$4,'4. Billing Determinants'!$B$19:$R$41,5,0)/'4. Billing Determinants'!$F$41*$D54,IF($E54="Non-RPP kWh",VLOOKUP(Q$4,'4. Billing Determinants'!$B$19:$R$41,6,0)/'4. Billing Determinants'!$G$41*$D54,IF($E54="Distribution Rev.",VLOOKUP(Q$4,'4. Billing Determinants'!$B$19:$R$41,8,0)/'4. Billing Determinants'!$I$41*$D54, VLOOKUP(Q$4,'4. Billing Determinants'!$B$19:$R$41,3,0)/'4. Billing Determinants'!$D$41*$D54))))),0)</f>
        <v>0</v>
      </c>
      <c r="R54" s="42">
        <f>IFERROR(IF(R$4="",0,IF($E54="kWh",VLOOKUP(R$4,'4. Billing Determinants'!$B$19:$R$41,4,0)/'4. Billing Determinants'!$E$41*$D54,IF($E54="kW",VLOOKUP(R$4,'4. Billing Determinants'!$B$19:$R$41,5,0)/'4. Billing Determinants'!$F$41*$D54,IF($E54="Non-RPP kWh",VLOOKUP(R$4,'4. Billing Determinants'!$B$19:$R$41,6,0)/'4. Billing Determinants'!$G$41*$D54,IF($E54="Distribution Rev.",VLOOKUP(R$4,'4. Billing Determinants'!$B$19:$R$41,8,0)/'4. Billing Determinants'!$I$41*$D54, VLOOKUP(R$4,'4. Billing Determinants'!$B$19:$R$41,3,0)/'4. Billing Determinants'!$D$41*$D54))))),0)</f>
        <v>0</v>
      </c>
      <c r="S54" s="42">
        <f>IFERROR(IF(S$4="",0,IF($E54="kWh",VLOOKUP(S$4,'4. Billing Determinants'!$B$19:$R$41,4,0)/'4. Billing Determinants'!$E$41*$D54,IF($E54="kW",VLOOKUP(S$4,'4. Billing Determinants'!$B$19:$R$41,5,0)/'4. Billing Determinants'!$F$41*$D54,IF($E54="Non-RPP kWh",VLOOKUP(S$4,'4. Billing Determinants'!$B$19:$R$41,6,0)/'4. Billing Determinants'!$G$41*$D54,IF($E54="Distribution Rev.",VLOOKUP(S$4,'4. Billing Determinants'!$B$19:$R$41,8,0)/'4. Billing Determinants'!$I$41*$D54, VLOOKUP(S$4,'4. Billing Determinants'!$B$19:$R$41,3,0)/'4. Billing Determinants'!$D$41*$D54))))),0)</f>
        <v>0</v>
      </c>
      <c r="T54" s="42">
        <f>IFERROR(IF(T$4="",0,IF($E54="kWh",VLOOKUP(T$4,'4. Billing Determinants'!$B$19:$R$41,4,0)/'4. Billing Determinants'!$E$41*$D54,IF($E54="kW",VLOOKUP(T$4,'4. Billing Determinants'!$B$19:$R$41,5,0)/'4. Billing Determinants'!$F$41*$D54,IF($E54="Non-RPP kWh",VLOOKUP(T$4,'4. Billing Determinants'!$B$19:$R$41,6,0)/'4. Billing Determinants'!$G$41*$D54,IF($E54="Distribution Rev.",VLOOKUP(T$4,'4. Billing Determinants'!$B$19:$R$41,8,0)/'4. Billing Determinants'!$I$41*$D54, VLOOKUP(T$4,'4. Billing Determinants'!$B$19:$R$41,3,0)/'4. Billing Determinants'!$D$41*$D54))))),0)</f>
        <v>0</v>
      </c>
      <c r="U54" s="42">
        <f>IFERROR(IF(U$4="",0,IF($E54="kWh",VLOOKUP(U$4,'4. Billing Determinants'!$B$19:$R$41,4,0)/'4. Billing Determinants'!$E$41*$D54,IF($E54="kW",VLOOKUP(U$4,'4. Billing Determinants'!$B$19:$R$41,5,0)/'4. Billing Determinants'!$F$41*$D54,IF($E54="Non-RPP kWh",VLOOKUP(U$4,'4. Billing Determinants'!$B$19:$R$41,6,0)/'4. Billing Determinants'!$G$41*$D54,IF($E54="Distribution Rev.",VLOOKUP(U$4,'4. Billing Determinants'!$B$19:$R$41,8,0)/'4. Billing Determinants'!$I$41*$D54, VLOOKUP(U$4,'4. Billing Determinants'!$B$19:$R$41,3,0)/'4. Billing Determinants'!$D$41*$D54))))),0)</f>
        <v>0</v>
      </c>
      <c r="V54" s="42">
        <f>IFERROR(IF(V$4="",0,IF($E54="kWh",VLOOKUP(V$4,'4. Billing Determinants'!$B$19:$R$41,4,0)/'4. Billing Determinants'!$E$41*$D54,IF($E54="kW",VLOOKUP(V$4,'4. Billing Determinants'!$B$19:$R$41,5,0)/'4. Billing Determinants'!$F$41*$D54,IF($E54="Non-RPP kWh",VLOOKUP(V$4,'4. Billing Determinants'!$B$19:$R$41,6,0)/'4. Billing Determinants'!$G$41*$D54,IF($E54="Distribution Rev.",VLOOKUP(V$4,'4. Billing Determinants'!$B$19:$R$41,8,0)/'4. Billing Determinants'!$I$41*$D54, VLOOKUP(V$4,'4. Billing Determinants'!$B$19:$R$41,3,0)/'4. Billing Determinants'!$D$41*$D54))))),0)</f>
        <v>0</v>
      </c>
      <c r="W54" s="42">
        <f>IFERROR(IF(W$4="",0,IF($E54="kWh",VLOOKUP(W$4,'4. Billing Determinants'!$B$19:$R$41,4,0)/'4. Billing Determinants'!$E$41*$D54,IF($E54="kW",VLOOKUP(W$4,'4. Billing Determinants'!$B$19:$R$41,5,0)/'4. Billing Determinants'!$F$41*$D54,IF($E54="Non-RPP kWh",VLOOKUP(W$4,'4. Billing Determinants'!$B$19:$R$41,6,0)/'4. Billing Determinants'!$G$41*$D54,IF($E54="Distribution Rev.",VLOOKUP(W$4,'4. Billing Determinants'!$B$19:$R$41,8,0)/'4. Billing Determinants'!$I$41*$D54, VLOOKUP(W$4,'4. Billing Determinants'!$B$19:$R$41,3,0)/'4. Billing Determinants'!$D$41*$D54))))),0)</f>
        <v>0</v>
      </c>
      <c r="X54" s="42">
        <f>IFERROR(IF(X$4="",0,IF($E54="kWh",VLOOKUP(X$4,'4. Billing Determinants'!$B$19:$R$41,4,0)/'4. Billing Determinants'!$E$41*$D54,IF($E54="kW",VLOOKUP(X$4,'4. Billing Determinants'!$B$19:$R$41,5,0)/'4. Billing Determinants'!$F$41*$D54,IF($E54="Non-RPP kWh",VLOOKUP(X$4,'4. Billing Determinants'!$B$19:$R$41,6,0)/'4. Billing Determinants'!$G$41*$D54,IF($E54="Distribution Rev.",VLOOKUP(X$4,'4. Billing Determinants'!$B$19:$R$41,8,0)/'4. Billing Determinants'!$I$41*$D54, VLOOKUP(X$4,'4. Billing Determinants'!$B$19:$R$41,3,0)/'4. Billing Determinants'!$D$41*$D54))))),0)</f>
        <v>0</v>
      </c>
      <c r="Y54" s="42">
        <f>IFERROR(IF(Y$4="",0,IF($E54="kWh",VLOOKUP(Y$4,'4. Billing Determinants'!$B$19:$R$41,4,0)/'4. Billing Determinants'!$E$41*$D54,IF($E54="kW",VLOOKUP(Y$4,'4. Billing Determinants'!$B$19:$R$41,5,0)/'4. Billing Determinants'!$F$41*$D54,IF($E54="Non-RPP kWh",VLOOKUP(Y$4,'4. Billing Determinants'!$B$19:$R$41,6,0)/'4. Billing Determinants'!$G$41*$D54,IF($E54="Distribution Rev.",VLOOKUP(Y$4,'4. Billing Determinants'!$B$19:$R$41,8,0)/'4. Billing Determinants'!$I$41*$D54, VLOOKUP(Y$4,'4. Billing Determinants'!$B$19:$R$41,3,0)/'4. Billing Determinants'!$D$41*$D54))))),0)</f>
        <v>0</v>
      </c>
    </row>
    <row r="55" spans="1:25" x14ac:dyDescent="0.25">
      <c r="A55" s="327">
        <v>52</v>
      </c>
      <c r="B55" s="43" t="s">
        <v>168</v>
      </c>
      <c r="C55" s="43">
        <v>1576</v>
      </c>
      <c r="D55" s="42">
        <f>'2. 2016 Continuity Schedule'!BT86</f>
        <v>0</v>
      </c>
      <c r="E55" s="74" t="s">
        <v>189</v>
      </c>
      <c r="F55" s="42">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42">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42">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42">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42">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42">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2">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2">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2">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2">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2">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2">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2">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2">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2">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2">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2">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2">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2">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2">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5">
      <c r="A56" s="146">
        <v>53</v>
      </c>
      <c r="B56" s="55" t="s">
        <v>97</v>
      </c>
      <c r="C56" s="55"/>
      <c r="D56" s="56">
        <f>SUM(D54:D55)</f>
        <v>0</v>
      </c>
      <c r="E56" s="56"/>
      <c r="F56" s="56">
        <f>SUM(F54:F55)</f>
        <v>0</v>
      </c>
      <c r="G56" s="56">
        <f t="shared" ref="G56:Y56" si="7">SUM(G54:G55)</f>
        <v>0</v>
      </c>
      <c r="H56" s="56">
        <f t="shared" si="7"/>
        <v>0</v>
      </c>
      <c r="I56" s="56">
        <f t="shared" si="7"/>
        <v>0</v>
      </c>
      <c r="J56" s="56">
        <f t="shared" si="7"/>
        <v>0</v>
      </c>
      <c r="K56" s="56">
        <f t="shared" si="7"/>
        <v>0</v>
      </c>
      <c r="L56" s="56">
        <f t="shared" si="7"/>
        <v>0</v>
      </c>
      <c r="M56" s="56">
        <f t="shared" si="7"/>
        <v>0</v>
      </c>
      <c r="N56" s="56">
        <f t="shared" si="7"/>
        <v>0</v>
      </c>
      <c r="O56" s="56">
        <f t="shared" si="7"/>
        <v>0</v>
      </c>
      <c r="P56" s="56">
        <f t="shared" si="7"/>
        <v>0</v>
      </c>
      <c r="Q56" s="56">
        <f t="shared" si="7"/>
        <v>0</v>
      </c>
      <c r="R56" s="56">
        <f t="shared" si="7"/>
        <v>0</v>
      </c>
      <c r="S56" s="56">
        <f t="shared" si="7"/>
        <v>0</v>
      </c>
      <c r="T56" s="56">
        <f t="shared" si="7"/>
        <v>0</v>
      </c>
      <c r="U56" s="56">
        <f t="shared" si="7"/>
        <v>0</v>
      </c>
      <c r="V56" s="56">
        <f t="shared" si="7"/>
        <v>0</v>
      </c>
      <c r="W56" s="56">
        <f t="shared" si="7"/>
        <v>0</v>
      </c>
      <c r="X56" s="56">
        <f t="shared" si="7"/>
        <v>0</v>
      </c>
      <c r="Y56" s="56">
        <f t="shared" si="7"/>
        <v>0</v>
      </c>
    </row>
    <row r="58" spans="1:25" x14ac:dyDescent="0.25">
      <c r="B58" s="171" t="s">
        <v>217</v>
      </c>
      <c r="C58" s="171"/>
    </row>
    <row r="59" spans="1:25" x14ac:dyDescent="0.25">
      <c r="B59" s="172" t="s">
        <v>219</v>
      </c>
      <c r="C59" s="173">
        <f>IF(ISERROR('2. 2016 Continuity Schedule'!BT44/'4. Billing Determinants'!D41), 0, '2. 2016 Continuity Schedule'!BT44/'4. Billing Determinants'!D41)</f>
        <v>18.677666432231486</v>
      </c>
    </row>
    <row r="60" spans="1:25" x14ac:dyDescent="0.25">
      <c r="B60" s="172" t="s">
        <v>216</v>
      </c>
      <c r="C60" s="174">
        <f>IF(ISERROR('2. 2016 Continuity Schedule'!BT44/'4. Billing Determinants'!E41), 0, '2. 2016 Continuity Schedule'!BT44/'4. Billing Determinants'!E41)</f>
        <v>1.5327755185772349E-3</v>
      </c>
    </row>
    <row r="61" spans="1:25" x14ac:dyDescent="0.25">
      <c r="B61" s="170"/>
      <c r="C61" s="170"/>
    </row>
  </sheetData>
  <mergeCells count="7">
    <mergeCell ref="B52:C52"/>
    <mergeCell ref="B50:C50"/>
    <mergeCell ref="B40:C40"/>
    <mergeCell ref="B41:C41"/>
    <mergeCell ref="B48:C48"/>
    <mergeCell ref="B46:C46"/>
    <mergeCell ref="B47:C47"/>
  </mergeCells>
  <dataValidations disablePrompts="1" count="5">
    <dataValidation type="list" allowBlank="1" showInputMessage="1" showErrorMessage="1" sqref="E5 E8:E10">
      <formula1>"kWh, kW, Non-RPP kWh"</formula1>
    </dataValidation>
    <dataValidation type="list" allowBlank="1" showInputMessage="1" showErrorMessage="1" sqref="E33 E54:E55 E35:E37 E43:E44">
      <formula1>"kWh, kW, Non-RPP kWh, Distribution Rev."</formula1>
    </dataValidation>
    <dataValidation type="list" allowBlank="1" showInputMessage="1" showErrorMessage="1" sqref="E12:E18">
      <formula1>"kWh, kW, Non-RPP kWh, %"</formula1>
    </dataValidation>
    <dataValidation type="list" allowBlank="1" showInputMessage="1" showErrorMessage="1" sqref="E7">
      <formula1>"kWh, kW"</formula1>
    </dataValidation>
    <dataValidation type="list" allowBlank="1" showInputMessage="1" showErrorMessage="1" sqref="E21:E32">
      <formula1>"kWh, kW, Non-RPP kWh, 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3:N59"/>
  <sheetViews>
    <sheetView showGridLines="0" topLeftCell="A13" zoomScale="90" zoomScaleNormal="90" workbookViewId="0">
      <selection activeCell="D20" sqref="D20"/>
    </sheetView>
  </sheetViews>
  <sheetFormatPr defaultColWidth="9.109375" defaultRowHeight="14.4" x14ac:dyDescent="0.3"/>
  <cols>
    <col min="1" max="1" width="55.88671875" style="361" customWidth="1"/>
    <col min="2" max="2" width="6.5546875" style="361" customWidth="1"/>
    <col min="3" max="3" width="31" style="361" bestFit="1" customWidth="1"/>
    <col min="4" max="4" width="27.44140625" style="361" hidden="1" customWidth="1"/>
    <col min="5" max="5" width="28.5546875" style="361" hidden="1" customWidth="1"/>
    <col min="6" max="6" width="30.33203125" style="361" hidden="1" customWidth="1"/>
    <col min="7" max="7" width="28.33203125" style="361" hidden="1" customWidth="1"/>
    <col min="8" max="8" width="14.109375" style="361" customWidth="1"/>
    <col min="9" max="9" width="30.44140625" style="361" customWidth="1"/>
    <col min="10" max="10" width="24.88671875" style="361" customWidth="1"/>
    <col min="11" max="13" width="9.109375" style="361"/>
    <col min="14" max="14" width="32.33203125" style="361" customWidth="1"/>
    <col min="15" max="16384" width="9.109375" style="361"/>
  </cols>
  <sheetData>
    <row r="13" spans="1:9" ht="18.75" customHeight="1" x14ac:dyDescent="0.3">
      <c r="A13" s="360"/>
      <c r="B13" s="360"/>
      <c r="C13" s="360"/>
      <c r="D13" s="360"/>
      <c r="E13" s="360"/>
    </row>
    <row r="14" spans="1:9" ht="116.25" customHeight="1" x14ac:dyDescent="0.3">
      <c r="A14" s="490" t="s">
        <v>380</v>
      </c>
      <c r="B14" s="490"/>
      <c r="C14" s="490"/>
      <c r="D14" s="491"/>
      <c r="E14" s="491"/>
    </row>
    <row r="15" spans="1:9" x14ac:dyDescent="0.3">
      <c r="A15" s="402" t="s">
        <v>373</v>
      </c>
      <c r="B15" s="402"/>
      <c r="C15" s="402"/>
      <c r="D15" s="403"/>
      <c r="E15" s="403"/>
    </row>
    <row r="16" spans="1:9" ht="48" customHeight="1" x14ac:dyDescent="0.3">
      <c r="A16" s="364" t="s">
        <v>374</v>
      </c>
      <c r="B16" s="401"/>
      <c r="C16" s="492" t="s">
        <v>346</v>
      </c>
      <c r="D16" s="493"/>
      <c r="E16" s="493"/>
      <c r="F16" s="493"/>
      <c r="G16" s="493"/>
      <c r="H16" s="493"/>
      <c r="I16" s="493"/>
    </row>
    <row r="17" spans="1:14" x14ac:dyDescent="0.3">
      <c r="A17" s="402"/>
      <c r="B17" s="362"/>
      <c r="C17" s="362"/>
      <c r="D17" s="363"/>
      <c r="E17" s="363"/>
    </row>
    <row r="18" spans="1:14" ht="34.5" customHeight="1" x14ac:dyDescent="0.3">
      <c r="A18" s="490" t="s">
        <v>347</v>
      </c>
      <c r="B18" s="490"/>
      <c r="C18" s="490"/>
      <c r="D18" s="490"/>
      <c r="E18" s="490"/>
      <c r="H18" s="365"/>
    </row>
    <row r="19" spans="1:14" ht="17.25" customHeight="1" thickBot="1" x14ac:dyDescent="0.35">
      <c r="B19" s="366"/>
      <c r="C19" s="367" t="s">
        <v>63</v>
      </c>
      <c r="D19" s="368">
        <v>2015</v>
      </c>
      <c r="E19" s="368">
        <v>2014</v>
      </c>
      <c r="F19" s="369">
        <v>2013</v>
      </c>
      <c r="G19" s="370">
        <v>2012</v>
      </c>
    </row>
    <row r="20" spans="1:14" s="374" customFormat="1" ht="27.6" thickBot="1" x14ac:dyDescent="0.35">
      <c r="A20" s="371" t="s">
        <v>348</v>
      </c>
      <c r="B20" s="372" t="s">
        <v>349</v>
      </c>
      <c r="C20" s="373">
        <f>SUM(D20:G20)</f>
        <v>0</v>
      </c>
      <c r="D20" s="404"/>
      <c r="E20" s="405"/>
      <c r="F20" s="406"/>
      <c r="G20" s="406"/>
    </row>
    <row r="21" spans="1:14" s="374" customFormat="1" ht="15" thickBot="1" x14ac:dyDescent="0.35">
      <c r="A21" s="371" t="s">
        <v>350</v>
      </c>
      <c r="B21" s="372" t="s">
        <v>351</v>
      </c>
      <c r="C21" s="373">
        <f>SUM(D21:G21)</f>
        <v>0</v>
      </c>
      <c r="D21" s="375">
        <f>D39</f>
        <v>0</v>
      </c>
      <c r="E21" s="375">
        <f>E39</f>
        <v>0</v>
      </c>
      <c r="F21" s="376">
        <f>F39</f>
        <v>0</v>
      </c>
      <c r="G21" s="376">
        <f>G39</f>
        <v>0</v>
      </c>
    </row>
    <row r="22" spans="1:14" s="374" customFormat="1" ht="15" thickBot="1" x14ac:dyDescent="0.35">
      <c r="A22" s="377" t="s">
        <v>352</v>
      </c>
      <c r="B22" s="378" t="s">
        <v>353</v>
      </c>
      <c r="C22" s="379">
        <f>IFERROR(+C21/C20,0)</f>
        <v>0</v>
      </c>
      <c r="D22" s="380"/>
      <c r="E22" s="381"/>
      <c r="F22" s="381"/>
      <c r="G22" s="381"/>
    </row>
    <row r="23" spans="1:14" x14ac:dyDescent="0.3">
      <c r="A23" s="360"/>
      <c r="B23" s="360"/>
      <c r="C23" s="360"/>
      <c r="D23" s="360"/>
      <c r="E23" s="360"/>
    </row>
    <row r="24" spans="1:14" x14ac:dyDescent="0.3">
      <c r="A24" s="360"/>
      <c r="B24" s="360"/>
      <c r="C24" s="382"/>
      <c r="D24" s="383"/>
      <c r="E24" s="382"/>
    </row>
    <row r="25" spans="1:14" x14ac:dyDescent="0.3">
      <c r="A25" s="494" t="s">
        <v>312</v>
      </c>
      <c r="B25" s="494"/>
      <c r="C25" s="494"/>
      <c r="D25" s="360"/>
      <c r="E25" s="384"/>
    </row>
    <row r="26" spans="1:14" ht="15" thickBot="1" x14ac:dyDescent="0.35">
      <c r="A26" s="385"/>
      <c r="B26" s="385"/>
      <c r="C26" s="386"/>
      <c r="D26" s="360"/>
      <c r="E26" s="360"/>
      <c r="N26" s="387"/>
    </row>
    <row r="27" spans="1:14" ht="15" thickBot="1" x14ac:dyDescent="0.35">
      <c r="A27" s="388" t="s">
        <v>313</v>
      </c>
      <c r="B27" s="389" t="s">
        <v>354</v>
      </c>
      <c r="C27" s="390">
        <f>'2. 2016 Continuity Schedule'!BT32</f>
        <v>371797.62799999997</v>
      </c>
      <c r="D27" s="360"/>
      <c r="E27" s="360"/>
    </row>
    <row r="28" spans="1:14" ht="27.6" thickBot="1" x14ac:dyDescent="0.35">
      <c r="A28" s="371" t="s">
        <v>355</v>
      </c>
      <c r="B28" s="391" t="s">
        <v>356</v>
      </c>
      <c r="C28" s="392">
        <f>+C22*C27</f>
        <v>0</v>
      </c>
      <c r="D28" s="393"/>
      <c r="E28" s="360"/>
    </row>
    <row r="29" spans="1:14" ht="15" thickBot="1" x14ac:dyDescent="0.35">
      <c r="A29" s="371" t="s">
        <v>357</v>
      </c>
      <c r="B29" s="391" t="s">
        <v>358</v>
      </c>
      <c r="C29" s="390">
        <f>+C27-C28</f>
        <v>371797.62799999997</v>
      </c>
      <c r="D29" s="360"/>
      <c r="E29" s="360"/>
    </row>
    <row r="30" spans="1:14" x14ac:dyDescent="0.3">
      <c r="A30" s="360"/>
      <c r="B30" s="360"/>
      <c r="C30" s="360"/>
      <c r="D30" s="360"/>
      <c r="E30" s="360"/>
    </row>
    <row r="31" spans="1:14" x14ac:dyDescent="0.3">
      <c r="A31" s="495" t="s">
        <v>314</v>
      </c>
      <c r="B31" s="495"/>
      <c r="C31" s="496"/>
      <c r="D31" s="496"/>
      <c r="E31" s="360"/>
    </row>
    <row r="32" spans="1:14" x14ac:dyDescent="0.3">
      <c r="A32" s="394" t="s">
        <v>359</v>
      </c>
      <c r="B32" s="394"/>
      <c r="C32" s="487"/>
      <c r="D32" s="488"/>
      <c r="E32" s="488"/>
      <c r="F32" s="488"/>
      <c r="G32" s="489"/>
      <c r="H32" s="395"/>
      <c r="I32" s="395"/>
      <c r="J32" s="395"/>
    </row>
    <row r="33" spans="1:10" ht="65.25" customHeight="1" x14ac:dyDescent="0.3">
      <c r="A33" s="397" t="s">
        <v>360</v>
      </c>
      <c r="B33" s="397"/>
      <c r="C33" s="398" t="s">
        <v>361</v>
      </c>
      <c r="D33" s="398" t="s">
        <v>362</v>
      </c>
      <c r="E33" s="398" t="s">
        <v>363</v>
      </c>
      <c r="F33" s="398" t="s">
        <v>364</v>
      </c>
      <c r="G33" s="398" t="s">
        <v>365</v>
      </c>
      <c r="H33" s="399" t="s">
        <v>366</v>
      </c>
      <c r="I33" s="400" t="s">
        <v>367</v>
      </c>
      <c r="J33" s="400" t="s">
        <v>368</v>
      </c>
    </row>
    <row r="34" spans="1:10" s="396" customFormat="1" x14ac:dyDescent="0.3">
      <c r="A34"/>
      <c r="B34"/>
      <c r="C34"/>
      <c r="D34"/>
      <c r="E34"/>
      <c r="F34"/>
      <c r="G34"/>
      <c r="H34"/>
      <c r="I34"/>
      <c r="J34"/>
    </row>
    <row r="35" spans="1:10" s="396" customFormat="1" x14ac:dyDescent="0.3">
      <c r="A35"/>
      <c r="B35"/>
      <c r="C35"/>
      <c r="D35"/>
      <c r="E35"/>
      <c r="F35"/>
      <c r="G35"/>
      <c r="H35"/>
      <c r="I35"/>
      <c r="J35"/>
    </row>
    <row r="36" spans="1:10" s="396" customFormat="1" x14ac:dyDescent="0.3">
      <c r="A36"/>
      <c r="B36"/>
      <c r="C36"/>
      <c r="D36"/>
      <c r="E36"/>
      <c r="F36"/>
      <c r="G36"/>
      <c r="H36"/>
      <c r="I36"/>
      <c r="J36"/>
    </row>
    <row r="37" spans="1:10" s="396" customFormat="1" x14ac:dyDescent="0.3">
      <c r="A37"/>
      <c r="B37"/>
      <c r="C37"/>
      <c r="D37"/>
      <c r="E37"/>
      <c r="F37"/>
      <c r="G37"/>
      <c r="H37"/>
      <c r="I37"/>
      <c r="J37"/>
    </row>
    <row r="38" spans="1:10" s="396" customFormat="1" x14ac:dyDescent="0.3">
      <c r="A38"/>
      <c r="B38"/>
      <c r="C38"/>
      <c r="D38"/>
      <c r="E38"/>
      <c r="F38"/>
      <c r="G38"/>
      <c r="H38"/>
      <c r="I38"/>
      <c r="J38"/>
    </row>
    <row r="39" spans="1:10" s="396" customFormat="1" x14ac:dyDescent="0.3">
      <c r="A39"/>
      <c r="B39"/>
      <c r="C39"/>
      <c r="D39"/>
      <c r="E39"/>
      <c r="F39"/>
      <c r="G39"/>
      <c r="H39"/>
      <c r="I39"/>
      <c r="J39"/>
    </row>
    <row r="40" spans="1:10" s="396" customFormat="1" x14ac:dyDescent="0.3">
      <c r="A40"/>
      <c r="B40"/>
      <c r="C40"/>
      <c r="D40"/>
      <c r="E40"/>
      <c r="F40"/>
      <c r="G40"/>
      <c r="H40"/>
      <c r="I40"/>
      <c r="J40"/>
    </row>
    <row r="41" spans="1:10" s="396" customFormat="1" x14ac:dyDescent="0.3">
      <c r="A41"/>
      <c r="B41"/>
      <c r="C41"/>
      <c r="D41"/>
      <c r="E41"/>
      <c r="F41"/>
      <c r="G41"/>
      <c r="H41"/>
      <c r="I41"/>
      <c r="J41"/>
    </row>
    <row r="42" spans="1:10" s="396" customFormat="1" x14ac:dyDescent="0.3">
      <c r="A42"/>
      <c r="B42"/>
      <c r="C42"/>
      <c r="D42"/>
      <c r="E42"/>
      <c r="F42"/>
      <c r="G42"/>
      <c r="H42"/>
      <c r="I42"/>
      <c r="J42"/>
    </row>
    <row r="43" spans="1:10" x14ac:dyDescent="0.3">
      <c r="A43"/>
      <c r="B43"/>
      <c r="C43"/>
      <c r="D43"/>
      <c r="E43"/>
      <c r="F43"/>
      <c r="G43"/>
      <c r="H43"/>
      <c r="I43"/>
      <c r="J43"/>
    </row>
    <row r="44" spans="1:10" x14ac:dyDescent="0.3">
      <c r="A44"/>
      <c r="B44"/>
      <c r="C44"/>
      <c r="D44"/>
      <c r="E44"/>
      <c r="F44"/>
      <c r="G44"/>
      <c r="H44"/>
      <c r="I44"/>
      <c r="J44"/>
    </row>
    <row r="45" spans="1:10" x14ac:dyDescent="0.3">
      <c r="A45"/>
      <c r="B45"/>
      <c r="C45"/>
      <c r="D45"/>
      <c r="E45"/>
      <c r="F45"/>
      <c r="G45"/>
      <c r="H45"/>
      <c r="I45"/>
      <c r="J45"/>
    </row>
    <row r="46" spans="1:10" x14ac:dyDescent="0.3">
      <c r="A46"/>
      <c r="B46"/>
      <c r="C46"/>
      <c r="D46"/>
      <c r="E46"/>
      <c r="F46"/>
      <c r="G46"/>
      <c r="H46"/>
      <c r="I46"/>
      <c r="J46"/>
    </row>
    <row r="47" spans="1:10" x14ac:dyDescent="0.3">
      <c r="A47"/>
      <c r="B47"/>
      <c r="C47"/>
      <c r="D47"/>
      <c r="E47"/>
      <c r="F47"/>
      <c r="G47"/>
      <c r="H47"/>
      <c r="I47"/>
      <c r="J47"/>
    </row>
    <row r="48" spans="1:10" x14ac:dyDescent="0.3">
      <c r="A48"/>
      <c r="B48"/>
      <c r="C48"/>
      <c r="D48"/>
      <c r="E48"/>
      <c r="F48"/>
      <c r="G48"/>
      <c r="H48"/>
      <c r="I48"/>
      <c r="J48"/>
    </row>
    <row r="49" spans="1:10" x14ac:dyDescent="0.3">
      <c r="A49"/>
      <c r="B49"/>
      <c r="C49"/>
      <c r="D49"/>
      <c r="E49"/>
      <c r="F49"/>
      <c r="G49"/>
      <c r="H49"/>
      <c r="I49"/>
      <c r="J49"/>
    </row>
    <row r="50" spans="1:10" x14ac:dyDescent="0.3">
      <c r="A50"/>
      <c r="B50"/>
      <c r="C50"/>
      <c r="D50"/>
      <c r="E50"/>
      <c r="F50"/>
      <c r="G50"/>
      <c r="H50"/>
      <c r="I50"/>
      <c r="J50"/>
    </row>
    <row r="51" spans="1:10" x14ac:dyDescent="0.3">
      <c r="A51"/>
      <c r="B51"/>
      <c r="C51"/>
      <c r="D51"/>
      <c r="E51"/>
      <c r="F51"/>
      <c r="G51"/>
      <c r="H51"/>
      <c r="I51"/>
      <c r="J51"/>
    </row>
    <row r="52" spans="1:10" x14ac:dyDescent="0.3">
      <c r="A52"/>
      <c r="B52"/>
      <c r="C52"/>
      <c r="D52"/>
      <c r="E52"/>
      <c r="F52"/>
      <c r="G52"/>
      <c r="H52"/>
      <c r="I52"/>
      <c r="J52"/>
    </row>
    <row r="53" spans="1:10" x14ac:dyDescent="0.3">
      <c r="A53"/>
      <c r="B53"/>
      <c r="C53"/>
      <c r="D53"/>
      <c r="E53"/>
      <c r="F53"/>
      <c r="G53"/>
      <c r="H53"/>
      <c r="I53"/>
      <c r="J53"/>
    </row>
    <row r="54" spans="1:10" x14ac:dyDescent="0.3">
      <c r="A54"/>
      <c r="B54"/>
      <c r="C54"/>
      <c r="D54"/>
      <c r="E54"/>
      <c r="F54"/>
      <c r="G54"/>
      <c r="H54"/>
      <c r="I54"/>
      <c r="J54"/>
    </row>
    <row r="55" spans="1:10" x14ac:dyDescent="0.3">
      <c r="A55"/>
      <c r="B55"/>
      <c r="C55"/>
      <c r="D55"/>
      <c r="E55"/>
      <c r="F55"/>
      <c r="G55"/>
      <c r="H55"/>
      <c r="I55"/>
      <c r="J55"/>
    </row>
    <row r="56" spans="1:10" x14ac:dyDescent="0.3">
      <c r="A56"/>
      <c r="B56"/>
      <c r="C56"/>
      <c r="D56"/>
      <c r="E56"/>
      <c r="F56"/>
      <c r="G56"/>
      <c r="H56"/>
      <c r="I56"/>
      <c r="J56"/>
    </row>
    <row r="57" spans="1:10" x14ac:dyDescent="0.3">
      <c r="A57"/>
      <c r="B57"/>
      <c r="C57"/>
      <c r="D57"/>
      <c r="E57"/>
      <c r="F57"/>
      <c r="G57"/>
      <c r="H57"/>
      <c r="I57"/>
      <c r="J57"/>
    </row>
    <row r="58" spans="1:10" x14ac:dyDescent="0.3">
      <c r="A58"/>
      <c r="B58"/>
      <c r="C58"/>
      <c r="D58"/>
      <c r="E58"/>
      <c r="F58"/>
      <c r="G58"/>
      <c r="H58"/>
      <c r="I58"/>
      <c r="J58"/>
    </row>
    <row r="59" spans="1:10" x14ac:dyDescent="0.3">
      <c r="A59"/>
      <c r="B59"/>
      <c r="C59"/>
      <c r="D59"/>
      <c r="E59"/>
      <c r="F59"/>
      <c r="G59"/>
      <c r="H59"/>
      <c r="I59"/>
      <c r="J59"/>
    </row>
  </sheetData>
  <sheetProtection formatColumns="0"/>
  <mergeCells count="6">
    <mergeCell ref="C32:G32"/>
    <mergeCell ref="A14:E14"/>
    <mergeCell ref="C16:I16"/>
    <mergeCell ref="A18:E18"/>
    <mergeCell ref="A25:C25"/>
    <mergeCell ref="A31:D31"/>
  </mergeCells>
  <pageMargins left="0.7" right="0.7" top="0.75" bottom="0.75" header="0.3" footer="0.3"/>
  <pageSetup orientation="portrait" verticalDpi="597"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J201"/>
  <sheetViews>
    <sheetView showGridLines="0" tabSelected="1" topLeftCell="A175" zoomScale="140" zoomScaleNormal="140" workbookViewId="0">
      <selection activeCell="H34" sqref="H34"/>
    </sheetView>
  </sheetViews>
  <sheetFormatPr defaultColWidth="9.109375" defaultRowHeight="13.2" x14ac:dyDescent="0.25"/>
  <cols>
    <col min="1" max="1" width="9.109375" style="1"/>
    <col min="2" max="2" width="35.6640625" style="1" customWidth="1"/>
    <col min="3" max="3" width="17.44140625" style="1" customWidth="1"/>
    <col min="4" max="4" width="18.88671875" style="1" customWidth="1"/>
    <col min="5" max="5" width="18.33203125" style="1" customWidth="1"/>
    <col min="6" max="6" width="16.6640625" style="1" customWidth="1"/>
    <col min="7" max="7" width="4.5546875" style="1" customWidth="1"/>
    <col min="8" max="8" width="11.33203125" style="1" bestFit="1" customWidth="1"/>
    <col min="9" max="9" width="21" style="1" customWidth="1"/>
    <col min="10" max="10" width="21.33203125" style="1" customWidth="1"/>
    <col min="11" max="16384" width="9.109375" style="1"/>
  </cols>
  <sheetData>
    <row r="13" spans="2:4" x14ac:dyDescent="0.25">
      <c r="B13" s="63" t="s">
        <v>78</v>
      </c>
      <c r="C13" s="64"/>
      <c r="D13" s="65">
        <v>2</v>
      </c>
    </row>
    <row r="16" spans="2:4" ht="17.399999999999999" x14ac:dyDescent="0.3">
      <c r="B16" s="151" t="s">
        <v>80</v>
      </c>
    </row>
    <row r="17" spans="2:9" x14ac:dyDescent="0.25">
      <c r="B17" s="152" t="s">
        <v>225</v>
      </c>
    </row>
    <row r="18" spans="2:9" ht="12.75" customHeight="1" x14ac:dyDescent="0.25">
      <c r="B18" s="471" t="s">
        <v>72</v>
      </c>
      <c r="C18" s="470" t="s">
        <v>62</v>
      </c>
      <c r="D18" s="497" t="s">
        <v>79</v>
      </c>
      <c r="E18" s="497" t="s">
        <v>96</v>
      </c>
      <c r="F18" s="499" t="s">
        <v>77</v>
      </c>
    </row>
    <row r="19" spans="2:9" ht="27" customHeight="1" x14ac:dyDescent="0.25">
      <c r="B19" s="472"/>
      <c r="C19" s="470"/>
      <c r="D19" s="498"/>
      <c r="E19" s="498"/>
      <c r="F19" s="499"/>
    </row>
    <row r="20" spans="2:9" x14ac:dyDescent="0.25">
      <c r="B20" s="153" t="str">
        <f>IF(ISBLANK('4. Billing Determinants'!$B21), "", '4. Billing Determinants'!$B21)</f>
        <v>RESIDENTIAL</v>
      </c>
      <c r="C20" s="74" t="s">
        <v>189</v>
      </c>
      <c r="D20" s="154">
        <f>IF(C20="", 0, IF(C20="kWh", '4. Billing Determinants'!E21, IF(C20="kW", '4. Billing Determinants'!F21, '4. Billing Determinants'!D21)))</f>
        <v>145847424</v>
      </c>
      <c r="E20" s="155">
        <f>HLOOKUP($B20, '5. Allocation of Balances'!$D$4:$Z$56, 43,FALSE)</f>
        <v>468772.0564682589</v>
      </c>
      <c r="F20" s="156">
        <f>IF(ISERROR(E20/D20), 0, IF(C20="# of Customers", E20/D20/12/$D$13, E20/D20/$D$13))</f>
        <v>1.6070632021181906E-3</v>
      </c>
      <c r="G20" s="157" t="str">
        <f>IF(C20="", "", IF(C20="# of Customers", "per customer per month", "$/"&amp;C20))</f>
        <v>$/kWh</v>
      </c>
      <c r="I20" s="298"/>
    </row>
    <row r="21" spans="2:9" x14ac:dyDescent="0.25">
      <c r="B21" s="153" t="str">
        <f>IF(ISBLANK('4. Billing Determinants'!$B22), "", '4. Billing Determinants'!$B22)</f>
        <v>GENERAL SERVICE &lt; 50 KW</v>
      </c>
      <c r="C21" s="74" t="s">
        <v>189</v>
      </c>
      <c r="D21" s="154">
        <f>IF(C21="", 0, IF(C21="kWh", '4. Billing Determinants'!E22, IF(C21="kW", '4. Billing Determinants'!F22, '4. Billing Determinants'!D22)))</f>
        <v>31828340</v>
      </c>
      <c r="E21" s="155">
        <f>HLOOKUP($B21, '5. Allocation of Balances'!$D$4:$Z$56, 43,FALSE)</f>
        <v>102778.22455267119</v>
      </c>
      <c r="F21" s="156">
        <f t="shared" ref="F21:F39" si="0">IF(ISERROR(E21/D21), 0, IF(C21="# of Customers", E21/D21/12/$D$13, E21/D21/$D$13))</f>
        <v>1.6145709225280237E-3</v>
      </c>
      <c r="G21" s="157" t="str">
        <f t="shared" ref="G21:G39" si="1">IF(C21="", "", IF(C21="# of Customers", "per customer per month", "$/"&amp;C21))</f>
        <v>$/kWh</v>
      </c>
      <c r="I21" s="298"/>
    </row>
    <row r="22" spans="2:9" x14ac:dyDescent="0.25">
      <c r="B22" s="153" t="str">
        <f>IF(ISBLANK('4. Billing Determinants'!$B23), "", '4. Billing Determinants'!$B23)</f>
        <v>GENERAL SERVICE &gt; 50 KW TO 4,999 KW</v>
      </c>
      <c r="C22" s="74" t="s">
        <v>298</v>
      </c>
      <c r="D22" s="154">
        <f>IF(C22="", 0, IF(C22="kWh", '4. Billing Determinants'!E23, IF(C22="kW", '4. Billing Determinants'!F23, '4. Billing Determinants'!D23)))</f>
        <v>176744</v>
      </c>
      <c r="E22" s="155">
        <f>HLOOKUP($B22, '5. Allocation of Balances'!$D$4:$Z$56, 43,FALSE)</f>
        <v>199525.49581069883</v>
      </c>
      <c r="F22" s="156">
        <f t="shared" si="0"/>
        <v>0.56444772046207747</v>
      </c>
      <c r="G22" s="157" t="str">
        <f t="shared" si="1"/>
        <v>$/kW</v>
      </c>
    </row>
    <row r="23" spans="2:9" x14ac:dyDescent="0.25">
      <c r="B23" s="153" t="str">
        <f>IF(ISBLANK('4. Billing Determinants'!$B24), "", '4. Billing Determinants'!$B24)</f>
        <v>SENTINEL LIGHTING</v>
      </c>
      <c r="C23" s="74" t="s">
        <v>298</v>
      </c>
      <c r="D23" s="154">
        <f>IF(C23="", 0, IF(C23="kWh", '4. Billing Determinants'!E24, IF(C23="kW", '4. Billing Determinants'!F24, '4. Billing Determinants'!D24)))</f>
        <v>286.28122226821648</v>
      </c>
      <c r="E23" s="155">
        <f>HLOOKUP($B23, '5. Allocation of Balances'!$D$4:$Z$56, 43,FALSE)</f>
        <v>269.254227890067</v>
      </c>
      <c r="F23" s="156">
        <f t="shared" si="0"/>
        <v>0.47026176875443665</v>
      </c>
      <c r="G23" s="157" t="str">
        <f t="shared" si="1"/>
        <v>$/kW</v>
      </c>
    </row>
    <row r="24" spans="2:9" x14ac:dyDescent="0.25">
      <c r="B24" s="153" t="str">
        <f>IF(ISBLANK('4. Billing Determinants'!$B25), "", '4. Billing Determinants'!$B25)</f>
        <v>STREET LIGHTING</v>
      </c>
      <c r="C24" s="74" t="s">
        <v>298</v>
      </c>
      <c r="D24" s="154">
        <f>IF(C24="", 0, IF(C24="kWh", '4. Billing Determinants'!E25, IF(C24="kW", '4. Billing Determinants'!F25, '4. Billing Determinants'!D25)))</f>
        <v>1598.6472960042561</v>
      </c>
      <c r="E24" s="155">
        <f>HLOOKUP($B24, '5. Allocation of Balances'!$D$4:$Z$56, 43,FALSE)</f>
        <v>1915.6197139784567</v>
      </c>
      <c r="F24" s="156">
        <f t="shared" si="0"/>
        <v>0.5991376955900336</v>
      </c>
      <c r="G24" s="157" t="str">
        <f t="shared" si="1"/>
        <v>$/kW</v>
      </c>
    </row>
    <row r="25" spans="2:9" x14ac:dyDescent="0.25">
      <c r="B25" s="153" t="str">
        <f>IF(ISBLANK('4. Billing Determinants'!$B26), "", '4. Billing Determinants'!$B26)</f>
        <v>UNMETERED SCATTERED LOAD</v>
      </c>
      <c r="C25" s="74" t="s">
        <v>189</v>
      </c>
      <c r="D25" s="154">
        <f>IF(C25="", 0, IF(C25="kWh", '4. Billing Determinants'!E26, IF(C25="kW", '4. Billing Determinants'!F26, '4. Billing Determinants'!D26)))</f>
        <v>461015.01227876113</v>
      </c>
      <c r="E25" s="155">
        <f>HLOOKUP($B25, '5. Allocation of Balances'!$D$4:$Z$56, 43,FALSE)</f>
        <v>1711.9544183025407</v>
      </c>
      <c r="F25" s="156">
        <f t="shared" si="0"/>
        <v>1.8567230705139992E-3</v>
      </c>
      <c r="G25" s="157" t="str">
        <f t="shared" si="1"/>
        <v>$/kWh</v>
      </c>
    </row>
    <row r="26" spans="2:9" x14ac:dyDescent="0.25">
      <c r="B26" s="153" t="str">
        <f>IF(ISBLANK('4. Billing Determinants'!$B27), "", '4. Billing Determinants'!$B27)</f>
        <v/>
      </c>
      <c r="C26" s="74" t="s">
        <v>298</v>
      </c>
      <c r="D26" s="154">
        <f>IF(C26="", 0, IF(C26="kWh", '4. Billing Determinants'!E27, IF(C26="kW", '4. Billing Determinants'!F27, '4. Billing Determinants'!D27)))</f>
        <v>0</v>
      </c>
      <c r="E26" s="155">
        <f>HLOOKUP($B26, '5. Allocation of Balances'!$D$4:$Z$56, 43,FALSE)</f>
        <v>0</v>
      </c>
      <c r="F26" s="156">
        <f t="shared" si="0"/>
        <v>0</v>
      </c>
      <c r="G26" s="157" t="str">
        <f t="shared" si="1"/>
        <v>$/kW</v>
      </c>
    </row>
    <row r="27" spans="2:9" x14ac:dyDescent="0.25">
      <c r="B27" s="153" t="str">
        <f>IF(ISBLANK('4. Billing Determinants'!$B28), "", '4. Billing Determinants'!$B28)</f>
        <v/>
      </c>
      <c r="C27" s="74" t="s">
        <v>298</v>
      </c>
      <c r="D27" s="154">
        <f>IF(C27="", 0, IF(C27="kWh", '4. Billing Determinants'!E28, IF(C27="kW", '4. Billing Determinants'!F28, '4. Billing Determinants'!D28)))</f>
        <v>0</v>
      </c>
      <c r="E27" s="155">
        <f>HLOOKUP($B27, '5. Allocation of Balances'!$D$4:$Z$56, 43,FALSE)</f>
        <v>0</v>
      </c>
      <c r="F27" s="156">
        <f t="shared" si="0"/>
        <v>0</v>
      </c>
      <c r="G27" s="157" t="str">
        <f t="shared" si="1"/>
        <v>$/kW</v>
      </c>
    </row>
    <row r="28" spans="2:9" x14ac:dyDescent="0.25">
      <c r="B28" s="153" t="str">
        <f>IF(ISBLANK('4. Billing Determinants'!$B29), "", '4. Billing Determinants'!$B29)</f>
        <v/>
      </c>
      <c r="C28" s="74" t="str">
        <f>IF(ISBLANK('4. Billing Determinants'!C29), "", '4. Billing Determinants'!C29)</f>
        <v/>
      </c>
      <c r="D28" s="154">
        <f>IF(C28="", 0, IF(C28="kWh", '4. Billing Determinants'!E29, IF(C28="kW", '4. Billing Determinants'!F29, '4. Billing Determinants'!D29)))</f>
        <v>0</v>
      </c>
      <c r="E28" s="155">
        <f>HLOOKUP($B28, '5. Allocation of Balances'!$D$4:$Z$56, 43,FALSE)</f>
        <v>0</v>
      </c>
      <c r="F28" s="156">
        <f t="shared" si="0"/>
        <v>0</v>
      </c>
      <c r="G28" s="157" t="str">
        <f t="shared" si="1"/>
        <v/>
      </c>
    </row>
    <row r="29" spans="2:9" x14ac:dyDescent="0.25">
      <c r="B29" s="153" t="str">
        <f>IF(ISBLANK('4. Billing Determinants'!$B30), "", '4. Billing Determinants'!$B30)</f>
        <v/>
      </c>
      <c r="C29" s="74" t="str">
        <f>IF(ISBLANK('4. Billing Determinants'!C30), "", '4. Billing Determinants'!C30)</f>
        <v/>
      </c>
      <c r="D29" s="154">
        <f>IF(C29="", 0, IF(C29="kWh", '4. Billing Determinants'!E30, IF(C29="kW", '4. Billing Determinants'!F30, '4. Billing Determinants'!D30)))</f>
        <v>0</v>
      </c>
      <c r="E29" s="155">
        <f>HLOOKUP($B29, '5. Allocation of Balances'!$D$4:$Z$56, 43,FALSE)</f>
        <v>0</v>
      </c>
      <c r="F29" s="156">
        <f t="shared" si="0"/>
        <v>0</v>
      </c>
      <c r="G29" s="157" t="str">
        <f t="shared" si="1"/>
        <v/>
      </c>
    </row>
    <row r="30" spans="2:9" x14ac:dyDescent="0.25">
      <c r="B30" s="153" t="str">
        <f>IF(ISBLANK('4. Billing Determinants'!$B31), "", '4. Billing Determinants'!$B31)</f>
        <v/>
      </c>
      <c r="C30" s="74" t="str">
        <f>IF(ISBLANK('4. Billing Determinants'!C31), "", '4. Billing Determinants'!C31)</f>
        <v/>
      </c>
      <c r="D30" s="154">
        <f>IF(C30="", 0, IF(C30="kWh", '4. Billing Determinants'!E31, IF(C30="kW", '4. Billing Determinants'!F31, '4. Billing Determinants'!D31)))</f>
        <v>0</v>
      </c>
      <c r="E30" s="155">
        <f>HLOOKUP($B30, '5. Allocation of Balances'!$D$4:$Z$56, 43,FALSE)</f>
        <v>0</v>
      </c>
      <c r="F30" s="156">
        <f t="shared" si="0"/>
        <v>0</v>
      </c>
      <c r="G30" s="157" t="str">
        <f t="shared" si="1"/>
        <v/>
      </c>
    </row>
    <row r="31" spans="2:9" x14ac:dyDescent="0.25">
      <c r="B31" s="153" t="str">
        <f>IF(ISBLANK('4. Billing Determinants'!$B32), "", '4. Billing Determinants'!$B32)</f>
        <v/>
      </c>
      <c r="C31" s="74" t="str">
        <f>IF(ISBLANK('4. Billing Determinants'!C32), "", '4. Billing Determinants'!C32)</f>
        <v/>
      </c>
      <c r="D31" s="154">
        <f>IF(C31="", 0, IF(C31="kWh", '4. Billing Determinants'!E32, IF(C31="kW", '4. Billing Determinants'!F32, '4. Billing Determinants'!D32)))</f>
        <v>0</v>
      </c>
      <c r="E31" s="155">
        <f>HLOOKUP($B31, '5. Allocation of Balances'!$D$4:$Z$56, 43,FALSE)</f>
        <v>0</v>
      </c>
      <c r="F31" s="156">
        <f t="shared" si="0"/>
        <v>0</v>
      </c>
      <c r="G31" s="157" t="str">
        <f t="shared" si="1"/>
        <v/>
      </c>
    </row>
    <row r="32" spans="2:9" x14ac:dyDescent="0.25">
      <c r="B32" s="153" t="str">
        <f>IF(ISBLANK('4. Billing Determinants'!$B33), "", '4. Billing Determinants'!$B33)</f>
        <v/>
      </c>
      <c r="C32" s="74" t="str">
        <f>IF(ISBLANK('4. Billing Determinants'!C33), "", '4. Billing Determinants'!C33)</f>
        <v/>
      </c>
      <c r="D32" s="154">
        <f>IF(C32="", 0, IF(C32="kWh", '4. Billing Determinants'!E33, IF(C32="kW", '4. Billing Determinants'!F33, '4. Billing Determinants'!D33)))</f>
        <v>0</v>
      </c>
      <c r="E32" s="155">
        <f>HLOOKUP($B32, '5. Allocation of Balances'!$D$4:$Z$56, 43,FALSE)</f>
        <v>0</v>
      </c>
      <c r="F32" s="156">
        <f t="shared" si="0"/>
        <v>0</v>
      </c>
      <c r="G32" s="157" t="str">
        <f t="shared" si="1"/>
        <v/>
      </c>
    </row>
    <row r="33" spans="2:9" x14ac:dyDescent="0.25">
      <c r="B33" s="153" t="str">
        <f>IF(ISBLANK('4. Billing Determinants'!$B34), "", '4. Billing Determinants'!$B34)</f>
        <v/>
      </c>
      <c r="C33" s="74" t="str">
        <f>IF(ISBLANK('4. Billing Determinants'!C34), "", '4. Billing Determinants'!C34)</f>
        <v/>
      </c>
      <c r="D33" s="154">
        <f>IF(C33="", 0, IF(C33="kWh", '4. Billing Determinants'!E34, IF(C33="kW", '4. Billing Determinants'!F34, '4. Billing Determinants'!D34)))</f>
        <v>0</v>
      </c>
      <c r="E33" s="155">
        <f>HLOOKUP($B33, '5. Allocation of Balances'!$D$4:$Z$56, 43,FALSE)</f>
        <v>0</v>
      </c>
      <c r="F33" s="156">
        <f t="shared" si="0"/>
        <v>0</v>
      </c>
      <c r="G33" s="157" t="str">
        <f t="shared" si="1"/>
        <v/>
      </c>
    </row>
    <row r="34" spans="2:9" x14ac:dyDescent="0.25">
      <c r="B34" s="153" t="str">
        <f>IF(ISBLANK('4. Billing Determinants'!$B35), "", '4. Billing Determinants'!$B35)</f>
        <v/>
      </c>
      <c r="C34" s="74" t="str">
        <f>IF(ISBLANK('4. Billing Determinants'!C35), "", '4. Billing Determinants'!C35)</f>
        <v/>
      </c>
      <c r="D34" s="154">
        <f>IF(C34="", 0, IF(C34="kWh", '4. Billing Determinants'!E35, IF(C34="kW", '4. Billing Determinants'!F35, '4. Billing Determinants'!D35)))</f>
        <v>0</v>
      </c>
      <c r="E34" s="155">
        <f>HLOOKUP($B34, '5. Allocation of Balances'!$D$4:$Z$56, 43,FALSE)</f>
        <v>0</v>
      </c>
      <c r="F34" s="156">
        <f t="shared" si="0"/>
        <v>0</v>
      </c>
      <c r="G34" s="157" t="str">
        <f t="shared" si="1"/>
        <v/>
      </c>
    </row>
    <row r="35" spans="2:9" x14ac:dyDescent="0.25">
      <c r="B35" s="153" t="str">
        <f>IF(ISBLANK('4. Billing Determinants'!$B36), "", '4. Billing Determinants'!$B36)</f>
        <v/>
      </c>
      <c r="C35" s="74" t="str">
        <f>IF(ISBLANK('4. Billing Determinants'!C36), "", '4. Billing Determinants'!C36)</f>
        <v/>
      </c>
      <c r="D35" s="154">
        <f>IF(C35="", 0, IF(C35="kWh", '4. Billing Determinants'!E36, IF(C35="kW", '4. Billing Determinants'!F36, '4. Billing Determinants'!D36)))</f>
        <v>0</v>
      </c>
      <c r="E35" s="155">
        <f>HLOOKUP($B35, '5. Allocation of Balances'!$D$4:$Z$56, 43,FALSE)</f>
        <v>0</v>
      </c>
      <c r="F35" s="156">
        <f t="shared" si="0"/>
        <v>0</v>
      </c>
      <c r="G35" s="157" t="str">
        <f t="shared" si="1"/>
        <v/>
      </c>
    </row>
    <row r="36" spans="2:9" x14ac:dyDescent="0.25">
      <c r="B36" s="153" t="str">
        <f>IF(ISBLANK('4. Billing Determinants'!$B37), "", '4. Billing Determinants'!$B37)</f>
        <v/>
      </c>
      <c r="C36" s="74" t="str">
        <f>IF(ISBLANK('4. Billing Determinants'!C37), "", '4. Billing Determinants'!C37)</f>
        <v/>
      </c>
      <c r="D36" s="154">
        <f>IF(C36="", 0, IF(C36="kWh", '4. Billing Determinants'!E37, IF(C36="kW", '4. Billing Determinants'!F37, '4. Billing Determinants'!D37)))</f>
        <v>0</v>
      </c>
      <c r="E36" s="155">
        <f>HLOOKUP($B36, '5. Allocation of Balances'!$D$4:$Z$56, 43,FALSE)</f>
        <v>0</v>
      </c>
      <c r="F36" s="156">
        <f t="shared" si="0"/>
        <v>0</v>
      </c>
      <c r="G36" s="157" t="str">
        <f t="shared" si="1"/>
        <v/>
      </c>
    </row>
    <row r="37" spans="2:9" x14ac:dyDescent="0.25">
      <c r="B37" s="153" t="str">
        <f>IF(ISBLANK('4. Billing Determinants'!$B38), "", '4. Billing Determinants'!$B38)</f>
        <v/>
      </c>
      <c r="C37" s="74" t="str">
        <f>IF(ISBLANK('4. Billing Determinants'!C38), "", '4. Billing Determinants'!C38)</f>
        <v/>
      </c>
      <c r="D37" s="154">
        <f>IF(C37="", 0, IF(C37="kWh", '4. Billing Determinants'!E38, IF(C37="kW", '4. Billing Determinants'!F38, '4. Billing Determinants'!D38)))</f>
        <v>0</v>
      </c>
      <c r="E37" s="155">
        <f>HLOOKUP($B37, '5. Allocation of Balances'!$D$4:$Z$56, 43,FALSE)</f>
        <v>0</v>
      </c>
      <c r="F37" s="156">
        <f t="shared" si="0"/>
        <v>0</v>
      </c>
      <c r="G37" s="157" t="str">
        <f t="shared" si="1"/>
        <v/>
      </c>
    </row>
    <row r="38" spans="2:9" x14ac:dyDescent="0.25">
      <c r="B38" s="153" t="str">
        <f>IF(ISBLANK('4. Billing Determinants'!$B39), "", '4. Billing Determinants'!$B39)</f>
        <v/>
      </c>
      <c r="C38" s="74" t="str">
        <f>IF(ISBLANK('4. Billing Determinants'!C39), "", '4. Billing Determinants'!C39)</f>
        <v/>
      </c>
      <c r="D38" s="154">
        <f>IF(C38="", 0, IF(C38="kWh", '4. Billing Determinants'!E39, IF(C38="kW", '4. Billing Determinants'!F39, '4. Billing Determinants'!D39)))</f>
        <v>0</v>
      </c>
      <c r="E38" s="155">
        <f>HLOOKUP($B38, '5. Allocation of Balances'!$D$4:$Z$56, 43,FALSE)</f>
        <v>0</v>
      </c>
      <c r="F38" s="156">
        <f t="shared" si="0"/>
        <v>0</v>
      </c>
      <c r="G38" s="157" t="str">
        <f t="shared" si="1"/>
        <v/>
      </c>
      <c r="I38" s="158"/>
    </row>
    <row r="39" spans="2:9" x14ac:dyDescent="0.25">
      <c r="B39" s="153" t="str">
        <f>IF(ISBLANK('4. Billing Determinants'!$B40), "", '4. Billing Determinants'!$B40)</f>
        <v/>
      </c>
      <c r="C39" s="74" t="str">
        <f>IF(ISBLANK('4. Billing Determinants'!C40), "", '4. Billing Determinants'!C40)</f>
        <v/>
      </c>
      <c r="D39" s="154">
        <f>IF(C39="", 0, IF(C39="kWh", '4. Billing Determinants'!E40, IF(C39="kW", '4. Billing Determinants'!F40, '4. Billing Determinants'!D40)))</f>
        <v>0</v>
      </c>
      <c r="E39" s="155">
        <f>HLOOKUP($B39, '5. Allocation of Balances'!$D$4:$Z$56, 43,FALSE)</f>
        <v>0</v>
      </c>
      <c r="F39" s="156">
        <f t="shared" si="0"/>
        <v>0</v>
      </c>
      <c r="G39" s="157" t="str">
        <f t="shared" si="1"/>
        <v/>
      </c>
    </row>
    <row r="40" spans="2:9" x14ac:dyDescent="0.25">
      <c r="B40" s="159" t="s">
        <v>63</v>
      </c>
      <c r="C40" s="160"/>
      <c r="D40" s="161"/>
      <c r="E40" s="162">
        <f>SUM(E20:E39)</f>
        <v>774972.60519179993</v>
      </c>
      <c r="F40" s="159"/>
    </row>
    <row r="42" spans="2:9" ht="15.6" x14ac:dyDescent="0.3">
      <c r="B42" s="163" t="s">
        <v>224</v>
      </c>
    </row>
    <row r="43" spans="2:9" x14ac:dyDescent="0.25">
      <c r="B43" s="152" t="s">
        <v>214</v>
      </c>
    </row>
    <row r="44" spans="2:9" ht="12.75" customHeight="1" x14ac:dyDescent="0.25">
      <c r="B44" s="471" t="s">
        <v>72</v>
      </c>
      <c r="C44" s="470" t="s">
        <v>62</v>
      </c>
      <c r="D44" s="497" t="s">
        <v>79</v>
      </c>
      <c r="E44" s="497" t="s">
        <v>96</v>
      </c>
      <c r="F44" s="499" t="s">
        <v>77</v>
      </c>
    </row>
    <row r="45" spans="2:9" ht="27" customHeight="1" x14ac:dyDescent="0.25">
      <c r="B45" s="472"/>
      <c r="C45" s="470"/>
      <c r="D45" s="498"/>
      <c r="E45" s="498"/>
      <c r="F45" s="499"/>
    </row>
    <row r="46" spans="2:9" x14ac:dyDescent="0.25">
      <c r="B46" s="153" t="str">
        <f>IF(ISBLANK('4. Billing Determinants'!B21), "", '4. Billing Determinants'!B21)</f>
        <v>RESIDENTIAL</v>
      </c>
      <c r="C46" s="74" t="s">
        <v>189</v>
      </c>
      <c r="D46" s="154">
        <f>IF(C46="", 0, IF(C46="kWh", '4. Billing Determinants'!L21, IF(C46="kW", '4. Billing Determinants'!M21, '4. Billing Determinants'!D21)))</f>
        <v>145847424</v>
      </c>
      <c r="E46" s="155">
        <f>HLOOKUP($B46, '5. Allocation of Balances'!$D$4:$Z$56, 44,FALSE)</f>
        <v>-325636.41171955829</v>
      </c>
      <c r="F46" s="156">
        <f>IF(ISERROR(E46/D46), 0, IF(C46="# of Customers", E46/D46/12/$D$13, E46/D46/$D$13))</f>
        <v>-1.1163598327234023E-3</v>
      </c>
      <c r="G46" s="157" t="str">
        <f>IF(C46="", "", IF(C46="# of Customers", "per customer per month", "$/"&amp;C46))</f>
        <v>$/kWh</v>
      </c>
    </row>
    <row r="47" spans="2:9" x14ac:dyDescent="0.25">
      <c r="B47" s="153" t="str">
        <f>IF(ISBLANK('4. Billing Determinants'!B22), "", '4. Billing Determinants'!B22)</f>
        <v>GENERAL SERVICE &lt; 50 KW</v>
      </c>
      <c r="C47" s="74" t="s">
        <v>189</v>
      </c>
      <c r="D47" s="154">
        <f>IF(C47="", 0, IF(C47="kWh", '4. Billing Determinants'!L22, IF(C47="kW", '4. Billing Determinants'!M22, '4. Billing Determinants'!D22)))</f>
        <v>31828340</v>
      </c>
      <c r="E47" s="155">
        <f>HLOOKUP($B47, '5. Allocation of Balances'!$D$4:$Z$56, 44,FALSE)</f>
        <v>-71063.760636527149</v>
      </c>
      <c r="F47" s="156">
        <f t="shared" ref="F47:F65" si="2">IF(ISERROR(E47/D47), 0, IF(C47="# of Customers", E47/D47/12/$D$13, E47/D47/$D$13))</f>
        <v>-1.1163598327234023E-3</v>
      </c>
      <c r="G47" s="157" t="str">
        <f t="shared" ref="G47:G65" si="3">IF(C47="", "", IF(C47="# of Customers", "per customer per month", "$/"&amp;C47))</f>
        <v>$/kWh</v>
      </c>
    </row>
    <row r="48" spans="2:9" x14ac:dyDescent="0.25">
      <c r="B48" s="153" t="str">
        <f>IF(ISBLANK('4. Billing Determinants'!B23), "", '4. Billing Determinants'!B23)</f>
        <v>GENERAL SERVICE &gt; 50 KW TO 4,999 KW</v>
      </c>
      <c r="C48" s="74" t="s">
        <v>298</v>
      </c>
      <c r="D48" s="154">
        <f>IF(C48="", 0, IF(C48="kWh", '4. Billing Determinants'!L23, IF(C48="kW", '4. Billing Determinants'!M23, '4. Billing Determinants'!D23)))</f>
        <v>176744</v>
      </c>
      <c r="E48" s="155">
        <f>HLOOKUP($B48, '5. Allocation of Balances'!$D$4:$Z$56, 44,FALSE)</f>
        <v>-142366.92017374252</v>
      </c>
      <c r="F48" s="156">
        <f t="shared" si="2"/>
        <v>-0.40274894812198014</v>
      </c>
      <c r="G48" s="157" t="str">
        <f t="shared" si="3"/>
        <v>$/kW</v>
      </c>
    </row>
    <row r="49" spans="2:9" x14ac:dyDescent="0.25">
      <c r="B49" s="153" t="str">
        <f>IF(ISBLANK('4. Billing Determinants'!B24), "", '4. Billing Determinants'!B24)</f>
        <v>SENTINEL LIGHTING</v>
      </c>
      <c r="C49" s="74" t="s">
        <v>298</v>
      </c>
      <c r="D49" s="154">
        <f>IF(C49="", 0, IF(C49="kWh", '4. Billing Determinants'!L24, IF(C49="kW", '4. Billing Determinants'!M24, '4. Billing Determinants'!D24)))</f>
        <v>286.28122226821648</v>
      </c>
      <c r="E49" s="155">
        <f>HLOOKUP($B49, '5. Allocation of Balances'!$D$4:$Z$56, 44,FALSE)</f>
        <v>-230.08546463493471</v>
      </c>
      <c r="F49" s="156">
        <f t="shared" si="2"/>
        <v>-0.4018521767022637</v>
      </c>
      <c r="G49" s="157" t="str">
        <f t="shared" si="3"/>
        <v>$/kW</v>
      </c>
    </row>
    <row r="50" spans="2:9" x14ac:dyDescent="0.25">
      <c r="B50" s="153" t="str">
        <f>IF(ISBLANK('4. Billing Determinants'!B25), "", '4. Billing Determinants'!B25)</f>
        <v>STREET LIGHTING</v>
      </c>
      <c r="C50" s="74" t="s">
        <v>298</v>
      </c>
      <c r="D50" s="154">
        <f>IF(C50="", 0, IF(C50="kWh", '4. Billing Determinants'!L25, IF(C50="kW", '4. Billing Determinants'!M25, '4. Billing Determinants'!D25)))</f>
        <v>1598.6472960042561</v>
      </c>
      <c r="E50" s="155">
        <f>HLOOKUP($B50, '5. Allocation of Balances'!$D$4:$Z$56, 44,FALSE)</f>
        <v>-1253.054721556103</v>
      </c>
      <c r="F50" s="156">
        <f t="shared" si="2"/>
        <v>-0.39191093766838203</v>
      </c>
      <c r="G50" s="157" t="str">
        <f t="shared" si="3"/>
        <v>$/kW</v>
      </c>
    </row>
    <row r="51" spans="2:9" x14ac:dyDescent="0.25">
      <c r="B51" s="153" t="str">
        <f>IF(ISBLANK('4. Billing Determinants'!B26), "", '4. Billing Determinants'!B26)</f>
        <v>UNMETERED SCATTERED LOAD</v>
      </c>
      <c r="C51" s="74" t="s">
        <v>189</v>
      </c>
      <c r="D51" s="154">
        <f>IF(C51="", 0, IF(C51="kWh", '4. Billing Determinants'!L26, IF(C51="kW", '4. Billing Determinants'!M26, '4. Billing Determinants'!D26)))</f>
        <v>461015.01227876113</v>
      </c>
      <c r="E51" s="155">
        <f>HLOOKUP($B51, '5. Allocation of Balances'!$D$4:$Z$56, 44,FALSE)</f>
        <v>-1029.3172839809902</v>
      </c>
      <c r="F51" s="156">
        <f t="shared" si="2"/>
        <v>-1.1163598327234023E-3</v>
      </c>
      <c r="G51" s="157" t="str">
        <f t="shared" si="3"/>
        <v>$/kWh</v>
      </c>
    </row>
    <row r="52" spans="2:9" x14ac:dyDescent="0.25">
      <c r="B52" s="153" t="str">
        <f>IF(ISBLANK('4. Billing Determinants'!B27), "", '4. Billing Determinants'!B27)</f>
        <v/>
      </c>
      <c r="C52" s="74" t="s">
        <v>298</v>
      </c>
      <c r="D52" s="154">
        <f>IF(C52="", 0, IF(C52="kWh", '4. Billing Determinants'!L27, IF(C52="kW", '4. Billing Determinants'!M27, '4. Billing Determinants'!D27)))</f>
        <v>0</v>
      </c>
      <c r="E52" s="155">
        <f>HLOOKUP($B52, '5. Allocation of Balances'!$D$4:$Z$56, 44,FALSE)</f>
        <v>0</v>
      </c>
      <c r="F52" s="156">
        <f t="shared" si="2"/>
        <v>0</v>
      </c>
      <c r="G52" s="157" t="str">
        <f t="shared" si="3"/>
        <v>$/kW</v>
      </c>
    </row>
    <row r="53" spans="2:9" x14ac:dyDescent="0.25">
      <c r="B53" s="153" t="str">
        <f>IF(ISBLANK('4. Billing Determinants'!B28), "", '4. Billing Determinants'!B28)</f>
        <v/>
      </c>
      <c r="C53" s="74" t="s">
        <v>298</v>
      </c>
      <c r="D53" s="154">
        <f>IF(C53="", 0, IF(C53="kWh", '4. Billing Determinants'!L28, IF(C53="kW", '4. Billing Determinants'!M28, '4. Billing Determinants'!D28)))</f>
        <v>0</v>
      </c>
      <c r="E53" s="155">
        <f>HLOOKUP($B53, '5. Allocation of Balances'!$D$4:$Z$56, 44,FALSE)</f>
        <v>0</v>
      </c>
      <c r="F53" s="156">
        <f t="shared" si="2"/>
        <v>0</v>
      </c>
      <c r="G53" s="157" t="str">
        <f t="shared" si="3"/>
        <v>$/kW</v>
      </c>
    </row>
    <row r="54" spans="2:9" x14ac:dyDescent="0.25">
      <c r="B54" s="153" t="str">
        <f>IF(ISBLANK('4. Billing Determinants'!B29), "", '4. Billing Determinants'!B29)</f>
        <v/>
      </c>
      <c r="C54" s="74" t="str">
        <f>IF(ISBLANK('4. Billing Determinants'!C29), "", '4. Billing Determinants'!C29)</f>
        <v/>
      </c>
      <c r="D54" s="154">
        <f>IF(C54="", 0, IF(C54="kWh", '4. Billing Determinants'!L29, IF(C54="kW", '4. Billing Determinants'!M29, '4. Billing Determinants'!D29)))</f>
        <v>0</v>
      </c>
      <c r="E54" s="155">
        <f>HLOOKUP($B54, '5. Allocation of Balances'!$D$4:$Z$56, 44,FALSE)</f>
        <v>0</v>
      </c>
      <c r="F54" s="156">
        <f t="shared" si="2"/>
        <v>0</v>
      </c>
      <c r="G54" s="157" t="str">
        <f t="shared" si="3"/>
        <v/>
      </c>
    </row>
    <row r="55" spans="2:9" x14ac:dyDescent="0.25">
      <c r="B55" s="153" t="str">
        <f>IF(ISBLANK('4. Billing Determinants'!B30), "", '4. Billing Determinants'!B30)</f>
        <v/>
      </c>
      <c r="C55" s="74" t="str">
        <f>IF(ISBLANK('4. Billing Determinants'!C30), "", '4. Billing Determinants'!C30)</f>
        <v/>
      </c>
      <c r="D55" s="154">
        <f>IF(C55="", 0, IF(C55="kWh", '4. Billing Determinants'!L30, IF(C55="kW", '4. Billing Determinants'!M30, '4. Billing Determinants'!D30)))</f>
        <v>0</v>
      </c>
      <c r="E55" s="155">
        <f>HLOOKUP($B55, '5. Allocation of Balances'!$D$4:$Z$56, 44,FALSE)</f>
        <v>0</v>
      </c>
      <c r="F55" s="156">
        <f t="shared" si="2"/>
        <v>0</v>
      </c>
      <c r="G55" s="157" t="str">
        <f t="shared" si="3"/>
        <v/>
      </c>
    </row>
    <row r="56" spans="2:9" x14ac:dyDescent="0.25">
      <c r="B56" s="153" t="str">
        <f>IF(ISBLANK('4. Billing Determinants'!B31), "", '4. Billing Determinants'!B31)</f>
        <v/>
      </c>
      <c r="C56" s="74" t="str">
        <f>IF(ISBLANK('4. Billing Determinants'!C31), "", '4. Billing Determinants'!C31)</f>
        <v/>
      </c>
      <c r="D56" s="154">
        <f>IF(C56="", 0, IF(C56="kWh", '4. Billing Determinants'!L31, IF(C56="kW", '4. Billing Determinants'!M31, '4. Billing Determinants'!D31)))</f>
        <v>0</v>
      </c>
      <c r="E56" s="155">
        <f>HLOOKUP($B56, '5. Allocation of Balances'!$D$4:$Z$56, 44,FALSE)</f>
        <v>0</v>
      </c>
      <c r="F56" s="156">
        <f t="shared" si="2"/>
        <v>0</v>
      </c>
      <c r="G56" s="157" t="str">
        <f t="shared" si="3"/>
        <v/>
      </c>
    </row>
    <row r="57" spans="2:9" x14ac:dyDescent="0.25">
      <c r="B57" s="153" t="str">
        <f>IF(ISBLANK('4. Billing Determinants'!B32), "", '4. Billing Determinants'!B32)</f>
        <v/>
      </c>
      <c r="C57" s="74" t="str">
        <f>IF(ISBLANK('4. Billing Determinants'!C32), "", '4. Billing Determinants'!C32)</f>
        <v/>
      </c>
      <c r="D57" s="154">
        <f>IF(C57="", 0, IF(C57="kWh", '4. Billing Determinants'!L32, IF(C57="kW", '4. Billing Determinants'!M32, '4. Billing Determinants'!D32)))</f>
        <v>0</v>
      </c>
      <c r="E57" s="155">
        <f>HLOOKUP($B57, '5. Allocation of Balances'!$D$4:$Z$56, 44,FALSE)</f>
        <v>0</v>
      </c>
      <c r="F57" s="156">
        <f t="shared" si="2"/>
        <v>0</v>
      </c>
      <c r="G57" s="157" t="str">
        <f t="shared" si="3"/>
        <v/>
      </c>
    </row>
    <row r="58" spans="2:9" x14ac:dyDescent="0.25">
      <c r="B58" s="153" t="str">
        <f>IF(ISBLANK('4. Billing Determinants'!B33), "", '4. Billing Determinants'!B33)</f>
        <v/>
      </c>
      <c r="C58" s="74" t="str">
        <f>IF(ISBLANK('4. Billing Determinants'!C33), "", '4. Billing Determinants'!C33)</f>
        <v/>
      </c>
      <c r="D58" s="154">
        <f>IF(C58="", 0, IF(C58="kWh", '4. Billing Determinants'!L33, IF(C58="kW", '4. Billing Determinants'!M33, '4. Billing Determinants'!D33)))</f>
        <v>0</v>
      </c>
      <c r="E58" s="155">
        <f>HLOOKUP($B58, '5. Allocation of Balances'!$D$4:$Z$56, 44,FALSE)</f>
        <v>0</v>
      </c>
      <c r="F58" s="156">
        <f t="shared" si="2"/>
        <v>0</v>
      </c>
      <c r="G58" s="157" t="str">
        <f t="shared" si="3"/>
        <v/>
      </c>
    </row>
    <row r="59" spans="2:9" x14ac:dyDescent="0.25">
      <c r="B59" s="153" t="str">
        <f>IF(ISBLANK('4. Billing Determinants'!B34), "", '4. Billing Determinants'!B34)</f>
        <v/>
      </c>
      <c r="C59" s="74" t="str">
        <f>IF(ISBLANK('4. Billing Determinants'!C34), "", '4. Billing Determinants'!C34)</f>
        <v/>
      </c>
      <c r="D59" s="154">
        <f>IF(C59="", 0, IF(C59="kWh", '4. Billing Determinants'!L34, IF(C59="kW", '4. Billing Determinants'!M34, '4. Billing Determinants'!D34)))</f>
        <v>0</v>
      </c>
      <c r="E59" s="155">
        <f>HLOOKUP($B59, '5. Allocation of Balances'!$D$4:$Z$56, 44,FALSE)</f>
        <v>0</v>
      </c>
      <c r="F59" s="156">
        <f t="shared" si="2"/>
        <v>0</v>
      </c>
      <c r="G59" s="157" t="str">
        <f t="shared" si="3"/>
        <v/>
      </c>
    </row>
    <row r="60" spans="2:9" x14ac:dyDescent="0.25">
      <c r="B60" s="153" t="str">
        <f>IF(ISBLANK('4. Billing Determinants'!B35), "", '4. Billing Determinants'!B35)</f>
        <v/>
      </c>
      <c r="C60" s="74" t="str">
        <f>IF(ISBLANK('4. Billing Determinants'!C35), "", '4. Billing Determinants'!C35)</f>
        <v/>
      </c>
      <c r="D60" s="154">
        <f>IF(C60="", 0, IF(C60="kWh", '4. Billing Determinants'!L35, IF(C60="kW", '4. Billing Determinants'!M35, '4. Billing Determinants'!D35)))</f>
        <v>0</v>
      </c>
      <c r="E60" s="155">
        <f>HLOOKUP($B60, '5. Allocation of Balances'!$D$4:$Z$56, 44,FALSE)</f>
        <v>0</v>
      </c>
      <c r="F60" s="156">
        <f t="shared" si="2"/>
        <v>0</v>
      </c>
      <c r="G60" s="157" t="str">
        <f t="shared" si="3"/>
        <v/>
      </c>
    </row>
    <row r="61" spans="2:9" x14ac:dyDescent="0.25">
      <c r="B61" s="153" t="str">
        <f>IF(ISBLANK('4. Billing Determinants'!B36), "", '4. Billing Determinants'!B36)</f>
        <v/>
      </c>
      <c r="C61" s="74" t="str">
        <f>IF(ISBLANK('4. Billing Determinants'!C36), "", '4. Billing Determinants'!C36)</f>
        <v/>
      </c>
      <c r="D61" s="154">
        <f>IF(C61="", 0, IF(C61="kWh", '4. Billing Determinants'!L36, IF(C61="kW", '4. Billing Determinants'!M36, '4. Billing Determinants'!D36)))</f>
        <v>0</v>
      </c>
      <c r="E61" s="155">
        <f>HLOOKUP($B61, '5. Allocation of Balances'!$D$4:$Z$56, 44,FALSE)</f>
        <v>0</v>
      </c>
      <c r="F61" s="156">
        <f t="shared" si="2"/>
        <v>0</v>
      </c>
      <c r="G61" s="157" t="str">
        <f t="shared" si="3"/>
        <v/>
      </c>
    </row>
    <row r="62" spans="2:9" x14ac:dyDescent="0.25">
      <c r="B62" s="153" t="str">
        <f>IF(ISBLANK('4. Billing Determinants'!B37), "", '4. Billing Determinants'!B37)</f>
        <v/>
      </c>
      <c r="C62" s="74" t="str">
        <f>IF(ISBLANK('4. Billing Determinants'!C37), "", '4. Billing Determinants'!C37)</f>
        <v/>
      </c>
      <c r="D62" s="154">
        <f>IF(C62="", 0, IF(C62="kWh", '4. Billing Determinants'!L37, IF(C62="kW", '4. Billing Determinants'!M37, '4. Billing Determinants'!D37)))</f>
        <v>0</v>
      </c>
      <c r="E62" s="155">
        <f>HLOOKUP($B62, '5. Allocation of Balances'!$D$4:$Z$56, 44,FALSE)</f>
        <v>0</v>
      </c>
      <c r="F62" s="156">
        <f t="shared" si="2"/>
        <v>0</v>
      </c>
      <c r="G62" s="157" t="str">
        <f t="shared" si="3"/>
        <v/>
      </c>
    </row>
    <row r="63" spans="2:9" x14ac:dyDescent="0.25">
      <c r="B63" s="153" t="str">
        <f>IF(ISBLANK('4. Billing Determinants'!B38), "", '4. Billing Determinants'!B38)</f>
        <v/>
      </c>
      <c r="C63" s="74" t="str">
        <f>IF(ISBLANK('4. Billing Determinants'!C38), "", '4. Billing Determinants'!C38)</f>
        <v/>
      </c>
      <c r="D63" s="154">
        <f>IF(C63="", 0, IF(C63="kWh", '4. Billing Determinants'!L38, IF(C63="kW", '4. Billing Determinants'!M38, '4. Billing Determinants'!D38)))</f>
        <v>0</v>
      </c>
      <c r="E63" s="155">
        <f>HLOOKUP($B63, '5. Allocation of Balances'!$D$4:$Z$56, 44,FALSE)</f>
        <v>0</v>
      </c>
      <c r="F63" s="156">
        <f t="shared" si="2"/>
        <v>0</v>
      </c>
      <c r="G63" s="157" t="str">
        <f t="shared" si="3"/>
        <v/>
      </c>
    </row>
    <row r="64" spans="2:9" x14ac:dyDescent="0.25">
      <c r="B64" s="153" t="str">
        <f>IF(ISBLANK('4. Billing Determinants'!B39), "", '4. Billing Determinants'!B39)</f>
        <v/>
      </c>
      <c r="C64" s="74" t="str">
        <f>IF(ISBLANK('4. Billing Determinants'!C39), "", '4. Billing Determinants'!C39)</f>
        <v/>
      </c>
      <c r="D64" s="154">
        <f>IF(C64="", 0, IF(C64="kWh", '4. Billing Determinants'!L39, IF(C64="kW", '4. Billing Determinants'!M39, '4. Billing Determinants'!D39)))</f>
        <v>0</v>
      </c>
      <c r="E64" s="155">
        <f>HLOOKUP($B64, '5. Allocation of Balances'!$D$4:$Z$56, 44,FALSE)</f>
        <v>0</v>
      </c>
      <c r="F64" s="156">
        <f t="shared" si="2"/>
        <v>0</v>
      </c>
      <c r="G64" s="157" t="str">
        <f t="shared" si="3"/>
        <v/>
      </c>
      <c r="I64" s="158"/>
    </row>
    <row r="65" spans="2:10" x14ac:dyDescent="0.25">
      <c r="B65" s="153" t="str">
        <f>IF(ISBLANK('4. Billing Determinants'!B40), "", '4. Billing Determinants'!B40)</f>
        <v/>
      </c>
      <c r="C65" s="74" t="str">
        <f>IF(ISBLANK('4. Billing Determinants'!C40), "", '4. Billing Determinants'!C40)</f>
        <v/>
      </c>
      <c r="D65" s="154">
        <f>IF(C65="", 0, IF(C65="kWh", '4. Billing Determinants'!L40, IF(C65="kW", '4. Billing Determinants'!M40, '4. Billing Determinants'!D40)))</f>
        <v>0</v>
      </c>
      <c r="E65" s="155">
        <f>HLOOKUP($B65, '5. Allocation of Balances'!$D$4:$Z$56, 44,FALSE)</f>
        <v>0</v>
      </c>
      <c r="F65" s="156">
        <f t="shared" si="2"/>
        <v>0</v>
      </c>
      <c r="G65" s="157" t="str">
        <f t="shared" si="3"/>
        <v/>
      </c>
    </row>
    <row r="66" spans="2:10" x14ac:dyDescent="0.25">
      <c r="B66" s="159" t="s">
        <v>63</v>
      </c>
      <c r="C66" s="160"/>
      <c r="D66" s="161"/>
      <c r="E66" s="162">
        <f>SUM(E46:E65)</f>
        <v>-541579.55000000005</v>
      </c>
      <c r="F66" s="159"/>
    </row>
    <row r="68" spans="2:10" ht="17.399999999999999" x14ac:dyDescent="0.3">
      <c r="B68" s="151" t="s">
        <v>169</v>
      </c>
    </row>
    <row r="69" spans="2:10" x14ac:dyDescent="0.25">
      <c r="B69" s="152" t="s">
        <v>220</v>
      </c>
    </row>
    <row r="70" spans="2:10" x14ac:dyDescent="0.25">
      <c r="B70" s="471" t="s">
        <v>72</v>
      </c>
      <c r="C70" s="470" t="s">
        <v>62</v>
      </c>
      <c r="D70" s="497" t="s">
        <v>189</v>
      </c>
      <c r="E70" s="497" t="s">
        <v>170</v>
      </c>
      <c r="F70" s="499" t="s">
        <v>171</v>
      </c>
    </row>
    <row r="71" spans="2:10" ht="54.75" customHeight="1" x14ac:dyDescent="0.25">
      <c r="B71" s="472"/>
      <c r="C71" s="470"/>
      <c r="D71" s="498"/>
      <c r="E71" s="498"/>
      <c r="F71" s="499"/>
      <c r="H71" s="164"/>
      <c r="I71" s="164"/>
    </row>
    <row r="72" spans="2:10" x14ac:dyDescent="0.25">
      <c r="B72" s="153" t="str">
        <f t="shared" ref="B72:B91" si="4">B20</f>
        <v>RESIDENTIAL</v>
      </c>
      <c r="C72" s="351" t="s">
        <v>189</v>
      </c>
      <c r="D72" s="154">
        <f>IF(C72="", 0, IF(C72="kWh", '4. Billing Determinants'!S21, IF(C72="kW", '4. Billing Determinants'!S21, '4. Billing Determinants'!D21)))</f>
        <v>8750845.4399999995</v>
      </c>
      <c r="E72" s="155">
        <f>HLOOKUP($B72, '5. Allocation of Balances'!$D$4:$Z$56, 45,FALSE)</f>
        <v>0</v>
      </c>
      <c r="F72" s="156">
        <f>IF(ISERROR(E72/D72), 0, IF(C72="# of Customers", E72/D72/12/$D$13, E72/D72/$D$13))</f>
        <v>0</v>
      </c>
      <c r="G72" s="157" t="str">
        <f>IF(C72="", "", IF(C72="# of Customers", "per customer per month", "$/"&amp;C72))</f>
        <v>$/kWh</v>
      </c>
      <c r="I72" s="201"/>
      <c r="J72" s="201"/>
    </row>
    <row r="73" spans="2:10" x14ac:dyDescent="0.25">
      <c r="B73" s="153" t="str">
        <f t="shared" si="4"/>
        <v>GENERAL SERVICE &lt; 50 KW</v>
      </c>
      <c r="C73" s="351" t="s">
        <v>189</v>
      </c>
      <c r="D73" s="154">
        <f>IF(C73="", 0, IF(C73="kWh", '4. Billing Determinants'!S22, IF(C73="kW", '4. Billing Determinants'!S22, '4. Billing Determinants'!D22)))</f>
        <v>5410817.8000000007</v>
      </c>
      <c r="E73" s="155">
        <f>HLOOKUP($B73, '5. Allocation of Balances'!$D$4:$Z$56, 45,FALSE)</f>
        <v>0</v>
      </c>
      <c r="F73" s="156">
        <f t="shared" ref="F73:F91" si="5">IF(ISERROR(E73/D73), 0, IF(C73="# of Customers", E73/D73/12/$D$13, E73/D73/$D$13))</f>
        <v>0</v>
      </c>
      <c r="G73" s="157" t="str">
        <f t="shared" ref="G73:G91" si="6">IF(C73="", "", IF(C73="# of Customers", "per customer per month", "$/"&amp;C73))</f>
        <v>$/kWh</v>
      </c>
      <c r="I73" s="201"/>
      <c r="J73" s="201"/>
    </row>
    <row r="74" spans="2:10" x14ac:dyDescent="0.25">
      <c r="B74" s="153" t="str">
        <f t="shared" si="4"/>
        <v>GENERAL SERVICE &gt; 50 KW TO 4,999 KW</v>
      </c>
      <c r="C74" s="351" t="s">
        <v>189</v>
      </c>
      <c r="D74" s="154">
        <f>IF(C74="", 0, IF(C74="kWh", '4. Billing Determinants'!S23, IF(C74="kW", '4. Billing Determinants'!S23, '4. Billing Determinants'!D23)))</f>
        <v>61213346.879999995</v>
      </c>
      <c r="E74" s="155">
        <f>HLOOKUP($B74, '5. Allocation of Balances'!$D$4:$Z$56, 45,FALSE)</f>
        <v>0</v>
      </c>
      <c r="F74" s="156">
        <f t="shared" si="5"/>
        <v>0</v>
      </c>
      <c r="G74" s="157" t="str">
        <f t="shared" si="6"/>
        <v>$/kWh</v>
      </c>
      <c r="I74" s="201"/>
      <c r="J74" s="201"/>
    </row>
    <row r="75" spans="2:10" x14ac:dyDescent="0.25">
      <c r="B75" s="153" t="str">
        <f t="shared" si="4"/>
        <v>SENTINEL LIGHTING</v>
      </c>
      <c r="C75" s="351" t="s">
        <v>189</v>
      </c>
      <c r="D75" s="154">
        <f>IF(C75="", 0, IF(C75="kWh", '4. Billing Determinants'!S24, IF(C75="kW", '4. Billing Determinants'!S24, '4. Billing Determinants'!D24)))</f>
        <v>16488.265370396388</v>
      </c>
      <c r="E75" s="155">
        <f>HLOOKUP($B75, '5. Allocation of Balances'!$D$4:$Z$56, 45,FALSE)</f>
        <v>0</v>
      </c>
      <c r="F75" s="156">
        <f t="shared" si="5"/>
        <v>0</v>
      </c>
      <c r="G75" s="157" t="str">
        <f t="shared" si="6"/>
        <v>$/kWh</v>
      </c>
      <c r="I75" s="201"/>
      <c r="J75" s="201"/>
    </row>
    <row r="76" spans="2:10" x14ac:dyDescent="0.25">
      <c r="B76" s="153" t="str">
        <f t="shared" si="4"/>
        <v>STREET LIGHTING</v>
      </c>
      <c r="C76" s="351" t="s">
        <v>189</v>
      </c>
      <c r="D76" s="154">
        <f>IF(C76="", 0, IF(C76="kWh", '4. Billing Determinants'!S25, IF(C76="kW", '4. Billing Determinants'!S25, '4. Billing Determinants'!D25)))</f>
        <v>561223</v>
      </c>
      <c r="E76" s="155">
        <f>HLOOKUP($B76, '5. Allocation of Balances'!$D$4:$Z$56, 45,FALSE)</f>
        <v>0</v>
      </c>
      <c r="F76" s="156">
        <f t="shared" si="5"/>
        <v>0</v>
      </c>
      <c r="G76" s="157" t="str">
        <f t="shared" si="6"/>
        <v>$/kWh</v>
      </c>
      <c r="I76" s="201"/>
      <c r="J76" s="201"/>
    </row>
    <row r="77" spans="2:10" x14ac:dyDescent="0.25">
      <c r="B77" s="153" t="str">
        <f t="shared" si="4"/>
        <v>UNMETERED SCATTERED LOAD</v>
      </c>
      <c r="C77" s="351" t="s">
        <v>189</v>
      </c>
      <c r="D77" s="154">
        <f>IF(C77="", 0, IF(C77="kWh", '4. Billing Determinants'!S26, IF(C77="kW", '4. Billing Determinants'!S26, '4. Billing Determinants'!D26)))</f>
        <v>27660.900736725667</v>
      </c>
      <c r="E77" s="155">
        <f>HLOOKUP($B77, '5. Allocation of Balances'!$D$4:$Z$56, 45,FALSE)</f>
        <v>0</v>
      </c>
      <c r="F77" s="156">
        <f t="shared" si="5"/>
        <v>0</v>
      </c>
      <c r="G77" s="157" t="str">
        <f t="shared" si="6"/>
        <v>$/kWh</v>
      </c>
      <c r="I77" s="201"/>
      <c r="J77" s="201"/>
    </row>
    <row r="78" spans="2:10" x14ac:dyDescent="0.25">
      <c r="B78" s="153" t="str">
        <f t="shared" si="4"/>
        <v/>
      </c>
      <c r="C78" s="351" t="s">
        <v>189</v>
      </c>
      <c r="D78" s="154">
        <f>IF(C78="", 0, IF(C78="kWh", '4. Billing Determinants'!S27, IF(C78="kW", '4. Billing Determinants'!S27, '4. Billing Determinants'!D27)))</f>
        <v>0</v>
      </c>
      <c r="E78" s="155">
        <f>HLOOKUP($B78, '5. Allocation of Balances'!$D$4:$Z$56, 45,FALSE)</f>
        <v>0</v>
      </c>
      <c r="F78" s="156">
        <f t="shared" si="5"/>
        <v>0</v>
      </c>
      <c r="G78" s="157" t="str">
        <f t="shared" si="6"/>
        <v>$/kWh</v>
      </c>
    </row>
    <row r="79" spans="2:10" x14ac:dyDescent="0.25">
      <c r="B79" s="153" t="str">
        <f t="shared" si="4"/>
        <v/>
      </c>
      <c r="C79" s="351" t="s">
        <v>189</v>
      </c>
      <c r="D79" s="154">
        <f>IF(C79="", 0, IF(C79="kWh", '4. Billing Determinants'!S28, IF(C79="kW", '4. Billing Determinants'!S28, '4. Billing Determinants'!D28)))</f>
        <v>0</v>
      </c>
      <c r="E79" s="155">
        <f>HLOOKUP($B79, '5. Allocation of Balances'!$D$4:$Z$56, 45,FALSE)</f>
        <v>0</v>
      </c>
      <c r="F79" s="156">
        <f t="shared" si="5"/>
        <v>0</v>
      </c>
      <c r="G79" s="157" t="str">
        <f t="shared" si="6"/>
        <v>$/kWh</v>
      </c>
    </row>
    <row r="80" spans="2:10" x14ac:dyDescent="0.25">
      <c r="B80" s="153" t="str">
        <f t="shared" si="4"/>
        <v/>
      </c>
      <c r="C80" s="351" t="s">
        <v>189</v>
      </c>
      <c r="D80" s="154">
        <f>IF(C80="", 0, IF(C80="kWh", '4. Billing Determinants'!S29, IF(C80="kW", '4. Billing Determinants'!S29, '4. Billing Determinants'!D29)))</f>
        <v>0</v>
      </c>
      <c r="E80" s="155">
        <f>HLOOKUP($B80, '5. Allocation of Balances'!$D$4:$Z$56, 45,FALSE)</f>
        <v>0</v>
      </c>
      <c r="F80" s="156">
        <f t="shared" si="5"/>
        <v>0</v>
      </c>
      <c r="G80" s="157" t="str">
        <f t="shared" si="6"/>
        <v>$/kWh</v>
      </c>
    </row>
    <row r="81" spans="1:8" x14ac:dyDescent="0.25">
      <c r="B81" s="153" t="str">
        <f t="shared" si="4"/>
        <v/>
      </c>
      <c r="C81" s="351" t="s">
        <v>189</v>
      </c>
      <c r="D81" s="154">
        <f>IF(C81="", 0, IF(C81="kWh", '4. Billing Determinants'!S30, IF(C81="kW", '4. Billing Determinants'!S30, '4. Billing Determinants'!D30)))</f>
        <v>0</v>
      </c>
      <c r="E81" s="155">
        <f>HLOOKUP($B81, '5. Allocation of Balances'!$D$4:$Z$56, 45,FALSE)</f>
        <v>0</v>
      </c>
      <c r="F81" s="156">
        <f t="shared" si="5"/>
        <v>0</v>
      </c>
      <c r="G81" s="157" t="str">
        <f t="shared" si="6"/>
        <v>$/kWh</v>
      </c>
    </row>
    <row r="82" spans="1:8" x14ac:dyDescent="0.25">
      <c r="B82" s="153" t="str">
        <f t="shared" si="4"/>
        <v/>
      </c>
      <c r="C82" s="351" t="str">
        <f>IF(ISBLANK('4. Billing Determinants'!C31), "", '4. Billing Determinants'!C31)</f>
        <v/>
      </c>
      <c r="D82" s="154">
        <f>IF(C82="", 0, IF(C82="kWh", '4. Billing Determinants'!S31, IF(C82="kW", '4. Billing Determinants'!S31, '4. Billing Determinants'!D31)))</f>
        <v>0</v>
      </c>
      <c r="E82" s="155">
        <f>HLOOKUP($B82, '5. Allocation of Balances'!$D$4:$Z$56, 45,FALSE)</f>
        <v>0</v>
      </c>
      <c r="F82" s="156">
        <f t="shared" si="5"/>
        <v>0</v>
      </c>
      <c r="G82" s="157" t="str">
        <f t="shared" si="6"/>
        <v/>
      </c>
    </row>
    <row r="83" spans="1:8" x14ac:dyDescent="0.25">
      <c r="B83" s="153" t="str">
        <f t="shared" si="4"/>
        <v/>
      </c>
      <c r="C83" s="351" t="str">
        <f>IF(ISBLANK('4. Billing Determinants'!C32), "", '4. Billing Determinants'!C32)</f>
        <v/>
      </c>
      <c r="D83" s="154">
        <f>IF(C83="", 0, IF(C83="kWh", '4. Billing Determinants'!S32, IF(C83="kW", '4. Billing Determinants'!S32, '4. Billing Determinants'!D32)))</f>
        <v>0</v>
      </c>
      <c r="E83" s="155">
        <f>HLOOKUP($B83, '5. Allocation of Balances'!$D$4:$Z$56, 45,FALSE)</f>
        <v>0</v>
      </c>
      <c r="F83" s="156">
        <f t="shared" si="5"/>
        <v>0</v>
      </c>
      <c r="G83" s="157" t="str">
        <f t="shared" si="6"/>
        <v/>
      </c>
    </row>
    <row r="84" spans="1:8" x14ac:dyDescent="0.25">
      <c r="B84" s="153" t="str">
        <f t="shared" si="4"/>
        <v/>
      </c>
      <c r="C84" s="351" t="str">
        <f>IF(ISBLANK('4. Billing Determinants'!C33), "", '4. Billing Determinants'!C33)</f>
        <v/>
      </c>
      <c r="D84" s="154">
        <f>IF(C84="", 0, IF(C84="kWh", '4. Billing Determinants'!S33, IF(C84="kW", '4. Billing Determinants'!S33, '4. Billing Determinants'!D33)))</f>
        <v>0</v>
      </c>
      <c r="E84" s="155">
        <f>HLOOKUP($B84, '5. Allocation of Balances'!$D$4:$Z$56, 45,FALSE)</f>
        <v>0</v>
      </c>
      <c r="F84" s="156">
        <f t="shared" si="5"/>
        <v>0</v>
      </c>
      <c r="G84" s="157" t="str">
        <f t="shared" si="6"/>
        <v/>
      </c>
    </row>
    <row r="85" spans="1:8" x14ac:dyDescent="0.25">
      <c r="B85" s="153" t="str">
        <f t="shared" si="4"/>
        <v/>
      </c>
      <c r="C85" s="351" t="str">
        <f>IF(ISBLANK('4. Billing Determinants'!C34), "", '4. Billing Determinants'!C34)</f>
        <v/>
      </c>
      <c r="D85" s="154">
        <f>IF(C85="", 0, IF(C85="kWh", '4. Billing Determinants'!S34, IF(C85="kW", '4. Billing Determinants'!S34, '4. Billing Determinants'!D34)))</f>
        <v>0</v>
      </c>
      <c r="E85" s="155">
        <f>HLOOKUP($B85, '5. Allocation of Balances'!$D$4:$Z$56, 45,FALSE)</f>
        <v>0</v>
      </c>
      <c r="F85" s="156">
        <f t="shared" si="5"/>
        <v>0</v>
      </c>
      <c r="G85" s="157" t="str">
        <f t="shared" si="6"/>
        <v/>
      </c>
    </row>
    <row r="86" spans="1:8" x14ac:dyDescent="0.25">
      <c r="B86" s="153" t="str">
        <f t="shared" si="4"/>
        <v/>
      </c>
      <c r="C86" s="351" t="str">
        <f>IF(ISBLANK('4. Billing Determinants'!C35), "", '4. Billing Determinants'!C35)</f>
        <v/>
      </c>
      <c r="D86" s="154">
        <f>IF(C86="", 0, IF(C86="kWh", '4. Billing Determinants'!S35, IF(C86="kW", '4. Billing Determinants'!S35, '4. Billing Determinants'!D35)))</f>
        <v>0</v>
      </c>
      <c r="E86" s="155">
        <f>HLOOKUP($B86, '5. Allocation of Balances'!$D$4:$Z$56, 45,FALSE)</f>
        <v>0</v>
      </c>
      <c r="F86" s="156">
        <f t="shared" si="5"/>
        <v>0</v>
      </c>
      <c r="G86" s="157" t="str">
        <f t="shared" si="6"/>
        <v/>
      </c>
    </row>
    <row r="87" spans="1:8" x14ac:dyDescent="0.25">
      <c r="B87" s="153" t="str">
        <f t="shared" si="4"/>
        <v/>
      </c>
      <c r="C87" s="351" t="str">
        <f>IF(ISBLANK('4. Billing Determinants'!C36), "", '4. Billing Determinants'!C36)</f>
        <v/>
      </c>
      <c r="D87" s="154">
        <f>IF(C87="", 0, IF(C87="kWh", '4. Billing Determinants'!S36, IF(C87="kW", '4. Billing Determinants'!S36, '4. Billing Determinants'!D36)))</f>
        <v>0</v>
      </c>
      <c r="E87" s="155">
        <f>HLOOKUP($B87, '5. Allocation of Balances'!$D$4:$Z$56, 45,FALSE)</f>
        <v>0</v>
      </c>
      <c r="F87" s="156">
        <f t="shared" si="5"/>
        <v>0</v>
      </c>
      <c r="G87" s="157" t="str">
        <f t="shared" si="6"/>
        <v/>
      </c>
    </row>
    <row r="88" spans="1:8" x14ac:dyDescent="0.25">
      <c r="B88" s="153" t="str">
        <f t="shared" si="4"/>
        <v/>
      </c>
      <c r="C88" s="351" t="str">
        <f>IF(ISBLANK('4. Billing Determinants'!C37), "", '4. Billing Determinants'!C37)</f>
        <v/>
      </c>
      <c r="D88" s="154">
        <f>IF(C88="", 0, IF(C88="kWh", '4. Billing Determinants'!S37, IF(C88="kW", '4. Billing Determinants'!S37, '4. Billing Determinants'!D37)))</f>
        <v>0</v>
      </c>
      <c r="E88" s="155">
        <f>HLOOKUP($B88, '5. Allocation of Balances'!$D$4:$Z$56, 45,FALSE)</f>
        <v>0</v>
      </c>
      <c r="F88" s="156">
        <f t="shared" si="5"/>
        <v>0</v>
      </c>
      <c r="G88" s="157" t="str">
        <f t="shared" si="6"/>
        <v/>
      </c>
    </row>
    <row r="89" spans="1:8" x14ac:dyDescent="0.25">
      <c r="B89" s="153" t="str">
        <f t="shared" si="4"/>
        <v/>
      </c>
      <c r="C89" s="351" t="str">
        <f>IF(ISBLANK('4. Billing Determinants'!C38), "", '4. Billing Determinants'!C38)</f>
        <v/>
      </c>
      <c r="D89" s="154">
        <f>IF(C89="", 0, IF(C89="kWh", '4. Billing Determinants'!S38, IF(C89="kW", '4. Billing Determinants'!S38, '4. Billing Determinants'!D38)))</f>
        <v>0</v>
      </c>
      <c r="E89" s="155">
        <f>HLOOKUP($B89, '5. Allocation of Balances'!$D$4:$Z$56, 45,FALSE)</f>
        <v>0</v>
      </c>
      <c r="F89" s="156">
        <f t="shared" si="5"/>
        <v>0</v>
      </c>
      <c r="G89" s="157" t="str">
        <f t="shared" si="6"/>
        <v/>
      </c>
    </row>
    <row r="90" spans="1:8" x14ac:dyDescent="0.25">
      <c r="B90" s="153" t="str">
        <f t="shared" si="4"/>
        <v/>
      </c>
      <c r="C90" s="351" t="str">
        <f>IF(ISBLANK('4. Billing Determinants'!C39), "", '4. Billing Determinants'!C39)</f>
        <v/>
      </c>
      <c r="D90" s="154">
        <f>IF(C90="", 0, IF(C90="kWh", '4. Billing Determinants'!S39, IF(C90="kW", '4. Billing Determinants'!S39, '4. Billing Determinants'!D39)))</f>
        <v>0</v>
      </c>
      <c r="E90" s="155">
        <f>HLOOKUP($B90, '5. Allocation of Balances'!$D$4:$Z$56, 45,FALSE)</f>
        <v>0</v>
      </c>
      <c r="F90" s="156">
        <f t="shared" si="5"/>
        <v>0</v>
      </c>
      <c r="G90" s="157" t="str">
        <f t="shared" si="6"/>
        <v/>
      </c>
    </row>
    <row r="91" spans="1:8" x14ac:dyDescent="0.25">
      <c r="B91" s="153" t="str">
        <f t="shared" si="4"/>
        <v/>
      </c>
      <c r="C91" s="351" t="str">
        <f>IF(ISBLANK('4. Billing Determinants'!C40), "", '4. Billing Determinants'!C40)</f>
        <v/>
      </c>
      <c r="D91" s="154">
        <f>IF(C91="", 0, IF(C91="kWh", '4. Billing Determinants'!S40, IF(C91="kW", '4. Billing Determinants'!S40, '4. Billing Determinants'!D40)))</f>
        <v>0</v>
      </c>
      <c r="E91" s="155">
        <f>HLOOKUP($B91, '5. Allocation of Balances'!$D$4:$Z$56, 45,FALSE)</f>
        <v>0</v>
      </c>
      <c r="F91" s="156">
        <f t="shared" si="5"/>
        <v>0</v>
      </c>
      <c r="G91" s="157" t="str">
        <f t="shared" si="6"/>
        <v/>
      </c>
    </row>
    <row r="92" spans="1:8" x14ac:dyDescent="0.25">
      <c r="B92" s="159" t="s">
        <v>63</v>
      </c>
      <c r="C92" s="160"/>
      <c r="D92" s="161"/>
      <c r="E92" s="162">
        <f>SUM(E72:E91)</f>
        <v>0</v>
      </c>
      <c r="F92" s="159"/>
    </row>
    <row r="94" spans="1:8" ht="17.399999999999999" hidden="1" x14ac:dyDescent="0.3">
      <c r="A94" s="295"/>
      <c r="B94" s="307" t="s">
        <v>221</v>
      </c>
      <c r="C94" s="295"/>
      <c r="D94" s="295"/>
      <c r="E94" s="295"/>
      <c r="F94" s="295"/>
      <c r="G94" s="295"/>
      <c r="H94" s="295"/>
    </row>
    <row r="95" spans="1:8" hidden="1" x14ac:dyDescent="0.25">
      <c r="A95" s="295"/>
      <c r="B95" s="308" t="s">
        <v>218</v>
      </c>
      <c r="C95" s="295"/>
      <c r="D95" s="295"/>
      <c r="E95" s="295"/>
      <c r="F95" s="295"/>
      <c r="G95" s="295"/>
      <c r="H95" s="295"/>
    </row>
    <row r="96" spans="1:8" hidden="1" x14ac:dyDescent="0.25">
      <c r="A96" s="295"/>
      <c r="B96" s="500" t="s">
        <v>72</v>
      </c>
      <c r="C96" s="501" t="s">
        <v>62</v>
      </c>
      <c r="D96" s="502" t="s">
        <v>172</v>
      </c>
      <c r="E96" s="502" t="s">
        <v>170</v>
      </c>
      <c r="F96" s="500" t="s">
        <v>171</v>
      </c>
      <c r="G96" s="295"/>
      <c r="H96" s="295"/>
    </row>
    <row r="97" spans="1:9" ht="54.75" hidden="1" customHeight="1" x14ac:dyDescent="0.25">
      <c r="A97" s="295"/>
      <c r="B97" s="501"/>
      <c r="C97" s="501"/>
      <c r="D97" s="503"/>
      <c r="E97" s="503"/>
      <c r="F97" s="500"/>
      <c r="G97" s="295"/>
      <c r="H97" s="309"/>
      <c r="I97" s="164"/>
    </row>
    <row r="98" spans="1:9" hidden="1" x14ac:dyDescent="0.25">
      <c r="A98" s="295"/>
      <c r="B98" s="310"/>
      <c r="C98" s="311"/>
      <c r="D98" s="312"/>
      <c r="E98" s="313"/>
      <c r="F98" s="314"/>
      <c r="G98" s="295" t="str">
        <f>IF(C98="", "", IF(C98="# of Customers", "per customer per month", "$/"&amp;C98))</f>
        <v/>
      </c>
      <c r="H98" s="295"/>
    </row>
    <row r="99" spans="1:9" hidden="1" x14ac:dyDescent="0.25">
      <c r="A99" s="295"/>
      <c r="B99" s="310"/>
      <c r="C99" s="311"/>
      <c r="D99" s="312"/>
      <c r="E99" s="313"/>
      <c r="F99" s="314"/>
      <c r="G99" s="295" t="str">
        <f t="shared" ref="G99:G117" si="7">IF(C99="", "", IF(C99="# of Customers", "per customer per month", "$/"&amp;C99))</f>
        <v/>
      </c>
      <c r="H99" s="295"/>
    </row>
    <row r="100" spans="1:9" hidden="1" x14ac:dyDescent="0.25">
      <c r="A100" s="295"/>
      <c r="B100" s="310"/>
      <c r="C100" s="311"/>
      <c r="D100" s="312"/>
      <c r="E100" s="313"/>
      <c r="F100" s="314"/>
      <c r="G100" s="295" t="str">
        <f t="shared" si="7"/>
        <v/>
      </c>
      <c r="H100" s="295"/>
    </row>
    <row r="101" spans="1:9" hidden="1" x14ac:dyDescent="0.25">
      <c r="A101" s="295"/>
      <c r="B101" s="310"/>
      <c r="C101" s="311"/>
      <c r="D101" s="312"/>
      <c r="E101" s="313"/>
      <c r="F101" s="314"/>
      <c r="G101" s="295" t="str">
        <f t="shared" si="7"/>
        <v/>
      </c>
      <c r="H101" s="295"/>
    </row>
    <row r="102" spans="1:9" hidden="1" x14ac:dyDescent="0.25">
      <c r="A102" s="295"/>
      <c r="B102" s="310"/>
      <c r="C102" s="311"/>
      <c r="D102" s="312"/>
      <c r="E102" s="313"/>
      <c r="F102" s="314"/>
      <c r="G102" s="295" t="str">
        <f t="shared" si="7"/>
        <v/>
      </c>
      <c r="H102" s="295"/>
    </row>
    <row r="103" spans="1:9" hidden="1" x14ac:dyDescent="0.25">
      <c r="A103" s="295"/>
      <c r="B103" s="310"/>
      <c r="C103" s="311"/>
      <c r="D103" s="312"/>
      <c r="E103" s="313"/>
      <c r="F103" s="314"/>
      <c r="G103" s="295" t="str">
        <f t="shared" si="7"/>
        <v/>
      </c>
      <c r="H103" s="295"/>
    </row>
    <row r="104" spans="1:9" hidden="1" x14ac:dyDescent="0.25">
      <c r="A104" s="295"/>
      <c r="B104" s="310"/>
      <c r="C104" s="311"/>
      <c r="D104" s="312"/>
      <c r="E104" s="313"/>
      <c r="F104" s="314"/>
      <c r="G104" s="295" t="str">
        <f t="shared" si="7"/>
        <v/>
      </c>
      <c r="H104" s="295"/>
    </row>
    <row r="105" spans="1:9" hidden="1" x14ac:dyDescent="0.25">
      <c r="A105" s="295"/>
      <c r="B105" s="310"/>
      <c r="C105" s="311"/>
      <c r="D105" s="312"/>
      <c r="E105" s="313"/>
      <c r="F105" s="314"/>
      <c r="G105" s="295" t="str">
        <f t="shared" si="7"/>
        <v/>
      </c>
      <c r="H105" s="295"/>
    </row>
    <row r="106" spans="1:9" hidden="1" x14ac:dyDescent="0.25">
      <c r="A106" s="295"/>
      <c r="B106" s="310"/>
      <c r="C106" s="311"/>
      <c r="D106" s="312"/>
      <c r="E106" s="313"/>
      <c r="F106" s="314"/>
      <c r="G106" s="295" t="str">
        <f t="shared" si="7"/>
        <v/>
      </c>
      <c r="H106" s="295"/>
    </row>
    <row r="107" spans="1:9" hidden="1" x14ac:dyDescent="0.25">
      <c r="A107" s="295"/>
      <c r="B107" s="310" t="str">
        <f t="shared" ref="B107:B117" si="8">B29</f>
        <v/>
      </c>
      <c r="C107" s="311"/>
      <c r="D107" s="312"/>
      <c r="E107" s="313"/>
      <c r="F107" s="314"/>
      <c r="G107" s="295" t="str">
        <f t="shared" si="7"/>
        <v/>
      </c>
      <c r="H107" s="295"/>
    </row>
    <row r="108" spans="1:9" hidden="1" x14ac:dyDescent="0.25">
      <c r="A108" s="295"/>
      <c r="B108" s="310" t="str">
        <f t="shared" si="8"/>
        <v/>
      </c>
      <c r="C108" s="311"/>
      <c r="D108" s="312"/>
      <c r="E108" s="313"/>
      <c r="F108" s="314"/>
      <c r="G108" s="295" t="str">
        <f t="shared" si="7"/>
        <v/>
      </c>
      <c r="H108" s="295"/>
    </row>
    <row r="109" spans="1:9" hidden="1" x14ac:dyDescent="0.25">
      <c r="A109" s="295"/>
      <c r="B109" s="310" t="str">
        <f t="shared" si="8"/>
        <v/>
      </c>
      <c r="C109" s="311" t="str">
        <f>IF(ISBLANK('4. Billing Determinants'!C32), "", '4. Billing Determinants'!C32)</f>
        <v/>
      </c>
      <c r="D109" s="312"/>
      <c r="E109" s="313"/>
      <c r="F109" s="314"/>
      <c r="G109" s="295" t="str">
        <f t="shared" si="7"/>
        <v/>
      </c>
      <c r="H109" s="295"/>
    </row>
    <row r="110" spans="1:9" hidden="1" x14ac:dyDescent="0.25">
      <c r="A110" s="295"/>
      <c r="B110" s="310" t="str">
        <f t="shared" si="8"/>
        <v/>
      </c>
      <c r="C110" s="311" t="str">
        <f>IF(ISBLANK('4. Billing Determinants'!C33), "", '4. Billing Determinants'!C33)</f>
        <v/>
      </c>
      <c r="D110" s="312"/>
      <c r="E110" s="313"/>
      <c r="F110" s="314"/>
      <c r="G110" s="295" t="str">
        <f t="shared" si="7"/>
        <v/>
      </c>
      <c r="H110" s="295"/>
    </row>
    <row r="111" spans="1:9" hidden="1" x14ac:dyDescent="0.25">
      <c r="A111" s="295"/>
      <c r="B111" s="310" t="str">
        <f t="shared" si="8"/>
        <v/>
      </c>
      <c r="C111" s="311" t="str">
        <f>IF(ISBLANK('4. Billing Determinants'!C34), "", '4. Billing Determinants'!C34)</f>
        <v/>
      </c>
      <c r="D111" s="312"/>
      <c r="E111" s="313"/>
      <c r="F111" s="314"/>
      <c r="G111" s="295" t="str">
        <f t="shared" si="7"/>
        <v/>
      </c>
      <c r="H111" s="295"/>
    </row>
    <row r="112" spans="1:9" hidden="1" x14ac:dyDescent="0.25">
      <c r="A112" s="295"/>
      <c r="B112" s="310" t="str">
        <f t="shared" si="8"/>
        <v/>
      </c>
      <c r="C112" s="311" t="str">
        <f>IF(ISBLANK('4. Billing Determinants'!C35), "", '4. Billing Determinants'!C35)</f>
        <v/>
      </c>
      <c r="D112" s="312"/>
      <c r="E112" s="313"/>
      <c r="F112" s="314"/>
      <c r="G112" s="295" t="str">
        <f t="shared" si="7"/>
        <v/>
      </c>
      <c r="H112" s="295"/>
    </row>
    <row r="113" spans="1:9" hidden="1" x14ac:dyDescent="0.25">
      <c r="A113" s="295"/>
      <c r="B113" s="310" t="str">
        <f t="shared" si="8"/>
        <v/>
      </c>
      <c r="C113" s="311" t="str">
        <f>IF(ISBLANK('4. Billing Determinants'!C36), "", '4. Billing Determinants'!C36)</f>
        <v/>
      </c>
      <c r="D113" s="312"/>
      <c r="E113" s="313"/>
      <c r="F113" s="314"/>
      <c r="G113" s="295" t="str">
        <f t="shared" si="7"/>
        <v/>
      </c>
      <c r="H113" s="295"/>
    </row>
    <row r="114" spans="1:9" hidden="1" x14ac:dyDescent="0.25">
      <c r="A114" s="295"/>
      <c r="B114" s="310" t="str">
        <f t="shared" si="8"/>
        <v/>
      </c>
      <c r="C114" s="311" t="str">
        <f>IF(ISBLANK('4. Billing Determinants'!C37), "", '4. Billing Determinants'!C37)</f>
        <v/>
      </c>
      <c r="D114" s="312"/>
      <c r="E114" s="313"/>
      <c r="F114" s="314"/>
      <c r="G114" s="295" t="str">
        <f t="shared" si="7"/>
        <v/>
      </c>
      <c r="H114" s="295"/>
    </row>
    <row r="115" spans="1:9" hidden="1" x14ac:dyDescent="0.25">
      <c r="A115" s="295"/>
      <c r="B115" s="310" t="str">
        <f t="shared" si="8"/>
        <v/>
      </c>
      <c r="C115" s="311" t="str">
        <f>IF(ISBLANK('4. Billing Determinants'!C38), "", '4. Billing Determinants'!C38)</f>
        <v/>
      </c>
      <c r="D115" s="312"/>
      <c r="E115" s="313"/>
      <c r="F115" s="314"/>
      <c r="G115" s="295" t="str">
        <f t="shared" si="7"/>
        <v/>
      </c>
      <c r="H115" s="295"/>
    </row>
    <row r="116" spans="1:9" hidden="1" x14ac:dyDescent="0.25">
      <c r="A116" s="295"/>
      <c r="B116" s="310" t="str">
        <f t="shared" si="8"/>
        <v/>
      </c>
      <c r="C116" s="311" t="str">
        <f>IF(ISBLANK('4. Billing Determinants'!C39), "", '4. Billing Determinants'!C39)</f>
        <v/>
      </c>
      <c r="D116" s="312"/>
      <c r="E116" s="313"/>
      <c r="F116" s="314"/>
      <c r="G116" s="295" t="str">
        <f t="shared" si="7"/>
        <v/>
      </c>
      <c r="H116" s="295"/>
    </row>
    <row r="117" spans="1:9" hidden="1" x14ac:dyDescent="0.25">
      <c r="A117" s="295"/>
      <c r="B117" s="310" t="str">
        <f t="shared" si="8"/>
        <v/>
      </c>
      <c r="C117" s="311" t="str">
        <f>IF(ISBLANK('4. Billing Determinants'!C40), "", '4. Billing Determinants'!C40)</f>
        <v/>
      </c>
      <c r="D117" s="312"/>
      <c r="E117" s="313"/>
      <c r="F117" s="314"/>
      <c r="G117" s="295" t="str">
        <f t="shared" si="7"/>
        <v/>
      </c>
      <c r="H117" s="295"/>
    </row>
    <row r="118" spans="1:9" hidden="1" x14ac:dyDescent="0.25">
      <c r="A118" s="295"/>
      <c r="B118" s="315" t="s">
        <v>63</v>
      </c>
      <c r="C118" s="316"/>
      <c r="D118" s="317"/>
      <c r="E118" s="318"/>
      <c r="F118" s="315"/>
      <c r="G118" s="295"/>
      <c r="H118" s="295"/>
    </row>
    <row r="119" spans="1:9" hidden="1" x14ac:dyDescent="0.25"/>
    <row r="120" spans="1:9" hidden="1" x14ac:dyDescent="0.25"/>
    <row r="121" spans="1:9" ht="17.399999999999999" x14ac:dyDescent="0.3">
      <c r="B121" s="151" t="s">
        <v>222</v>
      </c>
    </row>
    <row r="122" spans="1:9" x14ac:dyDescent="0.25">
      <c r="B122" s="152"/>
    </row>
    <row r="123" spans="1:9" x14ac:dyDescent="0.25">
      <c r="B123" s="471" t="s">
        <v>72</v>
      </c>
      <c r="C123" s="470" t="s">
        <v>62</v>
      </c>
      <c r="D123" s="497" t="s">
        <v>71</v>
      </c>
      <c r="E123" s="497" t="s">
        <v>226</v>
      </c>
      <c r="F123" s="499" t="s">
        <v>171</v>
      </c>
    </row>
    <row r="124" spans="1:9" ht="54.75" customHeight="1" x14ac:dyDescent="0.25">
      <c r="B124" s="472"/>
      <c r="C124" s="470"/>
      <c r="D124" s="498"/>
      <c r="E124" s="498"/>
      <c r="F124" s="499"/>
      <c r="H124" s="164"/>
      <c r="I124" s="164"/>
    </row>
    <row r="125" spans="1:9" x14ac:dyDescent="0.25">
      <c r="B125" s="153" t="str">
        <f>B20</f>
        <v>RESIDENTIAL</v>
      </c>
      <c r="C125" s="74" t="s">
        <v>71</v>
      </c>
      <c r="D125" s="154">
        <f>IF(C125="",0,IF(ISNUMBER(SEARCH("RESIDENTIAL",UPPER(B125),1)),'4. Billing Determinants'!D21, IF(C125="kWh",'4. Billing Determinants'!E21, IF(C125="kW",'4. Billing Determinants'!F21,'4. Billing Determinants'!D21))))</f>
        <v>15554.75</v>
      </c>
      <c r="E125" s="155">
        <f>HLOOKUP($B125, '5. Allocation of Balances'!$D$4:$Z$56, 49,FALSE)</f>
        <v>61901.936711067799</v>
      </c>
      <c r="F125" s="165">
        <f>IF(ISERROR(E125/D125), 0, IF(C125="# of Customers", E125/D125/12/$D$13, E125/D125/$D$13))</f>
        <v>0.16581734601720749</v>
      </c>
      <c r="G125" s="1" t="str">
        <f>IF(C125="", "", IF(C125="# of Customers", "per customer per month", "$/"&amp;C125))</f>
        <v>per customer per month</v>
      </c>
    </row>
    <row r="126" spans="1:9" x14ac:dyDescent="0.25">
      <c r="B126" s="153" t="str">
        <f t="shared" ref="B126:B144" si="9">B21</f>
        <v>GENERAL SERVICE &lt; 50 KW</v>
      </c>
      <c r="C126" s="74" t="s">
        <v>189</v>
      </c>
      <c r="D126" s="154">
        <f>IF(C126="",0,IF(ISNUMBER(SEARCH("RESIDENTIAL",UPPER(B126),1)),'4. Billing Determinants'!D22, IF(C126="kWh",'4. Billing Determinants'!E22, IF(C126="kW",'4. Billing Determinants'!F22,'4. Billing Determinants'!D22))))</f>
        <v>31828340</v>
      </c>
      <c r="E126" s="155">
        <f>HLOOKUP($B126, '5. Allocation of Balances'!$D$4:$Z$56, 49,FALSE)</f>
        <v>13508.883696830651</v>
      </c>
      <c r="F126" s="200">
        <f t="shared" ref="F126:F144" si="10">IF(ISERROR(E126/D126), 0, IF(C126="# of Customers", E126/D126/12/$D$13, E126/D126/$D$13))</f>
        <v>2.1221470703201379E-4</v>
      </c>
      <c r="G126" s="1" t="str">
        <f t="shared" ref="G126:G144" si="11">IF(C126="", "", IF(C126="# of Customers", "per customer per month", "$/"&amp;C126))</f>
        <v>$/kWh</v>
      </c>
    </row>
    <row r="127" spans="1:9" x14ac:dyDescent="0.25">
      <c r="B127" s="153" t="str">
        <f t="shared" si="9"/>
        <v>GENERAL SERVICE &gt; 50 KW TO 4,999 KW</v>
      </c>
      <c r="C127" s="74" t="s">
        <v>298</v>
      </c>
      <c r="D127" s="154">
        <f>IF(C127="",0,IF(ISNUMBER(SEARCH("RESIDENTIAL",UPPER(B127),1)),'4. Billing Determinants'!D23, IF(C127="kWh",'4. Billing Determinants'!E23, IF(C127="kW",'4. Billing Determinants'!F23,'4. Billing Determinants'!D23))))</f>
        <v>176744</v>
      </c>
      <c r="E127" s="155">
        <f>HLOOKUP($B127, '5. Allocation of Balances'!$D$4:$Z$56, 49,FALSE)</f>
        <v>27063.275988725491</v>
      </c>
      <c r="F127" s="200">
        <f t="shared" si="10"/>
        <v>7.6560663979330243E-2</v>
      </c>
      <c r="G127" s="1" t="str">
        <f t="shared" si="11"/>
        <v>$/kW</v>
      </c>
    </row>
    <row r="128" spans="1:9" x14ac:dyDescent="0.25">
      <c r="B128" s="153" t="str">
        <f t="shared" si="9"/>
        <v>SENTINEL LIGHTING</v>
      </c>
      <c r="C128" s="74" t="s">
        <v>298</v>
      </c>
      <c r="D128" s="154">
        <f>IF(C128="",0,IF(ISNUMBER(SEARCH("RESIDENTIAL",UPPER(B128),1)),'4. Billing Determinants'!D24, IF(C128="kWh",'4. Billing Determinants'!E24, IF(C128="kW",'4. Billing Determinants'!F24,'4. Billing Determinants'!D24))))</f>
        <v>286.28122226821648</v>
      </c>
      <c r="E128" s="155">
        <f>HLOOKUP($B128, '5. Allocation of Balances'!$D$4:$Z$56, 49,FALSE)</f>
        <v>43.738155063059594</v>
      </c>
      <c r="F128" s="200">
        <f t="shared" si="10"/>
        <v>7.6390191987655717E-2</v>
      </c>
      <c r="G128" s="1" t="str">
        <f t="shared" si="11"/>
        <v>$/kW</v>
      </c>
    </row>
    <row r="129" spans="2:7" x14ac:dyDescent="0.25">
      <c r="B129" s="153" t="str">
        <f t="shared" si="9"/>
        <v>STREET LIGHTING</v>
      </c>
      <c r="C129" s="74" t="s">
        <v>298</v>
      </c>
      <c r="D129" s="154">
        <f>IF(C129="",0,IF(ISNUMBER(SEARCH("RESIDENTIAL",UPPER(B129),1)),'4. Billing Determinants'!D25, IF(C129="kWh",'4. Billing Determinants'!E25, IF(C129="kW",'4. Billing Determinants'!F25,'4. Billing Determinants'!D25))))</f>
        <v>1598.6472960042561</v>
      </c>
      <c r="E129" s="155">
        <f>HLOOKUP($B129, '5. Allocation of Balances'!$D$4:$Z$56, 49,FALSE)</f>
        <v>238.19975677680577</v>
      </c>
      <c r="F129" s="200">
        <f t="shared" si="10"/>
        <v>7.4500409618861799E-2</v>
      </c>
      <c r="G129" s="1" t="str">
        <f t="shared" si="11"/>
        <v>$/kW</v>
      </c>
    </row>
    <row r="130" spans="2:7" x14ac:dyDescent="0.25">
      <c r="B130" s="153" t="str">
        <f t="shared" si="9"/>
        <v>UNMETERED SCATTERED LOAD</v>
      </c>
      <c r="C130" s="74" t="s">
        <v>189</v>
      </c>
      <c r="D130" s="154">
        <f>IF(C130="",0,IF(ISNUMBER(SEARCH("RESIDENTIAL",UPPER(B130),1)),'4. Billing Determinants'!D26, IF(C130="kWh",'4. Billing Determinants'!E26, IF(C130="kW",'4. Billing Determinants'!F26,'4. Billing Determinants'!D26))))</f>
        <v>461015.01227876113</v>
      </c>
      <c r="E130" s="155">
        <f>HLOOKUP($B130, '5. Allocation of Balances'!$D$4:$Z$56, 49,FALSE)</f>
        <v>195.66833153619507</v>
      </c>
      <c r="F130" s="200">
        <f t="shared" si="10"/>
        <v>2.1221470703201379E-4</v>
      </c>
      <c r="G130" s="1" t="str">
        <f t="shared" si="11"/>
        <v>$/kWh</v>
      </c>
    </row>
    <row r="131" spans="2:7" x14ac:dyDescent="0.25">
      <c r="B131" s="153" t="str">
        <f t="shared" si="9"/>
        <v/>
      </c>
      <c r="C131" s="74" t="s">
        <v>71</v>
      </c>
      <c r="D131" s="154">
        <f>IF(C131="",0,IF(ISNUMBER(SEARCH("RESIDENTIAL",UPPER(B131),1)),'4. Billing Determinants'!D27, IF(C131="kWh",'4. Billing Determinants'!E27, IF(C131="kW",'4. Billing Determinants'!F27,'4. Billing Determinants'!D27))))</f>
        <v>0</v>
      </c>
      <c r="E131" s="155">
        <f>HLOOKUP($B131, '5. Allocation of Balances'!$D$4:$Z$56, 49,FALSE)</f>
        <v>0</v>
      </c>
      <c r="F131" s="200">
        <f t="shared" si="10"/>
        <v>0</v>
      </c>
      <c r="G131" s="1" t="str">
        <f t="shared" si="11"/>
        <v>per customer per month</v>
      </c>
    </row>
    <row r="132" spans="2:7" x14ac:dyDescent="0.25">
      <c r="B132" s="153" t="str">
        <f t="shared" si="9"/>
        <v/>
      </c>
      <c r="C132" s="74" t="s">
        <v>71</v>
      </c>
      <c r="D132" s="154">
        <f>IF(C132="",0,IF(ISNUMBER(SEARCH("RESIDENTIAL",UPPER(B132),1)),'4. Billing Determinants'!D28, IF(C132="kWh",'4. Billing Determinants'!E28, IF(C132="kW",'4. Billing Determinants'!F28,'4. Billing Determinants'!D28))))</f>
        <v>0</v>
      </c>
      <c r="E132" s="155">
        <f>HLOOKUP($B132, '5. Allocation of Balances'!$D$4:$Z$56, 49,FALSE)</f>
        <v>0</v>
      </c>
      <c r="F132" s="200">
        <f t="shared" si="10"/>
        <v>0</v>
      </c>
      <c r="G132" s="1" t="str">
        <f t="shared" si="11"/>
        <v>per customer per month</v>
      </c>
    </row>
    <row r="133" spans="2:7" x14ac:dyDescent="0.25">
      <c r="B133" s="153" t="str">
        <f t="shared" si="9"/>
        <v/>
      </c>
      <c r="C133" s="74" t="str">
        <f>IF(ISBLANK('4. Billing Determinants'!C55), "", '4. Billing Determinants'!C55)</f>
        <v/>
      </c>
      <c r="D133" s="154">
        <f>IF(C133="",0,IF(ISNUMBER(SEARCH("RESIDENTIAL",UPPER(B133),1)),'4. Billing Determinants'!D29, IF(C133="kWh",'4. Billing Determinants'!E29, IF(C133="kW",'4. Billing Determinants'!F29,'4. Billing Determinants'!D29))))</f>
        <v>0</v>
      </c>
      <c r="E133" s="155">
        <f>HLOOKUP($B133, '5. Allocation of Balances'!$D$4:$Z$56, 49,FALSE)</f>
        <v>0</v>
      </c>
      <c r="F133" s="200">
        <f t="shared" si="10"/>
        <v>0</v>
      </c>
      <c r="G133" s="1" t="str">
        <f t="shared" si="11"/>
        <v/>
      </c>
    </row>
    <row r="134" spans="2:7" x14ac:dyDescent="0.25">
      <c r="B134" s="153" t="str">
        <f t="shared" si="9"/>
        <v/>
      </c>
      <c r="C134" s="74" t="str">
        <f>IF(ISBLANK('4. Billing Determinants'!C56), "", '4. Billing Determinants'!C56)</f>
        <v/>
      </c>
      <c r="D134" s="154">
        <f>IF(C134="",0,IF(ISNUMBER(SEARCH("RESIDENTIAL",UPPER(B134),1)),'4. Billing Determinants'!D30, IF(C134="kWh",'4. Billing Determinants'!E30, IF(C134="kW",'4. Billing Determinants'!F30,'4. Billing Determinants'!D30))))</f>
        <v>0</v>
      </c>
      <c r="E134" s="155">
        <f>HLOOKUP($B134, '5. Allocation of Balances'!$D$4:$Z$56, 49,FALSE)</f>
        <v>0</v>
      </c>
      <c r="F134" s="200">
        <f t="shared" si="10"/>
        <v>0</v>
      </c>
      <c r="G134" s="1" t="str">
        <f t="shared" si="11"/>
        <v/>
      </c>
    </row>
    <row r="135" spans="2:7" x14ac:dyDescent="0.25">
      <c r="B135" s="153" t="str">
        <f t="shared" si="9"/>
        <v/>
      </c>
      <c r="C135" s="74" t="str">
        <f>IF(ISBLANK('4. Billing Determinants'!C57), "", '4. Billing Determinants'!C57)</f>
        <v/>
      </c>
      <c r="D135" s="154">
        <f>IF(C135="",0,IF(ISNUMBER(SEARCH("RESIDENTIAL",UPPER(B135),1)),'4. Billing Determinants'!D31, IF(C135="kWh",'4. Billing Determinants'!E31, IF(C135="kW",'4. Billing Determinants'!F31,'4. Billing Determinants'!D31))))</f>
        <v>0</v>
      </c>
      <c r="E135" s="155">
        <f>HLOOKUP($B135, '5. Allocation of Balances'!$D$4:$Z$56, 49,FALSE)</f>
        <v>0</v>
      </c>
      <c r="F135" s="200">
        <f t="shared" si="10"/>
        <v>0</v>
      </c>
      <c r="G135" s="1" t="str">
        <f t="shared" si="11"/>
        <v/>
      </c>
    </row>
    <row r="136" spans="2:7" x14ac:dyDescent="0.25">
      <c r="B136" s="153" t="str">
        <f t="shared" si="9"/>
        <v/>
      </c>
      <c r="C136" s="74" t="str">
        <f>IF(ISBLANK('4. Billing Determinants'!C58), "", '4. Billing Determinants'!C58)</f>
        <v/>
      </c>
      <c r="D136" s="154">
        <f>IF(C136="",0,IF(ISNUMBER(SEARCH("RESIDENTIAL",UPPER(B136),1)),'4. Billing Determinants'!D32, IF(C136="kWh",'4. Billing Determinants'!E32, IF(C136="kW",'4. Billing Determinants'!F32,'4. Billing Determinants'!D32))))</f>
        <v>0</v>
      </c>
      <c r="E136" s="155">
        <f>HLOOKUP($B136, '5. Allocation of Balances'!$D$4:$Z$56, 49,FALSE)</f>
        <v>0</v>
      </c>
      <c r="F136" s="200">
        <f t="shared" si="10"/>
        <v>0</v>
      </c>
      <c r="G136" s="1" t="str">
        <f t="shared" si="11"/>
        <v/>
      </c>
    </row>
    <row r="137" spans="2:7" x14ac:dyDescent="0.25">
      <c r="B137" s="153" t="str">
        <f t="shared" si="9"/>
        <v/>
      </c>
      <c r="C137" s="74" t="str">
        <f>IF(ISBLANK('4. Billing Determinants'!C59), "", '4. Billing Determinants'!C59)</f>
        <v/>
      </c>
      <c r="D137" s="154">
        <f>IF(C137="",0,IF(ISNUMBER(SEARCH("RESIDENTIAL",UPPER(B137),1)),'4. Billing Determinants'!D33, IF(C137="kWh",'4. Billing Determinants'!E33, IF(C137="kW",'4. Billing Determinants'!F33,'4. Billing Determinants'!D33))))</f>
        <v>0</v>
      </c>
      <c r="E137" s="155">
        <f>HLOOKUP($B137, '5. Allocation of Balances'!$D$4:$Z$56, 49,FALSE)</f>
        <v>0</v>
      </c>
      <c r="F137" s="200">
        <f t="shared" si="10"/>
        <v>0</v>
      </c>
      <c r="G137" s="1" t="str">
        <f t="shared" si="11"/>
        <v/>
      </c>
    </row>
    <row r="138" spans="2:7" x14ac:dyDescent="0.25">
      <c r="B138" s="153" t="str">
        <f t="shared" si="9"/>
        <v/>
      </c>
      <c r="C138" s="74" t="str">
        <f>IF(ISBLANK('4. Billing Determinants'!C60), "", '4. Billing Determinants'!C60)</f>
        <v/>
      </c>
      <c r="D138" s="154">
        <f>IF(C138="",0,IF(ISNUMBER(SEARCH("RESIDENTIAL",UPPER(B138),1)),'4. Billing Determinants'!D34, IF(C138="kWh",'4. Billing Determinants'!E34, IF(C138="kW",'4. Billing Determinants'!F34,'4. Billing Determinants'!D34))))</f>
        <v>0</v>
      </c>
      <c r="E138" s="155">
        <f>HLOOKUP($B138, '5. Allocation of Balances'!$D$4:$Z$56, 49,FALSE)</f>
        <v>0</v>
      </c>
      <c r="F138" s="200">
        <f t="shared" si="10"/>
        <v>0</v>
      </c>
      <c r="G138" s="1" t="str">
        <f t="shared" si="11"/>
        <v/>
      </c>
    </row>
    <row r="139" spans="2:7" x14ac:dyDescent="0.25">
      <c r="B139" s="153" t="str">
        <f t="shared" si="9"/>
        <v/>
      </c>
      <c r="C139" s="74" t="str">
        <f>IF(ISBLANK('4. Billing Determinants'!C61), "", '4. Billing Determinants'!C61)</f>
        <v/>
      </c>
      <c r="D139" s="154">
        <f>IF(C139="",0,IF(ISNUMBER(SEARCH("RESIDENTIAL",UPPER(B139),1)),'4. Billing Determinants'!D35, IF(C139="kWh",'4. Billing Determinants'!E35, IF(C139="kW",'4. Billing Determinants'!F35,'4. Billing Determinants'!D35))))</f>
        <v>0</v>
      </c>
      <c r="E139" s="155">
        <f>HLOOKUP($B139, '5. Allocation of Balances'!$D$4:$Z$56, 49,FALSE)</f>
        <v>0</v>
      </c>
      <c r="F139" s="200">
        <f t="shared" si="10"/>
        <v>0</v>
      </c>
      <c r="G139" s="1" t="str">
        <f t="shared" si="11"/>
        <v/>
      </c>
    </row>
    <row r="140" spans="2:7" x14ac:dyDescent="0.25">
      <c r="B140" s="153" t="str">
        <f t="shared" si="9"/>
        <v/>
      </c>
      <c r="C140" s="74" t="str">
        <f>IF(ISBLANK('4. Billing Determinants'!C62), "", '4. Billing Determinants'!C62)</f>
        <v/>
      </c>
      <c r="D140" s="154">
        <f>IF(C140="",0,IF(ISNUMBER(SEARCH("RESIDENTIAL",UPPER(B140),1)),'4. Billing Determinants'!D36, IF(C140="kWh",'4. Billing Determinants'!E36, IF(C140="kW",'4. Billing Determinants'!F36,'4. Billing Determinants'!D36))))</f>
        <v>0</v>
      </c>
      <c r="E140" s="155">
        <f>HLOOKUP($B140, '5. Allocation of Balances'!$D$4:$Z$56, 49,FALSE)</f>
        <v>0</v>
      </c>
      <c r="F140" s="200">
        <f t="shared" si="10"/>
        <v>0</v>
      </c>
      <c r="G140" s="1" t="str">
        <f t="shared" si="11"/>
        <v/>
      </c>
    </row>
    <row r="141" spans="2:7" x14ac:dyDescent="0.25">
      <c r="B141" s="153" t="str">
        <f t="shared" si="9"/>
        <v/>
      </c>
      <c r="C141" s="74" t="str">
        <f>IF(ISBLANK('4. Billing Determinants'!C63), "", '4. Billing Determinants'!C63)</f>
        <v/>
      </c>
      <c r="D141" s="154">
        <f>IF(C141="",0,IF(ISNUMBER(SEARCH("RESIDENTIAL",UPPER(B141),1)),'4. Billing Determinants'!D37, IF(C141="kWh",'4. Billing Determinants'!E37, IF(C141="kW",'4. Billing Determinants'!F37,'4. Billing Determinants'!D37))))</f>
        <v>0</v>
      </c>
      <c r="E141" s="155">
        <f>HLOOKUP($B141, '5. Allocation of Balances'!$D$4:$Z$56, 49,FALSE)</f>
        <v>0</v>
      </c>
      <c r="F141" s="200">
        <f t="shared" si="10"/>
        <v>0</v>
      </c>
      <c r="G141" s="1" t="str">
        <f t="shared" si="11"/>
        <v/>
      </c>
    </row>
    <row r="142" spans="2:7" x14ac:dyDescent="0.25">
      <c r="B142" s="153" t="str">
        <f t="shared" si="9"/>
        <v/>
      </c>
      <c r="C142" s="74" t="str">
        <f>IF(ISBLANK('4. Billing Determinants'!C64), "", '4. Billing Determinants'!C64)</f>
        <v/>
      </c>
      <c r="D142" s="154">
        <f>IF(C142="",0,IF(ISNUMBER(SEARCH("RESIDENTIAL",UPPER(B142),1)),'4. Billing Determinants'!D38, IF(C142="kWh",'4. Billing Determinants'!E38, IF(C142="kW",'4. Billing Determinants'!F38,'4. Billing Determinants'!D38))))</f>
        <v>0</v>
      </c>
      <c r="E142" s="155">
        <f>HLOOKUP($B142, '5. Allocation of Balances'!$D$4:$Z$56, 49,FALSE)</f>
        <v>0</v>
      </c>
      <c r="F142" s="200">
        <f t="shared" si="10"/>
        <v>0</v>
      </c>
      <c r="G142" s="1" t="str">
        <f t="shared" si="11"/>
        <v/>
      </c>
    </row>
    <row r="143" spans="2:7" x14ac:dyDescent="0.25">
      <c r="B143" s="153" t="str">
        <f t="shared" si="9"/>
        <v/>
      </c>
      <c r="C143" s="74" t="str">
        <f>IF(ISBLANK('4. Billing Determinants'!C65), "", '4. Billing Determinants'!C65)</f>
        <v/>
      </c>
      <c r="D143" s="154">
        <f>IF(C143="",0,IF(ISNUMBER(SEARCH("RESIDENTIAL",UPPER(B143),1)),'4. Billing Determinants'!D39, IF(C143="kWh",'4. Billing Determinants'!E39, IF(C143="kW",'4. Billing Determinants'!F39,'4. Billing Determinants'!D39))))</f>
        <v>0</v>
      </c>
      <c r="E143" s="155">
        <f>HLOOKUP($B143, '5. Allocation of Balances'!$D$4:$Z$56, 49,FALSE)</f>
        <v>0</v>
      </c>
      <c r="F143" s="200">
        <f t="shared" si="10"/>
        <v>0</v>
      </c>
      <c r="G143" s="1" t="str">
        <f t="shared" si="11"/>
        <v/>
      </c>
    </row>
    <row r="144" spans="2:7" x14ac:dyDescent="0.25">
      <c r="B144" s="153" t="str">
        <f t="shared" si="9"/>
        <v/>
      </c>
      <c r="C144" s="74" t="str">
        <f>IF(ISBLANK('4. Billing Determinants'!C66), "", '4. Billing Determinants'!C66)</f>
        <v/>
      </c>
      <c r="D144" s="154">
        <f>IF(C144="",0,IF(ISNUMBER(SEARCH("RESIDENTIAL",UPPER(B144),1)),'4. Billing Determinants'!D40, IF(C144="kWh",'4. Billing Determinants'!E40, IF(C144="kW",'4. Billing Determinants'!F40,'4. Billing Determinants'!D40))))</f>
        <v>0</v>
      </c>
      <c r="E144" s="155">
        <f>HLOOKUP($B144, '5. Allocation of Balances'!$D$4:$Z$56, 49,FALSE)</f>
        <v>0</v>
      </c>
      <c r="F144" s="200">
        <f t="shared" si="10"/>
        <v>0</v>
      </c>
      <c r="G144" s="1" t="str">
        <f t="shared" si="11"/>
        <v/>
      </c>
    </row>
    <row r="145" spans="2:7" x14ac:dyDescent="0.25">
      <c r="B145" s="159" t="s">
        <v>63</v>
      </c>
      <c r="C145" s="160"/>
      <c r="D145" s="161"/>
      <c r="E145" s="162">
        <f>SUM(E125:E144)</f>
        <v>102951.70264</v>
      </c>
      <c r="F145" s="159"/>
    </row>
    <row r="147" spans="2:7" ht="17.399999999999999" x14ac:dyDescent="0.3">
      <c r="B147" s="151" t="s">
        <v>98</v>
      </c>
    </row>
    <row r="148" spans="2:7" ht="17.399999999999999" x14ac:dyDescent="0.3">
      <c r="B148" s="151"/>
    </row>
    <row r="149" spans="2:7" x14ac:dyDescent="0.25">
      <c r="B149" s="63" t="s">
        <v>78</v>
      </c>
      <c r="C149" s="64"/>
      <c r="D149" s="65">
        <v>1</v>
      </c>
    </row>
    <row r="150" spans="2:7" ht="12.75" customHeight="1" x14ac:dyDescent="0.25">
      <c r="C150" s="152"/>
    </row>
    <row r="151" spans="2:7" x14ac:dyDescent="0.25">
      <c r="B151" s="471" t="s">
        <v>72</v>
      </c>
      <c r="C151" s="470" t="s">
        <v>62</v>
      </c>
      <c r="D151" s="497" t="s">
        <v>71</v>
      </c>
      <c r="E151" s="497" t="s">
        <v>99</v>
      </c>
      <c r="F151" s="499" t="s">
        <v>100</v>
      </c>
    </row>
    <row r="152" spans="2:7" ht="25.5" customHeight="1" x14ac:dyDescent="0.25">
      <c r="B152" s="472"/>
      <c r="C152" s="470"/>
      <c r="D152" s="498"/>
      <c r="E152" s="498"/>
      <c r="F152" s="499"/>
    </row>
    <row r="153" spans="2:7" x14ac:dyDescent="0.25">
      <c r="B153" s="153" t="str">
        <f t="shared" ref="B153:B172" si="12">B20</f>
        <v>RESIDENTIAL</v>
      </c>
      <c r="C153" s="74" t="s">
        <v>71</v>
      </c>
      <c r="D153" s="154">
        <f>IF(C153="",0, IF(C153="kWh",'4. Billing Determinants'!E21, IF(C153="kW",'4. Billing Determinants'!F21,'4. Billing Determinants'!D21)))</f>
        <v>15554.75</v>
      </c>
      <c r="E153" s="155">
        <f>HLOOKUP($B153, '5. Allocation of Balances'!$C$4:$Y$56, 53,FALSE)</f>
        <v>0</v>
      </c>
      <c r="F153" s="156">
        <f>IF(ISERROR(E153/D153), 0, IF(C153="# of Customers", E153/D153/12/$D$149, E153/D153/$D$149))</f>
        <v>0</v>
      </c>
      <c r="G153" s="1" t="str">
        <f t="shared" ref="G153:G172" si="13">IF(C153="", "", IF(C153="# of Customers", "per customer per month", "$/"&amp;C153))</f>
        <v>per customer per month</v>
      </c>
    </row>
    <row r="154" spans="2:7" x14ac:dyDescent="0.25">
      <c r="B154" s="153" t="str">
        <f t="shared" si="12"/>
        <v>GENERAL SERVICE &lt; 50 KW</v>
      </c>
      <c r="C154" s="74" t="s">
        <v>71</v>
      </c>
      <c r="D154" s="154">
        <f>IF(C154="",0,IF(ISNUMBER(SEARCH("RESIDENTIAL",UPPER(B154),1)),'4. Billing Determinants'!D22, IF(C154="kWh",'4. Billing Determinants'!E22, IF(C154="kW",'4. Billing Determinants'!F22,'4. Billing Determinants'!D22))))</f>
        <v>1034.4166666666667</v>
      </c>
      <c r="E154" s="155">
        <f>HLOOKUP($B154, '5. Allocation of Balances'!$C$4:$Y$56, 53,FALSE)</f>
        <v>0</v>
      </c>
      <c r="F154" s="156">
        <f t="shared" ref="F154:F172" si="14">IF(ISERROR(E154/D154), 0, IF(C154="# of Customers", E154/D154/12/$D$149, E154/D154/$D$149))</f>
        <v>0</v>
      </c>
      <c r="G154" s="1" t="str">
        <f t="shared" si="13"/>
        <v>per customer per month</v>
      </c>
    </row>
    <row r="155" spans="2:7" x14ac:dyDescent="0.25">
      <c r="B155" s="153" t="str">
        <f t="shared" si="12"/>
        <v>GENERAL SERVICE &gt; 50 KW TO 4,999 KW</v>
      </c>
      <c r="C155" s="74" t="s">
        <v>71</v>
      </c>
      <c r="D155" s="154">
        <f>IF(C155="",0,IF(ISNUMBER(SEARCH("RESIDENTIAL",UPPER(B155),1)),'4. Billing Determinants'!D23, IF(C155="kWh",'4. Billing Determinants'!E23, IF(C155="kW",'4. Billing Determinants'!F23,'4. Billing Determinants'!D23))))</f>
        <v>87.5</v>
      </c>
      <c r="E155" s="155">
        <f>HLOOKUP($B155, '5. Allocation of Balances'!$C$4:$Y$56, 53,FALSE)</f>
        <v>0</v>
      </c>
      <c r="F155" s="156">
        <f t="shared" si="14"/>
        <v>0</v>
      </c>
      <c r="G155" s="1" t="str">
        <f t="shared" si="13"/>
        <v>per customer per month</v>
      </c>
    </row>
    <row r="156" spans="2:7" x14ac:dyDescent="0.25">
      <c r="B156" s="153" t="str">
        <f t="shared" si="12"/>
        <v>SENTINEL LIGHTING</v>
      </c>
      <c r="C156" s="74" t="s">
        <v>71</v>
      </c>
      <c r="D156" s="154">
        <f>IF(C156="",0,IF(ISNUMBER(SEARCH("RESIDENTIAL",UPPER(B156),1)),'4. Billing Determinants'!D24, IF(C156="kWh",'4. Billing Determinants'!E24, IF(C156="kW",'4. Billing Determinants'!F24,'4. Billing Determinants'!D24))))</f>
        <v>161</v>
      </c>
      <c r="E156" s="155">
        <f>HLOOKUP($B156, '5. Allocation of Balances'!$C$4:$Y$56, 53,FALSE)</f>
        <v>0</v>
      </c>
      <c r="F156" s="156">
        <f t="shared" si="14"/>
        <v>0</v>
      </c>
      <c r="G156" s="1" t="str">
        <f t="shared" si="13"/>
        <v>per customer per month</v>
      </c>
    </row>
    <row r="157" spans="2:7" x14ac:dyDescent="0.25">
      <c r="B157" s="153" t="str">
        <f t="shared" si="12"/>
        <v>STREET LIGHTING</v>
      </c>
      <c r="C157" s="74" t="s">
        <v>71</v>
      </c>
      <c r="D157" s="154">
        <f>IF(C157="",0,IF(ISNUMBER(SEARCH("RESIDENTIAL",UPPER(B157),1)),'4. Billing Determinants'!D25, IF(C157="kWh",'4. Billing Determinants'!E25, IF(C157="kW",'4. Billing Determinants'!F25,'4. Billing Determinants'!D25))))</f>
        <v>2994.8333333333335</v>
      </c>
      <c r="E157" s="155">
        <f>HLOOKUP($B157, '5. Allocation of Balances'!$C$4:$Y$56, 53,FALSE)</f>
        <v>0</v>
      </c>
      <c r="F157" s="156">
        <f t="shared" si="14"/>
        <v>0</v>
      </c>
      <c r="G157" s="1" t="str">
        <f t="shared" si="13"/>
        <v>per customer per month</v>
      </c>
    </row>
    <row r="158" spans="2:7" x14ac:dyDescent="0.25">
      <c r="B158" s="153" t="str">
        <f t="shared" si="12"/>
        <v>UNMETERED SCATTERED LOAD</v>
      </c>
      <c r="C158" s="74" t="s">
        <v>71</v>
      </c>
      <c r="D158" s="154">
        <f>IF(C158="",0,IF(ISNUMBER(SEARCH("RESIDENTIAL",UPPER(B158),1)),'4. Billing Determinants'!D26, IF(C158="kWh",'4. Billing Determinants'!E26, IF(C158="kW",'4. Billing Determinants'!F26,'4. Billing Determinants'!D26))))</f>
        <v>73.5</v>
      </c>
      <c r="E158" s="155">
        <f>HLOOKUP($B158, '5. Allocation of Balances'!$C$4:$Y$56, 53,FALSE)</f>
        <v>0</v>
      </c>
      <c r="F158" s="156">
        <f t="shared" si="14"/>
        <v>0</v>
      </c>
      <c r="G158" s="1" t="str">
        <f t="shared" si="13"/>
        <v>per customer per month</v>
      </c>
    </row>
    <row r="159" spans="2:7" x14ac:dyDescent="0.25">
      <c r="B159" s="153" t="str">
        <f t="shared" si="12"/>
        <v/>
      </c>
      <c r="C159" s="74" t="s">
        <v>71</v>
      </c>
      <c r="D159" s="154">
        <f>IF(C159="",0,IF(ISNUMBER(SEARCH("RESIDENTIAL",UPPER(B159),1)),'4. Billing Determinants'!D27, IF(C159="kWh",'4. Billing Determinants'!E27, IF(C159="kW",'4. Billing Determinants'!F27,'4. Billing Determinants'!D27))))</f>
        <v>0</v>
      </c>
      <c r="E159" s="155">
        <f>HLOOKUP($B159, '5. Allocation of Balances'!$C$4:$Y$56, 53,FALSE)</f>
        <v>0</v>
      </c>
      <c r="F159" s="156">
        <f t="shared" si="14"/>
        <v>0</v>
      </c>
      <c r="G159" s="1" t="str">
        <f t="shared" si="13"/>
        <v>per customer per month</v>
      </c>
    </row>
    <row r="160" spans="2:7" x14ac:dyDescent="0.25">
      <c r="B160" s="153" t="str">
        <f t="shared" si="12"/>
        <v/>
      </c>
      <c r="C160" s="74" t="s">
        <v>71</v>
      </c>
      <c r="D160" s="154">
        <f>IF(C160="",0,IF(ISNUMBER(SEARCH("RESIDENTIAL",UPPER(B160),1)),'4. Billing Determinants'!D28, IF(C160="kWh",'4. Billing Determinants'!E28, IF(C160="kW",'4. Billing Determinants'!F28,'4. Billing Determinants'!D28))))</f>
        <v>0</v>
      </c>
      <c r="E160" s="155">
        <f>HLOOKUP($B160, '5. Allocation of Balances'!$C$4:$Y$56, 53,FALSE)</f>
        <v>0</v>
      </c>
      <c r="F160" s="156">
        <f t="shared" si="14"/>
        <v>0</v>
      </c>
      <c r="G160" s="1" t="str">
        <f t="shared" si="13"/>
        <v>per customer per month</v>
      </c>
    </row>
    <row r="161" spans="2:7" x14ac:dyDescent="0.25">
      <c r="B161" s="153" t="str">
        <f t="shared" si="12"/>
        <v/>
      </c>
      <c r="C161" s="74" t="str">
        <f>IF(ISBLANK('4. Billing Determinants'!C29), "", '4. Billing Determinants'!C29)</f>
        <v/>
      </c>
      <c r="D161" s="154">
        <f>IF(C161="",0,IF(ISNUMBER(SEARCH("RESIDENTIAL",UPPER(B161),1)),'4. Billing Determinants'!D29, IF(C161="kWh",'4. Billing Determinants'!E29, IF(C161="kW",'4. Billing Determinants'!F29,'4. Billing Determinants'!D29))))</f>
        <v>0</v>
      </c>
      <c r="E161" s="155">
        <f>HLOOKUP($B161, '5. Allocation of Balances'!$C$4:$Y$56, 53,FALSE)</f>
        <v>0</v>
      </c>
      <c r="F161" s="156">
        <f t="shared" si="14"/>
        <v>0</v>
      </c>
      <c r="G161" s="1" t="str">
        <f t="shared" si="13"/>
        <v/>
      </c>
    </row>
    <row r="162" spans="2:7" x14ac:dyDescent="0.25">
      <c r="B162" s="153" t="str">
        <f t="shared" si="12"/>
        <v/>
      </c>
      <c r="C162" s="74" t="str">
        <f>IF(ISBLANK('4. Billing Determinants'!C30), "", '4. Billing Determinants'!C30)</f>
        <v/>
      </c>
      <c r="D162" s="154">
        <f>IF(C162="",0,IF(ISNUMBER(SEARCH("RESIDENTIAL",UPPER(B162),1)),'4. Billing Determinants'!D30, IF(C162="kWh",'4. Billing Determinants'!E30, IF(C162="kW",'4. Billing Determinants'!F30,'4. Billing Determinants'!D30))))</f>
        <v>0</v>
      </c>
      <c r="E162" s="155">
        <f>HLOOKUP($B162, '5. Allocation of Balances'!$C$4:$Y$56, 53,FALSE)</f>
        <v>0</v>
      </c>
      <c r="F162" s="156">
        <f t="shared" si="14"/>
        <v>0</v>
      </c>
      <c r="G162" s="1" t="str">
        <f t="shared" si="13"/>
        <v/>
      </c>
    </row>
    <row r="163" spans="2:7" x14ac:dyDescent="0.25">
      <c r="B163" s="153" t="str">
        <f t="shared" si="12"/>
        <v/>
      </c>
      <c r="C163" s="74" t="str">
        <f>IF(ISBLANK('4. Billing Determinants'!C31), "", '4. Billing Determinants'!C31)</f>
        <v/>
      </c>
      <c r="D163" s="154">
        <f>IF(C163="",0,IF(ISNUMBER(SEARCH("RESIDENTIAL",UPPER(B163),1)),'4. Billing Determinants'!D31, IF(C163="kWh",'4. Billing Determinants'!E31, IF(C163="kW",'4. Billing Determinants'!F31,'4. Billing Determinants'!D31))))</f>
        <v>0</v>
      </c>
      <c r="E163" s="155">
        <f>HLOOKUP($B163, '5. Allocation of Balances'!$C$4:$Y$56, 53,FALSE)</f>
        <v>0</v>
      </c>
      <c r="F163" s="156">
        <f t="shared" si="14"/>
        <v>0</v>
      </c>
      <c r="G163" s="1" t="str">
        <f t="shared" si="13"/>
        <v/>
      </c>
    </row>
    <row r="164" spans="2:7" x14ac:dyDescent="0.25">
      <c r="B164" s="153" t="str">
        <f t="shared" si="12"/>
        <v/>
      </c>
      <c r="C164" s="74" t="str">
        <f>IF(ISBLANK('4. Billing Determinants'!C32), "", '4. Billing Determinants'!C32)</f>
        <v/>
      </c>
      <c r="D164" s="154">
        <f>IF(C164="",0,IF(ISNUMBER(SEARCH("RESIDENTIAL",UPPER(B164),1)),'4. Billing Determinants'!D32, IF(C164="kWh",'4. Billing Determinants'!E32, IF(C164="kW",'4. Billing Determinants'!F32,'4. Billing Determinants'!D32))))</f>
        <v>0</v>
      </c>
      <c r="E164" s="155">
        <f>HLOOKUP($B164, '5. Allocation of Balances'!$C$4:$Y$56, 53,FALSE)</f>
        <v>0</v>
      </c>
      <c r="F164" s="156">
        <f t="shared" si="14"/>
        <v>0</v>
      </c>
      <c r="G164" s="1" t="str">
        <f t="shared" si="13"/>
        <v/>
      </c>
    </row>
    <row r="165" spans="2:7" x14ac:dyDescent="0.25">
      <c r="B165" s="153" t="str">
        <f t="shared" si="12"/>
        <v/>
      </c>
      <c r="C165" s="74" t="str">
        <f>IF(ISBLANK('4. Billing Determinants'!C33), "", '4. Billing Determinants'!C33)</f>
        <v/>
      </c>
      <c r="D165" s="154">
        <f>IF(C165="",0,IF(ISNUMBER(SEARCH("RESIDENTIAL",UPPER(B165),1)),'4. Billing Determinants'!D33, IF(C165="kWh",'4. Billing Determinants'!E33, IF(C165="kW",'4. Billing Determinants'!F33,'4. Billing Determinants'!D33))))</f>
        <v>0</v>
      </c>
      <c r="E165" s="155">
        <f>HLOOKUP($B165, '5. Allocation of Balances'!$C$4:$Y$56, 53,FALSE)</f>
        <v>0</v>
      </c>
      <c r="F165" s="156">
        <f t="shared" si="14"/>
        <v>0</v>
      </c>
      <c r="G165" s="1" t="str">
        <f t="shared" si="13"/>
        <v/>
      </c>
    </row>
    <row r="166" spans="2:7" x14ac:dyDescent="0.25">
      <c r="B166" s="153" t="str">
        <f t="shared" si="12"/>
        <v/>
      </c>
      <c r="C166" s="74" t="str">
        <f>IF(ISBLANK('4. Billing Determinants'!C34), "", '4. Billing Determinants'!C34)</f>
        <v/>
      </c>
      <c r="D166" s="154">
        <f>IF(C166="",0,IF(ISNUMBER(SEARCH("RESIDENTIAL",UPPER(B166),1)),'4. Billing Determinants'!D34, IF(C166="kWh",'4. Billing Determinants'!E34, IF(C166="kW",'4. Billing Determinants'!F34,'4. Billing Determinants'!D34))))</f>
        <v>0</v>
      </c>
      <c r="E166" s="155">
        <f>HLOOKUP($B166, '5. Allocation of Balances'!$C$4:$Y$56, 53,FALSE)</f>
        <v>0</v>
      </c>
      <c r="F166" s="156">
        <f t="shared" si="14"/>
        <v>0</v>
      </c>
      <c r="G166" s="1" t="str">
        <f t="shared" si="13"/>
        <v/>
      </c>
    </row>
    <row r="167" spans="2:7" x14ac:dyDescent="0.25">
      <c r="B167" s="153" t="str">
        <f t="shared" si="12"/>
        <v/>
      </c>
      <c r="C167" s="74" t="str">
        <f>IF(ISBLANK('4. Billing Determinants'!C35), "", '4. Billing Determinants'!C35)</f>
        <v/>
      </c>
      <c r="D167" s="154">
        <f>IF(C167="",0,IF(ISNUMBER(SEARCH("RESIDENTIAL",UPPER(B167),1)),'4. Billing Determinants'!D35, IF(C167="kWh",'4. Billing Determinants'!E35, IF(C167="kW",'4. Billing Determinants'!F35,'4. Billing Determinants'!D35))))</f>
        <v>0</v>
      </c>
      <c r="E167" s="155">
        <f>HLOOKUP($B167, '5. Allocation of Balances'!$C$4:$Y$56, 53,FALSE)</f>
        <v>0</v>
      </c>
      <c r="F167" s="156">
        <f t="shared" si="14"/>
        <v>0</v>
      </c>
      <c r="G167" s="1" t="str">
        <f t="shared" si="13"/>
        <v/>
      </c>
    </row>
    <row r="168" spans="2:7" x14ac:dyDescent="0.25">
      <c r="B168" s="153" t="str">
        <f t="shared" si="12"/>
        <v/>
      </c>
      <c r="C168" s="74" t="str">
        <f>IF(ISBLANK('4. Billing Determinants'!C36), "", '4. Billing Determinants'!C36)</f>
        <v/>
      </c>
      <c r="D168" s="154">
        <f>IF(C168="",0,IF(ISNUMBER(SEARCH("RESIDENTIAL",UPPER(B168),1)),'4. Billing Determinants'!D36, IF(C168="kWh",'4. Billing Determinants'!E36, IF(C168="kW",'4. Billing Determinants'!F36,'4. Billing Determinants'!D36))))</f>
        <v>0</v>
      </c>
      <c r="E168" s="155">
        <f>HLOOKUP($B168, '5. Allocation of Balances'!$C$4:$Y$56, 53,FALSE)</f>
        <v>0</v>
      </c>
      <c r="F168" s="156">
        <f t="shared" si="14"/>
        <v>0</v>
      </c>
      <c r="G168" s="1" t="str">
        <f t="shared" si="13"/>
        <v/>
      </c>
    </row>
    <row r="169" spans="2:7" x14ac:dyDescent="0.25">
      <c r="B169" s="153" t="str">
        <f t="shared" si="12"/>
        <v/>
      </c>
      <c r="C169" s="74" t="str">
        <f>IF(ISBLANK('4. Billing Determinants'!C37), "", '4. Billing Determinants'!C37)</f>
        <v/>
      </c>
      <c r="D169" s="154">
        <f>IF(C169="",0,IF(ISNUMBER(SEARCH("RESIDENTIAL",UPPER(B169),1)),'4. Billing Determinants'!D37, IF(C169="kWh",'4. Billing Determinants'!E37, IF(C169="kW",'4. Billing Determinants'!F37,'4. Billing Determinants'!D37))))</f>
        <v>0</v>
      </c>
      <c r="E169" s="155">
        <f>HLOOKUP($B169, '5. Allocation of Balances'!$C$4:$Y$56, 53,FALSE)</f>
        <v>0</v>
      </c>
      <c r="F169" s="156">
        <f t="shared" si="14"/>
        <v>0</v>
      </c>
      <c r="G169" s="1" t="str">
        <f t="shared" si="13"/>
        <v/>
      </c>
    </row>
    <row r="170" spans="2:7" x14ac:dyDescent="0.25">
      <c r="B170" s="153" t="str">
        <f t="shared" si="12"/>
        <v/>
      </c>
      <c r="C170" s="74" t="str">
        <f>IF(ISBLANK('4. Billing Determinants'!C38), "", '4. Billing Determinants'!C38)</f>
        <v/>
      </c>
      <c r="D170" s="154">
        <f>IF(C170="",0,IF(ISNUMBER(SEARCH("RESIDENTIAL",UPPER(B170),1)),'4. Billing Determinants'!D38, IF(C170="kWh",'4. Billing Determinants'!E38, IF(C170="kW",'4. Billing Determinants'!F38,'4. Billing Determinants'!D38))))</f>
        <v>0</v>
      </c>
      <c r="E170" s="155">
        <f>HLOOKUP($B170, '5. Allocation of Balances'!$C$4:$Y$56, 53,FALSE)</f>
        <v>0</v>
      </c>
      <c r="F170" s="156">
        <f t="shared" si="14"/>
        <v>0</v>
      </c>
      <c r="G170" s="1" t="str">
        <f t="shared" si="13"/>
        <v/>
      </c>
    </row>
    <row r="171" spans="2:7" x14ac:dyDescent="0.25">
      <c r="B171" s="153" t="str">
        <f t="shared" si="12"/>
        <v/>
      </c>
      <c r="C171" s="74" t="str">
        <f>IF(ISBLANK('4. Billing Determinants'!C39), "", '4. Billing Determinants'!C39)</f>
        <v/>
      </c>
      <c r="D171" s="154">
        <f>IF(C171="",0,IF(ISNUMBER(SEARCH("RESIDENTIAL",UPPER(B171),1)),'4. Billing Determinants'!D39, IF(C171="kWh",'4. Billing Determinants'!E39, IF(C171="kW",'4. Billing Determinants'!F39,'4. Billing Determinants'!D39))))</f>
        <v>0</v>
      </c>
      <c r="E171" s="155">
        <f>HLOOKUP($B171, '5. Allocation of Balances'!$C$4:$Y$56, 53,FALSE)</f>
        <v>0</v>
      </c>
      <c r="F171" s="156">
        <f t="shared" si="14"/>
        <v>0</v>
      </c>
      <c r="G171" s="1" t="str">
        <f t="shared" si="13"/>
        <v/>
      </c>
    </row>
    <row r="172" spans="2:7" x14ac:dyDescent="0.25">
      <c r="B172" s="153" t="str">
        <f t="shared" si="12"/>
        <v/>
      </c>
      <c r="C172" s="74" t="str">
        <f>IF(ISBLANK('4. Billing Determinants'!C40), "", '4. Billing Determinants'!C40)</f>
        <v/>
      </c>
      <c r="D172" s="154">
        <f>IF(C172="",0,IF(ISNUMBER(SEARCH("RESIDENTIAL",UPPER(B172),1)),'4. Billing Determinants'!D40, IF(C172="kWh",'4. Billing Determinants'!E40, IF(C172="kW",'4. Billing Determinants'!F40,'4. Billing Determinants'!D40))))</f>
        <v>0</v>
      </c>
      <c r="E172" s="155">
        <f>HLOOKUP($B172, '5. Allocation of Balances'!$C$4:$Y$56, 53,FALSE)</f>
        <v>0</v>
      </c>
      <c r="F172" s="156">
        <f t="shared" si="14"/>
        <v>0</v>
      </c>
      <c r="G172" s="1" t="str">
        <f t="shared" si="13"/>
        <v/>
      </c>
    </row>
    <row r="173" spans="2:7" x14ac:dyDescent="0.25">
      <c r="B173" s="159" t="s">
        <v>63</v>
      </c>
      <c r="C173" s="160"/>
      <c r="D173" s="161"/>
      <c r="E173" s="162">
        <f>SUM(E153:E172)</f>
        <v>0</v>
      </c>
      <c r="F173" s="159"/>
    </row>
    <row r="175" spans="2:7" ht="17.399999999999999" x14ac:dyDescent="0.3">
      <c r="B175" s="151" t="s">
        <v>190</v>
      </c>
    </row>
    <row r="176" spans="2:7" ht="17.399999999999999" x14ac:dyDescent="0.3">
      <c r="B176" s="151"/>
    </row>
    <row r="177" spans="2:7" x14ac:dyDescent="0.25">
      <c r="B177" s="63" t="s">
        <v>78</v>
      </c>
      <c r="C177" s="64"/>
      <c r="D177" s="65">
        <v>1</v>
      </c>
    </row>
    <row r="179" spans="2:7" x14ac:dyDescent="0.25">
      <c r="B179" s="471" t="s">
        <v>72</v>
      </c>
      <c r="C179" s="470" t="s">
        <v>62</v>
      </c>
      <c r="D179" s="497" t="s">
        <v>79</v>
      </c>
      <c r="E179" s="497" t="s">
        <v>191</v>
      </c>
      <c r="F179" s="499" t="s">
        <v>192</v>
      </c>
    </row>
    <row r="180" spans="2:7" x14ac:dyDescent="0.25">
      <c r="B180" s="472"/>
      <c r="C180" s="470"/>
      <c r="D180" s="498"/>
      <c r="E180" s="498"/>
      <c r="F180" s="499"/>
    </row>
    <row r="181" spans="2:7" x14ac:dyDescent="0.25">
      <c r="B181" s="153" t="str">
        <f t="shared" ref="B181:B200" si="15">B20</f>
        <v>RESIDENTIAL</v>
      </c>
      <c r="C181" s="74" t="s">
        <v>189</v>
      </c>
      <c r="D181" s="154">
        <f>IF(C181="",0, IF(C181="kWh",'4. Billing Determinants'!E21, IF(C181="kW",'4. Billing Determinants'!F21,'4. Billing Determinants'!D21)))</f>
        <v>145847424</v>
      </c>
      <c r="E181" s="155">
        <f>HLOOKUP($B181, '5. Allocation of Balances'!$D$4:$Z$56, 36,FALSE)</f>
        <v>0</v>
      </c>
      <c r="F181" s="156">
        <f t="shared" ref="F181:F200" si="16">IF(ISERROR(E181/D181), 0, IF(C181="# of Customers", E181/D181/12/$D$177, E181/D181/$D$177))</f>
        <v>0</v>
      </c>
      <c r="G181" s="157" t="str">
        <f>IF(C181="", "", IF(C181="# of Customers", "per customer per month", "$/"&amp;C181))</f>
        <v>$/kWh</v>
      </c>
    </row>
    <row r="182" spans="2:7" x14ac:dyDescent="0.25">
      <c r="B182" s="153" t="str">
        <f t="shared" si="15"/>
        <v>GENERAL SERVICE &lt; 50 KW</v>
      </c>
      <c r="C182" s="74" t="s">
        <v>189</v>
      </c>
      <c r="D182" s="154">
        <f>IF(C182="",0, IF(C182="kWh",'4. Billing Determinants'!E22, IF(C182="kW",'4. Billing Determinants'!F22,'4. Billing Determinants'!D22)))</f>
        <v>31828340</v>
      </c>
      <c r="E182" s="155">
        <f>HLOOKUP($B182, '5. Allocation of Balances'!$D$4:$Z$56, 36,FALSE)</f>
        <v>0</v>
      </c>
      <c r="F182" s="156">
        <f t="shared" si="16"/>
        <v>0</v>
      </c>
      <c r="G182" s="157" t="str">
        <f t="shared" ref="G182:G200" si="17">IF(C182="", "", IF(C182="# of Customers", "per customer per month", "$/"&amp;C182))</f>
        <v>$/kWh</v>
      </c>
    </row>
    <row r="183" spans="2:7" x14ac:dyDescent="0.25">
      <c r="B183" s="153" t="str">
        <f t="shared" si="15"/>
        <v>GENERAL SERVICE &gt; 50 KW TO 4,999 KW</v>
      </c>
      <c r="C183" s="74" t="str">
        <f>IF(ISBLANK('4. Billing Determinants'!C23), "", '4. Billing Determinants'!C23)</f>
        <v>kW</v>
      </c>
      <c r="D183" s="154">
        <f>IF(C183="",0, IF(C183="kWh",'4. Billing Determinants'!E23, IF(C183="kW",'4. Billing Determinants'!F23,'4. Billing Determinants'!D23)))</f>
        <v>176744</v>
      </c>
      <c r="E183" s="155">
        <f>HLOOKUP($B183, '5. Allocation of Balances'!$D$4:$Z$56, 36,FALSE)</f>
        <v>0</v>
      </c>
      <c r="F183" s="156">
        <f t="shared" si="16"/>
        <v>0</v>
      </c>
      <c r="G183" s="157" t="str">
        <f t="shared" si="17"/>
        <v>$/kW</v>
      </c>
    </row>
    <row r="184" spans="2:7" x14ac:dyDescent="0.25">
      <c r="B184" s="153" t="str">
        <f t="shared" si="15"/>
        <v>SENTINEL LIGHTING</v>
      </c>
      <c r="C184" s="74" t="str">
        <f>IF(ISBLANK('4. Billing Determinants'!C24), "", '4. Billing Determinants'!C24)</f>
        <v>kW</v>
      </c>
      <c r="D184" s="154">
        <f>IF(C184="",0, IF(C184="kWh",'4. Billing Determinants'!E24, IF(C184="kW",'4. Billing Determinants'!F24,'4. Billing Determinants'!D24)))</f>
        <v>286.28122226821648</v>
      </c>
      <c r="E184" s="155">
        <f>HLOOKUP($B184, '5. Allocation of Balances'!$D$4:$Z$56, 36,FALSE)</f>
        <v>0</v>
      </c>
      <c r="F184" s="156">
        <f t="shared" si="16"/>
        <v>0</v>
      </c>
      <c r="G184" s="157" t="str">
        <f t="shared" si="17"/>
        <v>$/kW</v>
      </c>
    </row>
    <row r="185" spans="2:7" x14ac:dyDescent="0.25">
      <c r="B185" s="153" t="str">
        <f t="shared" si="15"/>
        <v>STREET LIGHTING</v>
      </c>
      <c r="C185" s="74" t="str">
        <f>IF(ISBLANK('4. Billing Determinants'!C25), "", '4. Billing Determinants'!C25)</f>
        <v>kW</v>
      </c>
      <c r="D185" s="154">
        <f>IF(C185="",0, IF(C185="kWh",'4. Billing Determinants'!E25, IF(C185="kW",'4. Billing Determinants'!F25,'4. Billing Determinants'!D25)))</f>
        <v>1598.6472960042561</v>
      </c>
      <c r="E185" s="155">
        <f>HLOOKUP($B185, '5. Allocation of Balances'!$D$4:$Z$56, 36,FALSE)</f>
        <v>0</v>
      </c>
      <c r="F185" s="156">
        <f t="shared" si="16"/>
        <v>0</v>
      </c>
      <c r="G185" s="157" t="str">
        <f t="shared" si="17"/>
        <v>$/kW</v>
      </c>
    </row>
    <row r="186" spans="2:7" x14ac:dyDescent="0.25">
      <c r="B186" s="153" t="str">
        <f t="shared" si="15"/>
        <v>UNMETERED SCATTERED LOAD</v>
      </c>
      <c r="C186" s="74" t="str">
        <f>IF(ISBLANK('4. Billing Determinants'!C26), "", '4. Billing Determinants'!C26)</f>
        <v>kWh</v>
      </c>
      <c r="D186" s="154">
        <f>IF(C186="",0, IF(C186="kWh",'4. Billing Determinants'!E26, IF(C186="kW",'4. Billing Determinants'!F26,'4. Billing Determinants'!D26)))</f>
        <v>461015.01227876113</v>
      </c>
      <c r="E186" s="155">
        <f>HLOOKUP($B186, '5. Allocation of Balances'!$D$4:$Z$56, 36,FALSE)</f>
        <v>0</v>
      </c>
      <c r="F186" s="156">
        <f t="shared" si="16"/>
        <v>0</v>
      </c>
      <c r="G186" s="157" t="str">
        <f t="shared" si="17"/>
        <v>$/kWh</v>
      </c>
    </row>
    <row r="187" spans="2:7" x14ac:dyDescent="0.25">
      <c r="B187" s="153" t="str">
        <f t="shared" si="15"/>
        <v/>
      </c>
      <c r="C187" s="74" t="str">
        <f>IF(ISBLANK('4. Billing Determinants'!C27), "", '4. Billing Determinants'!C27)</f>
        <v/>
      </c>
      <c r="D187" s="154">
        <f>IF(C187="",0, IF(C187="kWh",'4. Billing Determinants'!E27, IF(C187="kW",'4. Billing Determinants'!F27,'4. Billing Determinants'!D27)))</f>
        <v>0</v>
      </c>
      <c r="E187" s="155">
        <f>HLOOKUP($B187, '5. Allocation of Balances'!$D$4:$Z$56, 36,FALSE)</f>
        <v>0</v>
      </c>
      <c r="F187" s="156">
        <f t="shared" si="16"/>
        <v>0</v>
      </c>
      <c r="G187" s="157" t="str">
        <f t="shared" si="17"/>
        <v/>
      </c>
    </row>
    <row r="188" spans="2:7" x14ac:dyDescent="0.25">
      <c r="B188" s="153" t="str">
        <f t="shared" si="15"/>
        <v/>
      </c>
      <c r="C188" s="74" t="str">
        <f>IF(ISBLANK('4. Billing Determinants'!C28), "", '4. Billing Determinants'!C28)</f>
        <v/>
      </c>
      <c r="D188" s="154">
        <f>IF(C188="",0, IF(C188="kWh",'4. Billing Determinants'!E28, IF(C188="kW",'4. Billing Determinants'!F28,'4. Billing Determinants'!D28)))</f>
        <v>0</v>
      </c>
      <c r="E188" s="155">
        <f>HLOOKUP($B188, '5. Allocation of Balances'!$D$4:$Z$56, 36,FALSE)</f>
        <v>0</v>
      </c>
      <c r="F188" s="156">
        <f t="shared" si="16"/>
        <v>0</v>
      </c>
      <c r="G188" s="157" t="str">
        <f t="shared" si="17"/>
        <v/>
      </c>
    </row>
    <row r="189" spans="2:7" x14ac:dyDescent="0.25">
      <c r="B189" s="153" t="str">
        <f t="shared" si="15"/>
        <v/>
      </c>
      <c r="C189" s="74" t="str">
        <f>IF(ISBLANK('4. Billing Determinants'!C29), "", '4. Billing Determinants'!C29)</f>
        <v/>
      </c>
      <c r="D189" s="154">
        <f>IF(C189="",0, IF(C189="kWh",'4. Billing Determinants'!E29, IF(C189="kW",'4. Billing Determinants'!F29,'4. Billing Determinants'!D29)))</f>
        <v>0</v>
      </c>
      <c r="E189" s="155">
        <f>HLOOKUP($B189, '5. Allocation of Balances'!$D$4:$Z$56, 36,FALSE)</f>
        <v>0</v>
      </c>
      <c r="F189" s="156">
        <f t="shared" si="16"/>
        <v>0</v>
      </c>
      <c r="G189" s="157" t="str">
        <f t="shared" si="17"/>
        <v/>
      </c>
    </row>
    <row r="190" spans="2:7" x14ac:dyDescent="0.25">
      <c r="B190" s="153" t="str">
        <f t="shared" si="15"/>
        <v/>
      </c>
      <c r="C190" s="74" t="str">
        <f>IF(ISBLANK('4. Billing Determinants'!C30), "", '4. Billing Determinants'!C30)</f>
        <v/>
      </c>
      <c r="D190" s="154">
        <f>IF(C190="",0, IF(C190="kWh",'4. Billing Determinants'!E30, IF(C190="kW",'4. Billing Determinants'!F30,'4. Billing Determinants'!D30)))</f>
        <v>0</v>
      </c>
      <c r="E190" s="155">
        <f>HLOOKUP($B190, '5. Allocation of Balances'!$D$4:$Z$56, 36,FALSE)</f>
        <v>0</v>
      </c>
      <c r="F190" s="156">
        <f t="shared" si="16"/>
        <v>0</v>
      </c>
      <c r="G190" s="157" t="str">
        <f t="shared" si="17"/>
        <v/>
      </c>
    </row>
    <row r="191" spans="2:7" x14ac:dyDescent="0.25">
      <c r="B191" s="153" t="str">
        <f t="shared" si="15"/>
        <v/>
      </c>
      <c r="C191" s="74" t="str">
        <f>IF(ISBLANK('4. Billing Determinants'!C31), "", '4. Billing Determinants'!C31)</f>
        <v/>
      </c>
      <c r="D191" s="154">
        <f>IF(C191="",0, IF(C191="kWh",'4. Billing Determinants'!E31, IF(C191="kW",'4. Billing Determinants'!F31,'4. Billing Determinants'!D31)))</f>
        <v>0</v>
      </c>
      <c r="E191" s="155">
        <f>HLOOKUP($B191, '5. Allocation of Balances'!$D$4:$Z$56, 36,FALSE)</f>
        <v>0</v>
      </c>
      <c r="F191" s="156">
        <f t="shared" si="16"/>
        <v>0</v>
      </c>
      <c r="G191" s="157" t="str">
        <f t="shared" si="17"/>
        <v/>
      </c>
    </row>
    <row r="192" spans="2:7" x14ac:dyDescent="0.25">
      <c r="B192" s="153" t="str">
        <f t="shared" si="15"/>
        <v/>
      </c>
      <c r="C192" s="74" t="str">
        <f>IF(ISBLANK('4. Billing Determinants'!C32), "", '4. Billing Determinants'!C32)</f>
        <v/>
      </c>
      <c r="D192" s="154">
        <f>IF(C192="",0, IF(C192="kWh",'4. Billing Determinants'!E32, IF(C192="kW",'4. Billing Determinants'!F32,'4. Billing Determinants'!D32)))</f>
        <v>0</v>
      </c>
      <c r="E192" s="155">
        <f>HLOOKUP($B192, '5. Allocation of Balances'!$D$4:$Z$56, 36,FALSE)</f>
        <v>0</v>
      </c>
      <c r="F192" s="156">
        <f t="shared" si="16"/>
        <v>0</v>
      </c>
      <c r="G192" s="157" t="str">
        <f t="shared" si="17"/>
        <v/>
      </c>
    </row>
    <row r="193" spans="2:7" x14ac:dyDescent="0.25">
      <c r="B193" s="153" t="str">
        <f t="shared" si="15"/>
        <v/>
      </c>
      <c r="C193" s="74" t="str">
        <f>IF(ISBLANK('4. Billing Determinants'!C33), "", '4. Billing Determinants'!C33)</f>
        <v/>
      </c>
      <c r="D193" s="154">
        <f>IF(C193="",0, IF(C193="kWh",'4. Billing Determinants'!E33, IF(C193="kW",'4. Billing Determinants'!F33,'4. Billing Determinants'!D33)))</f>
        <v>0</v>
      </c>
      <c r="E193" s="155">
        <f>HLOOKUP($B193, '5. Allocation of Balances'!$D$4:$Z$56, 36,FALSE)</f>
        <v>0</v>
      </c>
      <c r="F193" s="156">
        <f t="shared" si="16"/>
        <v>0</v>
      </c>
      <c r="G193" s="157" t="str">
        <f t="shared" si="17"/>
        <v/>
      </c>
    </row>
    <row r="194" spans="2:7" x14ac:dyDescent="0.25">
      <c r="B194" s="153" t="str">
        <f t="shared" si="15"/>
        <v/>
      </c>
      <c r="C194" s="74" t="str">
        <f>IF(ISBLANK('4. Billing Determinants'!C34), "", '4. Billing Determinants'!C34)</f>
        <v/>
      </c>
      <c r="D194" s="154">
        <f>IF(C194="",0, IF(C194="kWh",'4. Billing Determinants'!E34, IF(C194="kW",'4. Billing Determinants'!F34,'4. Billing Determinants'!D34)))</f>
        <v>0</v>
      </c>
      <c r="E194" s="155">
        <f>HLOOKUP($B194, '5. Allocation of Balances'!$D$4:$Z$56, 36,FALSE)</f>
        <v>0</v>
      </c>
      <c r="F194" s="156">
        <f t="shared" si="16"/>
        <v>0</v>
      </c>
      <c r="G194" s="157" t="str">
        <f t="shared" si="17"/>
        <v/>
      </c>
    </row>
    <row r="195" spans="2:7" x14ac:dyDescent="0.25">
      <c r="B195" s="153" t="str">
        <f t="shared" si="15"/>
        <v/>
      </c>
      <c r="C195" s="74" t="str">
        <f>IF(ISBLANK('4. Billing Determinants'!C35), "", '4. Billing Determinants'!C35)</f>
        <v/>
      </c>
      <c r="D195" s="154">
        <f>IF(C195="",0, IF(C195="kWh",'4. Billing Determinants'!E35, IF(C195="kW",'4. Billing Determinants'!F35,'4. Billing Determinants'!D35)))</f>
        <v>0</v>
      </c>
      <c r="E195" s="155">
        <f>HLOOKUP($B195, '5. Allocation of Balances'!$D$4:$Z$56, 36,FALSE)</f>
        <v>0</v>
      </c>
      <c r="F195" s="156">
        <f t="shared" si="16"/>
        <v>0</v>
      </c>
      <c r="G195" s="157" t="str">
        <f t="shared" si="17"/>
        <v/>
      </c>
    </row>
    <row r="196" spans="2:7" x14ac:dyDescent="0.25">
      <c r="B196" s="153" t="str">
        <f t="shared" si="15"/>
        <v/>
      </c>
      <c r="C196" s="74" t="str">
        <f>IF(ISBLANK('4. Billing Determinants'!C36), "", '4. Billing Determinants'!C36)</f>
        <v/>
      </c>
      <c r="D196" s="154">
        <f>IF(C196="",0, IF(C196="kWh",'4. Billing Determinants'!E36, IF(C196="kW",'4. Billing Determinants'!F36,'4. Billing Determinants'!D36)))</f>
        <v>0</v>
      </c>
      <c r="E196" s="155">
        <f>HLOOKUP($B196, '5. Allocation of Balances'!$D$4:$Z$56, 36,FALSE)</f>
        <v>0</v>
      </c>
      <c r="F196" s="156">
        <f t="shared" si="16"/>
        <v>0</v>
      </c>
      <c r="G196" s="157" t="str">
        <f t="shared" si="17"/>
        <v/>
      </c>
    </row>
    <row r="197" spans="2:7" x14ac:dyDescent="0.25">
      <c r="B197" s="153" t="str">
        <f t="shared" si="15"/>
        <v/>
      </c>
      <c r="C197" s="74" t="str">
        <f>IF(ISBLANK('4. Billing Determinants'!C37), "", '4. Billing Determinants'!C37)</f>
        <v/>
      </c>
      <c r="D197" s="154">
        <f>IF(C197="",0, IF(C197="kWh",'4. Billing Determinants'!E37, IF(C197="kW",'4. Billing Determinants'!F37,'4. Billing Determinants'!D37)))</f>
        <v>0</v>
      </c>
      <c r="E197" s="155">
        <f>HLOOKUP($B197, '5. Allocation of Balances'!$D$4:$Z$56, 36,FALSE)</f>
        <v>0</v>
      </c>
      <c r="F197" s="156">
        <f t="shared" si="16"/>
        <v>0</v>
      </c>
      <c r="G197" s="157" t="str">
        <f t="shared" si="17"/>
        <v/>
      </c>
    </row>
    <row r="198" spans="2:7" x14ac:dyDescent="0.25">
      <c r="B198" s="153" t="str">
        <f t="shared" si="15"/>
        <v/>
      </c>
      <c r="C198" s="74" t="str">
        <f>IF(ISBLANK('4. Billing Determinants'!C38), "", '4. Billing Determinants'!C38)</f>
        <v/>
      </c>
      <c r="D198" s="154">
        <f>IF(C198="",0, IF(C198="kWh",'4. Billing Determinants'!E38, IF(C198="kW",'4. Billing Determinants'!F38,'4. Billing Determinants'!D38)))</f>
        <v>0</v>
      </c>
      <c r="E198" s="155">
        <f>HLOOKUP($B198, '5. Allocation of Balances'!$D$4:$Z$56, 36,FALSE)</f>
        <v>0</v>
      </c>
      <c r="F198" s="156">
        <f t="shared" si="16"/>
        <v>0</v>
      </c>
      <c r="G198" s="157" t="str">
        <f t="shared" si="17"/>
        <v/>
      </c>
    </row>
    <row r="199" spans="2:7" x14ac:dyDescent="0.25">
      <c r="B199" s="153" t="str">
        <f t="shared" si="15"/>
        <v/>
      </c>
      <c r="C199" s="74" t="str">
        <f>IF(ISBLANK('4. Billing Determinants'!C39), "", '4. Billing Determinants'!C39)</f>
        <v/>
      </c>
      <c r="D199" s="154">
        <f>IF(C199="",0, IF(C199="kWh",'4. Billing Determinants'!E39, IF(C199="kW",'4. Billing Determinants'!F39,'4. Billing Determinants'!D39)))</f>
        <v>0</v>
      </c>
      <c r="E199" s="155">
        <f>HLOOKUP($B199, '5. Allocation of Balances'!$D$4:$Z$56, 36,FALSE)</f>
        <v>0</v>
      </c>
      <c r="F199" s="156">
        <f t="shared" si="16"/>
        <v>0</v>
      </c>
      <c r="G199" s="157" t="str">
        <f t="shared" si="17"/>
        <v/>
      </c>
    </row>
    <row r="200" spans="2:7" x14ac:dyDescent="0.25">
      <c r="B200" s="153" t="str">
        <f t="shared" si="15"/>
        <v/>
      </c>
      <c r="C200" s="74" t="str">
        <f>IF(ISBLANK('4. Billing Determinants'!C40), "", '4. Billing Determinants'!C40)</f>
        <v/>
      </c>
      <c r="D200" s="154">
        <f>IF(C200="",0, IF(C200="kWh",'4. Billing Determinants'!E40, IF(C200="kW",'4. Billing Determinants'!F40,'4. Billing Determinants'!D40)))</f>
        <v>0</v>
      </c>
      <c r="E200" s="155">
        <f>HLOOKUP($B200, '5. Allocation of Balances'!$D$4:$Z$56, 36,FALSE)</f>
        <v>0</v>
      </c>
      <c r="F200" s="156">
        <f t="shared" si="16"/>
        <v>0</v>
      </c>
      <c r="G200" s="157" t="str">
        <f t="shared" si="17"/>
        <v/>
      </c>
    </row>
    <row r="201" spans="2:7" x14ac:dyDescent="0.25">
      <c r="B201" s="159" t="s">
        <v>63</v>
      </c>
      <c r="C201" s="160"/>
      <c r="D201" s="161"/>
      <c r="E201" s="162">
        <f>SUM(E181:E200)</f>
        <v>0</v>
      </c>
      <c r="F201" s="159"/>
    </row>
  </sheetData>
  <mergeCells count="35">
    <mergeCell ref="B123:B124"/>
    <mergeCell ref="C123:C124"/>
    <mergeCell ref="D123:D124"/>
    <mergeCell ref="E123:E124"/>
    <mergeCell ref="F123:F124"/>
    <mergeCell ref="B96:B97"/>
    <mergeCell ref="C96:C97"/>
    <mergeCell ref="D96:D97"/>
    <mergeCell ref="E96:E97"/>
    <mergeCell ref="F96:F97"/>
    <mergeCell ref="B179:B180"/>
    <mergeCell ref="C179:C180"/>
    <mergeCell ref="D179:D180"/>
    <mergeCell ref="E179:E180"/>
    <mergeCell ref="F179:F180"/>
    <mergeCell ref="B151:B152"/>
    <mergeCell ref="C151:C152"/>
    <mergeCell ref="D151:D152"/>
    <mergeCell ref="E151:E152"/>
    <mergeCell ref="F151:F152"/>
    <mergeCell ref="B70:B71"/>
    <mergeCell ref="C70:C71"/>
    <mergeCell ref="D18:D19"/>
    <mergeCell ref="E18:E19"/>
    <mergeCell ref="F18:F19"/>
    <mergeCell ref="E70:E71"/>
    <mergeCell ref="F70:F71"/>
    <mergeCell ref="D70:D71"/>
    <mergeCell ref="B18:B19"/>
    <mergeCell ref="C18:C19"/>
    <mergeCell ref="B44:B45"/>
    <mergeCell ref="C44:C45"/>
    <mergeCell ref="D44:D45"/>
    <mergeCell ref="E44:E45"/>
    <mergeCell ref="F44:F45"/>
  </mergeCells>
  <conditionalFormatting sqref="C20:C39">
    <cfRule type="cellIs" dxfId="13" priority="26" operator="equal">
      <formula>"kW"</formula>
    </cfRule>
  </conditionalFormatting>
  <conditionalFormatting sqref="G20:G39">
    <cfRule type="cellIs" dxfId="12" priority="23" operator="equal">
      <formula>"$/kW"</formula>
    </cfRule>
  </conditionalFormatting>
  <conditionalFormatting sqref="G153:G172">
    <cfRule type="cellIs" dxfId="11" priority="18" operator="equal">
      <formula>"$/kW"</formula>
    </cfRule>
  </conditionalFormatting>
  <conditionalFormatting sqref="G98:G117">
    <cfRule type="cellIs" dxfId="10" priority="14" operator="equal">
      <formula>"$/kW"</formula>
    </cfRule>
  </conditionalFormatting>
  <conditionalFormatting sqref="G125:G144">
    <cfRule type="cellIs" dxfId="9" priority="12" operator="equal">
      <formula>"$/kW"</formula>
    </cfRule>
  </conditionalFormatting>
  <conditionalFormatting sqref="G46:G65">
    <cfRule type="cellIs" dxfId="8" priority="10" operator="equal">
      <formula>"$/kW"</formula>
    </cfRule>
  </conditionalFormatting>
  <conditionalFormatting sqref="G72:G91">
    <cfRule type="cellIs" dxfId="7" priority="9" operator="equal">
      <formula>"$/kW"</formula>
    </cfRule>
  </conditionalFormatting>
  <conditionalFormatting sqref="G181:G200">
    <cfRule type="cellIs" dxfId="6" priority="8" operator="equal">
      <formula>"$/kW"</formula>
    </cfRule>
  </conditionalFormatting>
  <conditionalFormatting sqref="C46:C65">
    <cfRule type="cellIs" dxfId="5" priority="7" operator="equal">
      <formula>"kW"</formula>
    </cfRule>
  </conditionalFormatting>
  <conditionalFormatting sqref="C72:C91">
    <cfRule type="cellIs" dxfId="4" priority="6" operator="equal">
      <formula>"kW"</formula>
    </cfRule>
  </conditionalFormatting>
  <conditionalFormatting sqref="C98:C117">
    <cfRule type="cellIs" dxfId="3" priority="5" operator="equal">
      <formula>"kW"</formula>
    </cfRule>
  </conditionalFormatting>
  <conditionalFormatting sqref="C153:C172">
    <cfRule type="cellIs" dxfId="2" priority="4" operator="equal">
      <formula>"kW"</formula>
    </cfRule>
  </conditionalFormatting>
  <conditionalFormatting sqref="C181:C200">
    <cfRule type="cellIs" dxfId="1" priority="3" operator="equal">
      <formula>"kW"</formula>
    </cfRule>
  </conditionalFormatting>
  <conditionalFormatting sqref="C125:C144">
    <cfRule type="cellIs" dxfId="0" priority="1" operator="equal">
      <formula>"kW"</formula>
    </cfRule>
  </conditionalFormatting>
  <dataValidations count="5">
    <dataValidation type="list" allowBlank="1" showInputMessage="1" showErrorMessage="1" sqref="D13">
      <formula1>"1,2,3,4"</formula1>
    </dataValidation>
    <dataValidation type="list" allowBlank="1" showInputMessage="1" showErrorMessage="1" sqref="C20:C39 C46:C65 C181:C200 C98:C117 C125:C144">
      <formula1>"kWh, kW, # of Customers"</formula1>
    </dataValidation>
    <dataValidation type="list" allowBlank="1" showInputMessage="1" showErrorMessage="1" sqref="D149 D177">
      <formula1>"1,2,3,4,5"</formula1>
    </dataValidation>
    <dataValidation type="list" allowBlank="1" showInputMessage="1" showErrorMessage="1" sqref="C72:C91">
      <formula1>"kWh"</formula1>
    </dataValidation>
    <dataValidation type="list" allowBlank="1" showInputMessage="1" showErrorMessage="1" sqref="C153:C172">
      <formula1>"kWh, kW, # of Customers"</formula1>
    </dataValidation>
  </dataValidations>
  <pageMargins left="0.70866141732283505" right="0.70866141732283505" top="0.74803149606299202" bottom="0.74803149606299202" header="0.31496062992126" footer="0.31496062992126"/>
  <pageSetup paperSize="3" fitToHeight="2"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3.2" x14ac:dyDescent="0.25"/>
  <cols>
    <col min="1" max="1" width="69.33203125" customWidth="1"/>
    <col min="3" max="8" width="20.44140625" customWidth="1"/>
    <col min="9" max="11" width="21.109375" customWidth="1"/>
  </cols>
  <sheetData>
    <row r="1" spans="1:10" ht="34.5" customHeight="1" x14ac:dyDescent="0.25">
      <c r="C1" s="504" t="s">
        <v>181</v>
      </c>
      <c r="D1" s="504" t="s">
        <v>182</v>
      </c>
      <c r="E1" s="504" t="s">
        <v>186</v>
      </c>
      <c r="F1" s="504" t="s">
        <v>183</v>
      </c>
      <c r="G1" s="504" t="s">
        <v>185</v>
      </c>
      <c r="H1" s="504" t="s">
        <v>23</v>
      </c>
      <c r="I1" s="504" t="s">
        <v>187</v>
      </c>
      <c r="J1" s="504" t="s">
        <v>184</v>
      </c>
    </row>
    <row r="2" spans="1:10" ht="34.5" customHeight="1" x14ac:dyDescent="0.25">
      <c r="C2" s="505"/>
      <c r="D2" s="505"/>
      <c r="E2" s="505"/>
      <c r="F2" s="504"/>
      <c r="G2" s="504"/>
      <c r="H2" s="504"/>
      <c r="I2" s="504"/>
      <c r="J2" s="504"/>
    </row>
    <row r="3" spans="1:10" ht="34.5" customHeight="1" x14ac:dyDescent="0.25">
      <c r="C3" s="505"/>
      <c r="D3" s="505"/>
      <c r="E3" s="505"/>
      <c r="F3" s="504"/>
      <c r="G3" s="504"/>
      <c r="H3" s="504" t="s">
        <v>12</v>
      </c>
      <c r="I3" s="504"/>
      <c r="J3" s="504"/>
    </row>
    <row r="4" spans="1:10" ht="15" customHeight="1" x14ac:dyDescent="0.25">
      <c r="A4" s="118" t="s">
        <v>33</v>
      </c>
      <c r="B4" s="119">
        <v>1508</v>
      </c>
      <c r="C4" s="60">
        <f>VLOOKUP(A4, '2. 2016 Continuity Schedule'!$C$20:$BV$86, MATCH('2. 2016 Continuity Schedule'!BO$20, '2. 2016 Continuity Schedule'!C$20:BV$20,0),FALSE)</f>
        <v>-318</v>
      </c>
      <c r="D4" s="60">
        <f>VLOOKUP(A4, '2. 2016 Continuity Schedule'!$C$20:$BV$86, MATCH('2. 2016 Continuity Schedule'!BP$20, '2. 2016 Continuity Schedule'!C$20:BV$20,0),FALSE)</f>
        <v>12247</v>
      </c>
      <c r="E4" s="60">
        <f>SUM(C4:D4)</f>
        <v>11929</v>
      </c>
      <c r="F4" s="60">
        <f>VLOOKUP(A4, '2. 2016 Continuity Schedule'!$C$20:$BV$86, MATCH('2. 2016 Continuity Schedule'!BQ$20, '2. 2016 Continuity Schedule'!C$20:BV$20,0),FALSE)</f>
        <v>0</v>
      </c>
      <c r="G4" s="60">
        <f>VLOOKUP(A4, '2. 2016 Continuity Schedule'!$C$20:$BV$86, MATCH('2. 2016 Continuity Schedule'!BR$20, '2. 2016 Continuity Schedule'!C$20:BV$20,0),FALSE)</f>
        <v>-3.8160000000000003</v>
      </c>
      <c r="H4" s="60">
        <f>SUM(E4:G4)</f>
        <v>11925.183999999999</v>
      </c>
      <c r="I4" s="60">
        <f>VLOOKUP(A4, '2. 2016 Continuity Schedule'!$C$20:$BV$86, MATCH('2. 2016 Continuity Schedule'!BU$20, '2. 2016 Continuity Schedule'!C$20:BV$20,0),FALSE)</f>
        <v>14492.449999999953</v>
      </c>
      <c r="J4" s="60">
        <f>VLOOKUP(A4, '2. 2016 Continuity Schedule'!$C$20:$BV$86, MATCH('2. 2016 Continuity Schedule'!BV$20, '2. 2016 Continuity Schedule'!C$20:BV$20,0),FALSE)</f>
        <v>2563.4499999999534</v>
      </c>
    </row>
    <row r="5" spans="1:10" ht="13.8" x14ac:dyDescent="0.25">
      <c r="A5" s="118" t="s">
        <v>34</v>
      </c>
      <c r="B5" s="119">
        <v>1508</v>
      </c>
      <c r="C5" s="60">
        <f>VLOOKUP(A5, '2. 2016 Continuity Schedule'!$C$20:$BV$86, MATCH('2. 2016 Continuity Schedule'!BO$20, '2. 2016 Continuity Schedule'!C$20:BV$20,0),FALSE)</f>
        <v>0</v>
      </c>
      <c r="D5" s="60">
        <f>VLOOKUP(A5, '2. 2016 Continuity Schedule'!$C$20:$BV$86, MATCH('2. 2016 Continuity Schedule'!BP$20, '2. 2016 Continuity Schedule'!C$20:BV$20,0),FALSE)</f>
        <v>0</v>
      </c>
      <c r="E5" s="60">
        <f t="shared" ref="E5:E44" si="0">SUM(C5:D5)</f>
        <v>0</v>
      </c>
      <c r="F5" s="60">
        <f>VLOOKUP(A5, '2. 2016 Continuity Schedule'!$C$20:$BV$86, MATCH('2. 2016 Continuity Schedule'!BQ$20, '2. 2016 Continuity Schedule'!C$20:BV$20,0),FALSE)</f>
        <v>0</v>
      </c>
      <c r="G5" s="60">
        <f>VLOOKUP(A5, '2. 2016 Continuity Schedule'!$C$20:$BV$86, MATCH('2. 2016 Continuity Schedule'!BR$20, '2. 2016 Continuity Schedule'!C$20:BV$20,0),FALSE)</f>
        <v>0</v>
      </c>
      <c r="H5" s="60">
        <f t="shared" ref="H5:H44" si="1">SUM(E5:G5)</f>
        <v>0</v>
      </c>
      <c r="I5" s="60">
        <f>VLOOKUP(A5, '2. 2016 Continuity Schedule'!$C$20:$BV$86, MATCH('2. 2016 Continuity Schedule'!BU$20, '2. 2016 Continuity Schedule'!C$20:BV$20,0),FALSE)</f>
        <v>0</v>
      </c>
      <c r="J5" s="60">
        <f>VLOOKUP(A5, '2. 2016 Continuity Schedule'!$C$20:$BV$86, MATCH('2. 2016 Continuity Schedule'!BV$20, '2. 2016 Continuity Schedule'!C$20:BV$20,0),FALSE)</f>
        <v>0</v>
      </c>
    </row>
    <row r="6" spans="1:10" ht="30" x14ac:dyDescent="0.25">
      <c r="A6" s="120" t="s">
        <v>44</v>
      </c>
      <c r="B6" s="119">
        <v>1508</v>
      </c>
      <c r="C6" s="60" t="e">
        <f>VLOOKUP(A6, '2. 2016 Continuity Schedule'!$C$20:$BV$86, MATCH('2. 2016 Continuity Schedule'!BO$20, '2. 2016 Continuity Schedule'!C$20:BV$20,0),FALSE)</f>
        <v>#N/A</v>
      </c>
      <c r="D6" s="60" t="e">
        <f>VLOOKUP(A6, '2. 2016 Continuity Schedule'!$C$20:$BV$86, MATCH('2. 2016 Continuity Schedule'!BP$20, '2. 2016 Continuity Schedule'!C$20:BV$20,0),FALSE)</f>
        <v>#N/A</v>
      </c>
      <c r="E6" s="60" t="e">
        <f t="shared" si="0"/>
        <v>#N/A</v>
      </c>
      <c r="F6" s="60" t="e">
        <f>VLOOKUP(A6, '2. 2016 Continuity Schedule'!$C$20:$BV$86, MATCH('2. 2016 Continuity Schedule'!BQ$20, '2. 2016 Continuity Schedule'!C$20:BV$20,0),FALSE)</f>
        <v>#N/A</v>
      </c>
      <c r="G6" s="60" t="e">
        <f>VLOOKUP(A6, '2. 2016 Continuity Schedule'!$C$20:$BV$86, MATCH('2. 2016 Continuity Schedule'!BR$20, '2. 2016 Continuity Schedule'!C$20:BV$20,0),FALSE)</f>
        <v>#N/A</v>
      </c>
      <c r="H6" s="60" t="e">
        <f t="shared" si="1"/>
        <v>#N/A</v>
      </c>
      <c r="I6" s="60" t="e">
        <f>VLOOKUP(A6, '2. 2016 Continuity Schedule'!$C$20:$BV$86, MATCH('2. 2016 Continuity Schedule'!BU$20, '2. 2016 Continuity Schedule'!C$20:BV$20,0),FALSE)</f>
        <v>#N/A</v>
      </c>
      <c r="J6" s="60" t="e">
        <f>VLOOKUP(A6, '2. 2016 Continuity Schedule'!$C$20:$BV$86, MATCH('2. 2016 Continuity Schedule'!BV$20, '2. 2016 Continuity Schedule'!C$20:BV$20,0),FALSE)</f>
        <v>#N/A</v>
      </c>
    </row>
    <row r="7" spans="1:10" ht="27.6" x14ac:dyDescent="0.25">
      <c r="A7" s="120" t="s">
        <v>42</v>
      </c>
      <c r="B7" s="119">
        <v>1508</v>
      </c>
      <c r="C7" s="60" t="e">
        <f>VLOOKUP(A7, '2. 2016 Continuity Schedule'!$C$20:$BV$86, MATCH('2. 2016 Continuity Schedule'!BO$20, '2. 2016 Continuity Schedule'!C$20:BV$20,0),FALSE)</f>
        <v>#N/A</v>
      </c>
      <c r="D7" s="60" t="e">
        <f>VLOOKUP(A7, '2. 2016 Continuity Schedule'!$C$20:$BV$86, MATCH('2. 2016 Continuity Schedule'!BP$20, '2. 2016 Continuity Schedule'!C$20:BV$20,0),FALSE)</f>
        <v>#N/A</v>
      </c>
      <c r="E7" s="60" t="e">
        <f t="shared" si="0"/>
        <v>#N/A</v>
      </c>
      <c r="F7" s="60" t="e">
        <f>VLOOKUP(A7, '2. 2016 Continuity Schedule'!$C$20:$BV$86, MATCH('2. 2016 Continuity Schedule'!BQ$20, '2. 2016 Continuity Schedule'!C$20:BV$20,0),FALSE)</f>
        <v>#N/A</v>
      </c>
      <c r="G7" s="60" t="e">
        <f>VLOOKUP(A7, '2. 2016 Continuity Schedule'!$C$20:$BV$86, MATCH('2. 2016 Continuity Schedule'!BR$20, '2. 2016 Continuity Schedule'!C$20:BV$20,0),FALSE)</f>
        <v>#N/A</v>
      </c>
      <c r="H7" s="60" t="e">
        <f t="shared" si="1"/>
        <v>#N/A</v>
      </c>
      <c r="I7" s="60" t="e">
        <f>VLOOKUP(A7, '2. 2016 Continuity Schedule'!$C$20:$BV$86, MATCH('2. 2016 Continuity Schedule'!BU$20, '2. 2016 Continuity Schedule'!C$20:BV$20,0),FALSE)</f>
        <v>#N/A</v>
      </c>
      <c r="J7" s="60" t="e">
        <f>VLOOKUP(A7, '2. 2016 Continuity Schedule'!$C$20:$BV$86, MATCH('2. 2016 Continuity Schedule'!BV$20, '2. 2016 Continuity Schedule'!C$20:BV$20,0),FALSE)</f>
        <v>#N/A</v>
      </c>
    </row>
    <row r="8" spans="1:10" ht="16.2" x14ac:dyDescent="0.25">
      <c r="A8" s="118" t="s">
        <v>43</v>
      </c>
      <c r="B8" s="119">
        <v>1508</v>
      </c>
      <c r="C8" s="60">
        <f>VLOOKUP(A8, '2. 2016 Continuity Schedule'!$C$20:$BV$86, MATCH('2. 2016 Continuity Schedule'!BO$20, '2. 2016 Continuity Schedule'!C$20:BV$20,0),FALSE)</f>
        <v>2565.0700000000002</v>
      </c>
      <c r="D8" s="60">
        <f>VLOOKUP(A8, '2. 2016 Continuity Schedule'!$C$20:$BV$86, MATCH('2. 2016 Continuity Schedule'!BP$20, '2. 2016 Continuity Schedule'!C$20:BV$20,0),FALSE)</f>
        <v>0</v>
      </c>
      <c r="E8" s="60">
        <f t="shared" si="0"/>
        <v>2565.0700000000002</v>
      </c>
      <c r="F8" s="60">
        <f>VLOOKUP(A8, '2. 2016 Continuity Schedule'!$C$20:$BV$86, MATCH('2. 2016 Continuity Schedule'!BQ$20, '2. 2016 Continuity Schedule'!C$20:BV$20,0),FALSE)</f>
        <v>0</v>
      </c>
      <c r="G8" s="60">
        <f>VLOOKUP(A8, '2. 2016 Continuity Schedule'!$C$20:$BV$86, MATCH('2. 2016 Continuity Schedule'!BR$20, '2. 2016 Continuity Schedule'!C$20:BV$20,0),FALSE)</f>
        <v>30.780840000000001</v>
      </c>
      <c r="H8" s="60">
        <f t="shared" si="1"/>
        <v>2595.8508400000001</v>
      </c>
      <c r="I8" s="60">
        <f>VLOOKUP(A8, '2. 2016 Continuity Schedule'!$C$20:$BV$86, MATCH('2. 2016 Continuity Schedule'!BU$20, '2. 2016 Continuity Schedule'!C$20:BV$20,0),FALSE)</f>
        <v>0</v>
      </c>
      <c r="J8" s="60">
        <f>VLOOKUP(A8, '2. 2016 Continuity Schedule'!$C$20:$BV$86, MATCH('2. 2016 Continuity Schedule'!BV$20, '2. 2016 Continuity Schedule'!C$20:BV$20,0),FALSE)</f>
        <v>-2565.0700000000002</v>
      </c>
    </row>
    <row r="9" spans="1:10" ht="13.8" x14ac:dyDescent="0.25">
      <c r="A9" s="118" t="s">
        <v>4</v>
      </c>
      <c r="B9" s="119">
        <v>1518</v>
      </c>
      <c r="C9" s="60">
        <f>VLOOKUP(A9, '2. 2016 Continuity Schedule'!$C$20:$BV$86, MATCH('2. 2016 Continuity Schedule'!BO$20, '2. 2016 Continuity Schedule'!C$20:BV$20,0),FALSE)</f>
        <v>59329</v>
      </c>
      <c r="D9" s="60">
        <f>VLOOKUP(A9, '2. 2016 Continuity Schedule'!$C$20:$BV$86, MATCH('2. 2016 Continuity Schedule'!BP$20, '2. 2016 Continuity Schedule'!C$20:BV$20,0),FALSE)</f>
        <v>1842</v>
      </c>
      <c r="E9" s="60">
        <f t="shared" si="0"/>
        <v>61171</v>
      </c>
      <c r="F9" s="60">
        <f>VLOOKUP(A9, '2. 2016 Continuity Schedule'!$C$20:$BV$86, MATCH('2. 2016 Continuity Schedule'!BQ$20, '2. 2016 Continuity Schedule'!C$20:BV$20,0),FALSE)</f>
        <v>0</v>
      </c>
      <c r="G9" s="60">
        <f>VLOOKUP(A9, '2. 2016 Continuity Schedule'!$C$20:$BV$86, MATCH('2. 2016 Continuity Schedule'!BR$20, '2. 2016 Continuity Schedule'!C$20:BV$20,0),FALSE)</f>
        <v>711.94800000000009</v>
      </c>
      <c r="H9" s="60">
        <f t="shared" si="1"/>
        <v>61882.947999999997</v>
      </c>
      <c r="I9" s="60">
        <f>VLOOKUP(A9, '2. 2016 Continuity Schedule'!$C$20:$BV$86, MATCH('2. 2016 Continuity Schedule'!BU$20, '2. 2016 Continuity Schedule'!C$20:BV$20,0),FALSE)</f>
        <v>61171.35</v>
      </c>
      <c r="J9" s="60">
        <f>VLOOKUP(A9, '2. 2016 Continuity Schedule'!$C$20:$BV$86, MATCH('2. 2016 Continuity Schedule'!BV$20, '2. 2016 Continuity Schedule'!C$20:BV$20,0),FALSE)</f>
        <v>0.34999999999854481</v>
      </c>
    </row>
    <row r="10" spans="1:10" ht="13.8" x14ac:dyDescent="0.25">
      <c r="A10" s="118" t="s">
        <v>9</v>
      </c>
      <c r="B10" s="119">
        <v>1525</v>
      </c>
      <c r="C10" s="60">
        <f>VLOOKUP(A10, '2. 2016 Continuity Schedule'!$C$20:$BV$86, MATCH('2. 2016 Continuity Schedule'!BO$20, '2. 2016 Continuity Schedule'!C$20:BV$20,0),FALSE)</f>
        <v>0</v>
      </c>
      <c r="D10" s="60">
        <f>VLOOKUP(A10, '2. 2016 Continuity Schedule'!$C$20:$BV$86, MATCH('2. 2016 Continuity Schedule'!BP$20, '2. 2016 Continuity Schedule'!C$20:BV$20,0),FALSE)</f>
        <v>0</v>
      </c>
      <c r="E10" s="60">
        <f t="shared" si="0"/>
        <v>0</v>
      </c>
      <c r="F10" s="60">
        <f>VLOOKUP(A10, '2. 2016 Continuity Schedule'!$C$20:$BV$86, MATCH('2. 2016 Continuity Schedule'!BQ$20, '2. 2016 Continuity Schedule'!C$20:BV$20,0),FALSE)</f>
        <v>0</v>
      </c>
      <c r="G10" s="60">
        <f>VLOOKUP(A10, '2. 2016 Continuity Schedule'!$C$20:$BV$86, MATCH('2. 2016 Continuity Schedule'!BR$20, '2. 2016 Continuity Schedule'!C$20:BV$20,0),FALSE)</f>
        <v>0</v>
      </c>
      <c r="H10" s="60">
        <f t="shared" si="1"/>
        <v>0</v>
      </c>
      <c r="I10" s="60">
        <f>VLOOKUP(A10, '2. 2016 Continuity Schedule'!$C$20:$BV$86, MATCH('2. 2016 Continuity Schedule'!BU$20, '2. 2016 Continuity Schedule'!C$20:BV$20,0),FALSE)</f>
        <v>0</v>
      </c>
      <c r="J10" s="60">
        <f>VLOOKUP(A10, '2. 2016 Continuity Schedule'!$C$20:$BV$86, MATCH('2. 2016 Continuity Schedule'!BV$20, '2. 2016 Continuity Schedule'!C$20:BV$20,0),FALSE)</f>
        <v>0</v>
      </c>
    </row>
    <row r="11" spans="1:10" ht="13.8" x14ac:dyDescent="0.25">
      <c r="A11" s="118" t="s">
        <v>30</v>
      </c>
      <c r="B11" s="119">
        <v>1531</v>
      </c>
      <c r="C11" s="60" t="e">
        <f>VLOOKUP(A11, '2. 2016 Continuity Schedule'!$C$20:$BV$86, MATCH('2. 2016 Continuity Schedule'!BO$20, '2. 2016 Continuity Schedule'!C$20:BV$20,0),FALSE)</f>
        <v>#N/A</v>
      </c>
      <c r="D11" s="60" t="e">
        <f>VLOOKUP(A11, '2. 2016 Continuity Schedule'!$C$20:$BV$86, MATCH('2. 2016 Continuity Schedule'!BP$20, '2. 2016 Continuity Schedule'!C$20:BV$20,0),FALSE)</f>
        <v>#N/A</v>
      </c>
      <c r="E11" s="60" t="e">
        <f t="shared" si="0"/>
        <v>#N/A</v>
      </c>
      <c r="F11" s="60" t="e">
        <f>VLOOKUP(A11, '2. 2016 Continuity Schedule'!$C$20:$BV$86, MATCH('2. 2016 Continuity Schedule'!BQ$20, '2. 2016 Continuity Schedule'!C$20:BV$20,0),FALSE)</f>
        <v>#N/A</v>
      </c>
      <c r="G11" s="60" t="e">
        <f>VLOOKUP(A11, '2. 2016 Continuity Schedule'!$C$20:$BV$86, MATCH('2. 2016 Continuity Schedule'!BR$20, '2. 2016 Continuity Schedule'!C$20:BV$20,0),FALSE)</f>
        <v>#N/A</v>
      </c>
      <c r="H11" s="60" t="e">
        <f t="shared" si="1"/>
        <v>#N/A</v>
      </c>
      <c r="I11" s="60" t="e">
        <f>VLOOKUP(A11, '2. 2016 Continuity Schedule'!$C$20:$BV$86, MATCH('2. 2016 Continuity Schedule'!BU$20, '2. 2016 Continuity Schedule'!C$20:BV$20,0),FALSE)</f>
        <v>#N/A</v>
      </c>
      <c r="J11" s="60" t="e">
        <f>VLOOKUP(A11, '2. 2016 Continuity Schedule'!$C$20:$BV$86, MATCH('2. 2016 Continuity Schedule'!BV$20, '2. 2016 Continuity Schedule'!C$20:BV$20,0),FALSE)</f>
        <v>#N/A</v>
      </c>
    </row>
    <row r="12" spans="1:10" ht="13.8" x14ac:dyDescent="0.25">
      <c r="A12" s="118" t="s">
        <v>31</v>
      </c>
      <c r="B12" s="119">
        <v>1532</v>
      </c>
      <c r="C12" s="60" t="e">
        <f>VLOOKUP(A12, '2. 2016 Continuity Schedule'!$C$20:$BV$86, MATCH('2. 2016 Continuity Schedule'!BO$20, '2. 2016 Continuity Schedule'!C$20:BV$20,0),FALSE)</f>
        <v>#N/A</v>
      </c>
      <c r="D12" s="60" t="e">
        <f>VLOOKUP(A12, '2. 2016 Continuity Schedule'!$C$20:$BV$86, MATCH('2. 2016 Continuity Schedule'!BP$20, '2. 2016 Continuity Schedule'!C$20:BV$20,0),FALSE)</f>
        <v>#N/A</v>
      </c>
      <c r="E12" s="60" t="e">
        <f t="shared" si="0"/>
        <v>#N/A</v>
      </c>
      <c r="F12" s="60" t="e">
        <f>VLOOKUP(A12, '2. 2016 Continuity Schedule'!$C$20:$BV$86, MATCH('2. 2016 Continuity Schedule'!BQ$20, '2. 2016 Continuity Schedule'!C$20:BV$20,0),FALSE)</f>
        <v>#N/A</v>
      </c>
      <c r="G12" s="60" t="e">
        <f>VLOOKUP(A12, '2. 2016 Continuity Schedule'!$C$20:$BV$86, MATCH('2. 2016 Continuity Schedule'!BR$20, '2. 2016 Continuity Schedule'!C$20:BV$20,0),FALSE)</f>
        <v>#N/A</v>
      </c>
      <c r="H12" s="60" t="e">
        <f t="shared" si="1"/>
        <v>#N/A</v>
      </c>
      <c r="I12" s="60" t="e">
        <f>VLOOKUP(A12, '2. 2016 Continuity Schedule'!$C$20:$BV$86, MATCH('2. 2016 Continuity Schedule'!BU$20, '2. 2016 Continuity Schedule'!C$20:BV$20,0),FALSE)</f>
        <v>#N/A</v>
      </c>
      <c r="J12" s="60" t="e">
        <f>VLOOKUP(A12, '2. 2016 Continuity Schedule'!$C$20:$BV$86, MATCH('2. 2016 Continuity Schedule'!BV$20, '2. 2016 Continuity Schedule'!C$20:BV$20,0),FALSE)</f>
        <v>#N/A</v>
      </c>
    </row>
    <row r="13" spans="1:10" ht="13.8" x14ac:dyDescent="0.25">
      <c r="A13" s="121" t="s">
        <v>21</v>
      </c>
      <c r="B13" s="119">
        <v>1533</v>
      </c>
      <c r="C13" s="60">
        <f>VLOOKUP(A13, '2. 2016 Continuity Schedule'!$C$20:$BV$86, MATCH('2. 2016 Continuity Schedule'!BO$20, '2. 2016 Continuity Schedule'!C$20:BV$20,0),FALSE)</f>
        <v>0</v>
      </c>
      <c r="D13" s="60">
        <f>VLOOKUP(A13, '2. 2016 Continuity Schedule'!$C$20:$BV$86, MATCH('2. 2016 Continuity Schedule'!BP$20, '2. 2016 Continuity Schedule'!C$20:BV$20,0),FALSE)</f>
        <v>0</v>
      </c>
      <c r="E13" s="60">
        <f t="shared" si="0"/>
        <v>0</v>
      </c>
      <c r="F13" s="60">
        <f>VLOOKUP(A13, '2. 2016 Continuity Schedule'!$C$20:$BV$86, MATCH('2. 2016 Continuity Schedule'!BQ$20, '2. 2016 Continuity Schedule'!C$20:BV$20,0),FALSE)</f>
        <v>0</v>
      </c>
      <c r="G13" s="60">
        <f>VLOOKUP(A13, '2. 2016 Continuity Schedule'!$C$20:$BV$86, MATCH('2. 2016 Continuity Schedule'!BR$20, '2. 2016 Continuity Schedule'!C$20:BV$20,0),FALSE)</f>
        <v>0</v>
      </c>
      <c r="H13" s="60">
        <f t="shared" si="1"/>
        <v>0</v>
      </c>
      <c r="I13" s="60">
        <f>VLOOKUP(A13, '2. 2016 Continuity Schedule'!$C$20:$BV$86, MATCH('2. 2016 Continuity Schedule'!BU$20, '2. 2016 Continuity Schedule'!C$20:BV$20,0),FALSE)</f>
        <v>0</v>
      </c>
      <c r="J13" s="60">
        <f>VLOOKUP(A13, '2. 2016 Continuity Schedule'!$C$20:$BV$86, MATCH('2. 2016 Continuity Schedule'!BV$20, '2. 2016 Continuity Schedule'!C$20:BV$20,0),FALSE)</f>
        <v>0</v>
      </c>
    </row>
    <row r="14" spans="1:10" ht="13.8" x14ac:dyDescent="0.25">
      <c r="A14" s="118" t="s">
        <v>13</v>
      </c>
      <c r="B14" s="119">
        <v>1534</v>
      </c>
      <c r="C14" s="60">
        <f>VLOOKUP(A14, '2. 2016 Continuity Schedule'!$C$20:$BV$86, MATCH('2. 2016 Continuity Schedule'!BO$20, '2. 2016 Continuity Schedule'!C$20:BV$20,0),FALSE)</f>
        <v>0</v>
      </c>
      <c r="D14" s="60">
        <f>VLOOKUP(A14, '2. 2016 Continuity Schedule'!$C$20:$BV$86, MATCH('2. 2016 Continuity Schedule'!BP$20, '2. 2016 Continuity Schedule'!C$20:BV$20,0),FALSE)</f>
        <v>0</v>
      </c>
      <c r="E14" s="60">
        <f t="shared" si="0"/>
        <v>0</v>
      </c>
      <c r="F14" s="60">
        <f>VLOOKUP(A14, '2. 2016 Continuity Schedule'!$C$20:$BV$86, MATCH('2. 2016 Continuity Schedule'!BQ$20, '2. 2016 Continuity Schedule'!C$20:BV$20,0),FALSE)</f>
        <v>0</v>
      </c>
      <c r="G14" s="60">
        <f>VLOOKUP(A14, '2. 2016 Continuity Schedule'!$C$20:$BV$86, MATCH('2. 2016 Continuity Schedule'!BR$20, '2. 2016 Continuity Schedule'!C$20:BV$20,0),FALSE)</f>
        <v>0</v>
      </c>
      <c r="H14" s="60">
        <f t="shared" si="1"/>
        <v>0</v>
      </c>
      <c r="I14" s="60">
        <f>VLOOKUP(A14, '2. 2016 Continuity Schedule'!$C$20:$BV$86, MATCH('2. 2016 Continuity Schedule'!BU$20, '2. 2016 Continuity Schedule'!C$20:BV$20,0),FALSE)</f>
        <v>0</v>
      </c>
      <c r="J14" s="60">
        <f>VLOOKUP(A14, '2. 2016 Continuity Schedule'!$C$20:$BV$86, MATCH('2. 2016 Continuity Schedule'!BV$20, '2. 2016 Continuity Schedule'!C$20:BV$20,0),FALSE)</f>
        <v>0</v>
      </c>
    </row>
    <row r="15" spans="1:10" ht="13.8" x14ac:dyDescent="0.25">
      <c r="A15" s="118" t="s">
        <v>14</v>
      </c>
      <c r="B15" s="119">
        <v>1535</v>
      </c>
      <c r="C15" s="60">
        <f>VLOOKUP(A15, '2. 2016 Continuity Schedule'!$C$20:$BV$86, MATCH('2. 2016 Continuity Schedule'!BO$20, '2. 2016 Continuity Schedule'!C$20:BV$20,0),FALSE)</f>
        <v>0</v>
      </c>
      <c r="D15" s="60">
        <f>VLOOKUP(A15, '2. 2016 Continuity Schedule'!$C$20:$BV$86, MATCH('2. 2016 Continuity Schedule'!BP$20, '2. 2016 Continuity Schedule'!C$20:BV$20,0),FALSE)</f>
        <v>0</v>
      </c>
      <c r="E15" s="60">
        <f t="shared" si="0"/>
        <v>0</v>
      </c>
      <c r="F15" s="60">
        <f>VLOOKUP(A15, '2. 2016 Continuity Schedule'!$C$20:$BV$86, MATCH('2. 2016 Continuity Schedule'!BQ$20, '2. 2016 Continuity Schedule'!C$20:BV$20,0),FALSE)</f>
        <v>0</v>
      </c>
      <c r="G15" s="60">
        <f>VLOOKUP(A15, '2. 2016 Continuity Schedule'!$C$20:$BV$86, MATCH('2. 2016 Continuity Schedule'!BR$20, '2. 2016 Continuity Schedule'!C$20:BV$20,0),FALSE)</f>
        <v>0</v>
      </c>
      <c r="H15" s="60">
        <f t="shared" si="1"/>
        <v>0</v>
      </c>
      <c r="I15" s="60">
        <f>VLOOKUP(A15, '2. 2016 Continuity Schedule'!$C$20:$BV$86, MATCH('2. 2016 Continuity Schedule'!BU$20, '2. 2016 Continuity Schedule'!C$20:BV$20,0),FALSE)</f>
        <v>0</v>
      </c>
      <c r="J15" s="60">
        <f>VLOOKUP(A15, '2. 2016 Continuity Schedule'!$C$20:$BV$86, MATCH('2. 2016 Continuity Schedule'!BV$20, '2. 2016 Continuity Schedule'!C$20:BV$20,0),FALSE)</f>
        <v>0</v>
      </c>
    </row>
    <row r="16" spans="1:10" ht="13.8" x14ac:dyDescent="0.25">
      <c r="A16" s="118" t="s">
        <v>19</v>
      </c>
      <c r="B16" s="119">
        <v>1536</v>
      </c>
      <c r="C16" s="60">
        <f>VLOOKUP(A16, '2. 2016 Continuity Schedule'!$C$20:$BV$86, MATCH('2. 2016 Continuity Schedule'!BO$20, '2. 2016 Continuity Schedule'!C$20:BV$20,0),FALSE)</f>
        <v>0</v>
      </c>
      <c r="D16" s="60">
        <f>VLOOKUP(A16, '2. 2016 Continuity Schedule'!$C$20:$BV$86, MATCH('2. 2016 Continuity Schedule'!BP$20, '2. 2016 Continuity Schedule'!C$20:BV$20,0),FALSE)</f>
        <v>0</v>
      </c>
      <c r="E16" s="60">
        <f t="shared" si="0"/>
        <v>0</v>
      </c>
      <c r="F16" s="60">
        <f>VLOOKUP(A16, '2. 2016 Continuity Schedule'!$C$20:$BV$86, MATCH('2. 2016 Continuity Schedule'!BQ$20, '2. 2016 Continuity Schedule'!C$20:BV$20,0),FALSE)</f>
        <v>0</v>
      </c>
      <c r="G16" s="60">
        <f>VLOOKUP(A16, '2. 2016 Continuity Schedule'!$C$20:$BV$86, MATCH('2. 2016 Continuity Schedule'!BR$20, '2. 2016 Continuity Schedule'!C$20:BV$20,0),FALSE)</f>
        <v>0</v>
      </c>
      <c r="H16" s="60">
        <f t="shared" si="1"/>
        <v>0</v>
      </c>
      <c r="I16" s="60">
        <f>VLOOKUP(A16, '2. 2016 Continuity Schedule'!$C$20:$BV$86, MATCH('2. 2016 Continuity Schedule'!BU$20, '2. 2016 Continuity Schedule'!C$20:BV$20,0),FALSE)</f>
        <v>0</v>
      </c>
      <c r="J16" s="60">
        <f>VLOOKUP(A16, '2. 2016 Continuity Schedule'!$C$20:$BV$86, MATCH('2. 2016 Continuity Schedule'!BV$20, '2. 2016 Continuity Schedule'!C$20:BV$20,0),FALSE)</f>
        <v>0</v>
      </c>
    </row>
    <row r="17" spans="1:10" ht="13.8" x14ac:dyDescent="0.25">
      <c r="A17" s="118" t="s">
        <v>5</v>
      </c>
      <c r="B17" s="119">
        <v>1548</v>
      </c>
      <c r="C17" s="60">
        <f>VLOOKUP(A17, '2. 2016 Continuity Schedule'!$C$20:$BV$86, MATCH('2. 2016 Continuity Schedule'!BO$20, '2. 2016 Continuity Schedule'!C$20:BV$20,0),FALSE)</f>
        <v>25097</v>
      </c>
      <c r="D17" s="60">
        <f>VLOOKUP(A17, '2. 2016 Continuity Schedule'!$C$20:$BV$86, MATCH('2. 2016 Continuity Schedule'!BP$20, '2. 2016 Continuity Schedule'!C$20:BV$20,0),FALSE)</f>
        <v>874</v>
      </c>
      <c r="E17" s="60">
        <f t="shared" si="0"/>
        <v>25971</v>
      </c>
      <c r="F17" s="60">
        <f>VLOOKUP(A17, '2. 2016 Continuity Schedule'!$C$20:$BV$86, MATCH('2. 2016 Continuity Schedule'!BQ$20, '2. 2016 Continuity Schedule'!C$20:BV$20,0),FALSE)</f>
        <v>276</v>
      </c>
      <c r="G17" s="60">
        <f>VLOOKUP(A17, '2. 2016 Continuity Schedule'!$C$20:$BV$86, MATCH('2. 2016 Continuity Schedule'!BR$20, '2. 2016 Continuity Schedule'!C$20:BV$20,0),FALSE)</f>
        <v>301.16400000000004</v>
      </c>
      <c r="H17" s="60">
        <f t="shared" si="1"/>
        <v>26548.164000000001</v>
      </c>
      <c r="I17" s="60">
        <f>VLOOKUP(A17, '2. 2016 Continuity Schedule'!$C$20:$BV$86, MATCH('2. 2016 Continuity Schedule'!BU$20, '2. 2016 Continuity Schedule'!C$20:BV$20,0),FALSE)</f>
        <v>25971.250000000004</v>
      </c>
      <c r="J17" s="60">
        <f>VLOOKUP(A17, '2. 2016 Continuity Schedule'!$C$20:$BV$86, MATCH('2. 2016 Continuity Schedule'!BV$20, '2. 2016 Continuity Schedule'!C$20:BV$20,0),FALSE)</f>
        <v>0.25000000000363798</v>
      </c>
    </row>
    <row r="18" spans="1:10" ht="13.8" x14ac:dyDescent="0.25">
      <c r="A18" s="118" t="s">
        <v>28</v>
      </c>
      <c r="B18" s="119">
        <v>1550</v>
      </c>
      <c r="C18" s="60">
        <f>VLOOKUP(A18, '2. 2016 Continuity Schedule'!$C$20:$BV$86, MATCH('2. 2016 Continuity Schedule'!BO$20, '2. 2016 Continuity Schedule'!C$20:BV$20,0),FALSE)</f>
        <v>303480</v>
      </c>
      <c r="D18" s="60">
        <f>VLOOKUP(A18, '2. 2016 Continuity Schedule'!$C$20:$BV$86, MATCH('2. 2016 Continuity Schedule'!BP$20, '2. 2016 Continuity Schedule'!C$20:BV$20,0),FALSE)</f>
        <v>911</v>
      </c>
      <c r="E18" s="60">
        <f t="shared" si="0"/>
        <v>304391</v>
      </c>
      <c r="F18" s="60">
        <f>VLOOKUP(A18, '2. 2016 Continuity Schedule'!$C$20:$BV$86, MATCH('2. 2016 Continuity Schedule'!BQ$20, '2. 2016 Continuity Schedule'!C$20:BV$20,0),FALSE)</f>
        <v>3338.2799999999997</v>
      </c>
      <c r="G18" s="60">
        <f>VLOOKUP(A18, '2. 2016 Continuity Schedule'!$C$20:$BV$86, MATCH('2. 2016 Continuity Schedule'!BR$20, '2. 2016 Continuity Schedule'!C$20:BV$20,0),FALSE)</f>
        <v>3641.76</v>
      </c>
      <c r="H18" s="60">
        <f t="shared" si="1"/>
        <v>311371.04000000004</v>
      </c>
      <c r="I18" s="60">
        <f>VLOOKUP(A18, '2. 2016 Continuity Schedule'!$C$20:$BV$86, MATCH('2. 2016 Continuity Schedule'!BU$20, '2. 2016 Continuity Schedule'!C$20:BV$20,0),FALSE)</f>
        <v>408115.48</v>
      </c>
      <c r="J18" s="60">
        <f>VLOOKUP(A18, '2. 2016 Continuity Schedule'!$C$20:$BV$86, MATCH('2. 2016 Continuity Schedule'!BV$20, '2. 2016 Continuity Schedule'!C$20:BV$20,0),FALSE)</f>
        <v>0.47999999998137355</v>
      </c>
    </row>
    <row r="19" spans="1:10" ht="13.8" x14ac:dyDescent="0.25">
      <c r="A19" s="118" t="s">
        <v>175</v>
      </c>
      <c r="B19" s="119">
        <v>1551</v>
      </c>
      <c r="C19" s="60">
        <f>VLOOKUP(A19, '2. 2016 Continuity Schedule'!$C$20:$BV$86, MATCH('2. 2016 Continuity Schedule'!BO$20, '2. 2016 Continuity Schedule'!C$20:BV$20,0),FALSE)</f>
        <v>-5457</v>
      </c>
      <c r="D19" s="60">
        <f>VLOOKUP(A19, '2. 2016 Continuity Schedule'!$C$20:$BV$86, MATCH('2. 2016 Continuity Schedule'!BP$20, '2. 2016 Continuity Schedule'!C$20:BV$20,0),FALSE)</f>
        <v>-15</v>
      </c>
      <c r="E19" s="60">
        <f t="shared" si="0"/>
        <v>-5472</v>
      </c>
      <c r="F19" s="60">
        <f>VLOOKUP(A19, '2. 2016 Continuity Schedule'!$C$20:$BV$86, MATCH('2. 2016 Continuity Schedule'!BQ$20, '2. 2016 Continuity Schedule'!C$20:BV$20,0),FALSE)</f>
        <v>-60.026999999999994</v>
      </c>
      <c r="G19" s="60">
        <f>VLOOKUP(A19, '2. 2016 Continuity Schedule'!$C$20:$BV$86, MATCH('2. 2016 Continuity Schedule'!BR$20, '2. 2016 Continuity Schedule'!C$20:BV$20,0),FALSE)</f>
        <v>-65.484000000000009</v>
      </c>
      <c r="H19" s="60">
        <f t="shared" si="1"/>
        <v>-5597.5110000000004</v>
      </c>
      <c r="I19" s="60">
        <f>VLOOKUP(A19, '2. 2016 Continuity Schedule'!$C$20:$BV$86, MATCH('2. 2016 Continuity Schedule'!BU$20, '2. 2016 Continuity Schedule'!C$20:BV$20,0),FALSE)</f>
        <v>-10232.220000000001</v>
      </c>
      <c r="J19" s="60">
        <f>VLOOKUP(A19, '2. 2016 Continuity Schedule'!$C$20:$BV$86, MATCH('2. 2016 Continuity Schedule'!BV$20, '2. 2016 Continuity Schedule'!C$20:BV$20,0),FALSE)</f>
        <v>-0.22000000000116415</v>
      </c>
    </row>
    <row r="20" spans="1:10" ht="16.2" x14ac:dyDescent="0.25">
      <c r="A20" s="118" t="s">
        <v>90</v>
      </c>
      <c r="B20" s="119">
        <v>1555</v>
      </c>
      <c r="C20" s="60" t="e">
        <f>VLOOKUP(A20, '2. 2016 Continuity Schedule'!$C$20:$BV$86, MATCH('2. 2016 Continuity Schedule'!BO$20, '2. 2016 Continuity Schedule'!C$20:BV$20,0),FALSE)</f>
        <v>#N/A</v>
      </c>
      <c r="D20" s="60" t="e">
        <f>VLOOKUP(A20, '2. 2016 Continuity Schedule'!$C$20:$BV$86, MATCH('2. 2016 Continuity Schedule'!BP$20, '2. 2016 Continuity Schedule'!C$20:BV$20,0),FALSE)</f>
        <v>#N/A</v>
      </c>
      <c r="E20" s="60" t="e">
        <f t="shared" si="0"/>
        <v>#N/A</v>
      </c>
      <c r="F20" s="60" t="e">
        <f>VLOOKUP(A20, '2. 2016 Continuity Schedule'!$C$20:$BV$86, MATCH('2. 2016 Continuity Schedule'!BQ$20, '2. 2016 Continuity Schedule'!C$20:BV$20,0),FALSE)</f>
        <v>#N/A</v>
      </c>
      <c r="G20" s="60" t="e">
        <f>VLOOKUP(A20, '2. 2016 Continuity Schedule'!$C$20:$BV$86, MATCH('2. 2016 Continuity Schedule'!BR$20, '2. 2016 Continuity Schedule'!C$20:BV$20,0),FALSE)</f>
        <v>#N/A</v>
      </c>
      <c r="H20" s="60" t="e">
        <f t="shared" si="1"/>
        <v>#N/A</v>
      </c>
      <c r="I20" s="60" t="e">
        <f>VLOOKUP(A20, '2. 2016 Continuity Schedule'!$C$20:$BV$86, MATCH('2. 2016 Continuity Schedule'!BU$20, '2. 2016 Continuity Schedule'!C$20:BV$20,0),FALSE)</f>
        <v>#N/A</v>
      </c>
      <c r="J20" s="60" t="e">
        <f>VLOOKUP(A20, '2. 2016 Continuity Schedule'!$C$20:$BV$86, MATCH('2. 2016 Continuity Schedule'!BV$20, '2. 2016 Continuity Schedule'!C$20:BV$20,0),FALSE)</f>
        <v>#N/A</v>
      </c>
    </row>
    <row r="21" spans="1:10" ht="16.2" x14ac:dyDescent="0.25">
      <c r="A21" s="118" t="s">
        <v>91</v>
      </c>
      <c r="B21" s="119">
        <v>1555</v>
      </c>
      <c r="C21" s="60" t="e">
        <f>VLOOKUP(A21, '2. 2016 Continuity Schedule'!$C$20:$BV$86, MATCH('2. 2016 Continuity Schedule'!BO$20, '2. 2016 Continuity Schedule'!C$20:BV$20,0),FALSE)</f>
        <v>#N/A</v>
      </c>
      <c r="D21" s="60" t="e">
        <f>VLOOKUP(A21, '2. 2016 Continuity Schedule'!$C$20:$BV$86, MATCH('2. 2016 Continuity Schedule'!BP$20, '2. 2016 Continuity Schedule'!C$20:BV$20,0),FALSE)</f>
        <v>#N/A</v>
      </c>
      <c r="E21" s="60" t="e">
        <f t="shared" si="0"/>
        <v>#N/A</v>
      </c>
      <c r="F21" s="60" t="e">
        <f>VLOOKUP(A21, '2. 2016 Continuity Schedule'!$C$20:$BV$86, MATCH('2. 2016 Continuity Schedule'!BQ$20, '2. 2016 Continuity Schedule'!C$20:BV$20,0),FALSE)</f>
        <v>#N/A</v>
      </c>
      <c r="G21" s="60" t="e">
        <f>VLOOKUP(A21, '2. 2016 Continuity Schedule'!$C$20:$BV$86, MATCH('2. 2016 Continuity Schedule'!BR$20, '2. 2016 Continuity Schedule'!C$20:BV$20,0),FALSE)</f>
        <v>#N/A</v>
      </c>
      <c r="H21" s="60" t="e">
        <f t="shared" si="1"/>
        <v>#N/A</v>
      </c>
      <c r="I21" s="60" t="e">
        <f>VLOOKUP(A21, '2. 2016 Continuity Schedule'!$C$20:$BV$86, MATCH('2. 2016 Continuity Schedule'!BU$20, '2. 2016 Continuity Schedule'!C$20:BV$20,0),FALSE)</f>
        <v>#N/A</v>
      </c>
      <c r="J21" s="60" t="e">
        <f>VLOOKUP(A21, '2. 2016 Continuity Schedule'!$C$20:$BV$86, MATCH('2. 2016 Continuity Schedule'!BV$20, '2. 2016 Continuity Schedule'!C$20:BV$20,0),FALSE)</f>
        <v>#N/A</v>
      </c>
    </row>
    <row r="22" spans="1:10" ht="16.2" x14ac:dyDescent="0.25">
      <c r="A22" s="118" t="s">
        <v>92</v>
      </c>
      <c r="B22" s="119">
        <v>1555</v>
      </c>
      <c r="C22" s="60" t="e">
        <f>VLOOKUP(A22, '2. 2016 Continuity Schedule'!$C$20:$BV$86, MATCH('2. 2016 Continuity Schedule'!BO$20, '2. 2016 Continuity Schedule'!C$20:BV$20,0),FALSE)</f>
        <v>#N/A</v>
      </c>
      <c r="D22" s="60" t="e">
        <f>VLOOKUP(A22, '2. 2016 Continuity Schedule'!$C$20:$BV$86, MATCH('2. 2016 Continuity Schedule'!BP$20, '2. 2016 Continuity Schedule'!C$20:BV$20,0),FALSE)</f>
        <v>#N/A</v>
      </c>
      <c r="E22" s="60" t="e">
        <f t="shared" si="0"/>
        <v>#N/A</v>
      </c>
      <c r="F22" s="60" t="e">
        <f>VLOOKUP(A22, '2. 2016 Continuity Schedule'!$C$20:$BV$86, MATCH('2. 2016 Continuity Schedule'!BQ$20, '2. 2016 Continuity Schedule'!C$20:BV$20,0),FALSE)</f>
        <v>#N/A</v>
      </c>
      <c r="G22" s="60" t="e">
        <f>VLOOKUP(A22, '2. 2016 Continuity Schedule'!$C$20:$BV$86, MATCH('2. 2016 Continuity Schedule'!BR$20, '2. 2016 Continuity Schedule'!C$20:BV$20,0),FALSE)</f>
        <v>#N/A</v>
      </c>
      <c r="H22" s="60" t="e">
        <f t="shared" si="1"/>
        <v>#N/A</v>
      </c>
      <c r="I22" s="60" t="e">
        <f>VLOOKUP(A22, '2. 2016 Continuity Schedule'!$C$20:$BV$86, MATCH('2. 2016 Continuity Schedule'!BU$20, '2. 2016 Continuity Schedule'!C$20:BV$20,0),FALSE)</f>
        <v>#N/A</v>
      </c>
      <c r="J22" s="60" t="e">
        <f>VLOOKUP(A22, '2. 2016 Continuity Schedule'!$C$20:$BV$86, MATCH('2. 2016 Continuity Schedule'!BV$20, '2. 2016 Continuity Schedule'!C$20:BV$20,0),FALSE)</f>
        <v>#N/A</v>
      </c>
    </row>
    <row r="23" spans="1:10" ht="16.2" x14ac:dyDescent="0.25">
      <c r="A23" s="118" t="s">
        <v>93</v>
      </c>
      <c r="B23" s="119">
        <v>1556</v>
      </c>
      <c r="C23" s="60" t="e">
        <f>VLOOKUP(A23, '2. 2016 Continuity Schedule'!$C$20:$BV$86, MATCH('2. 2016 Continuity Schedule'!BO$20, '2. 2016 Continuity Schedule'!C$20:BV$20,0),FALSE)</f>
        <v>#N/A</v>
      </c>
      <c r="D23" s="60" t="e">
        <f>VLOOKUP(A23, '2. 2016 Continuity Schedule'!$C$20:$BV$86, MATCH('2. 2016 Continuity Schedule'!BP$20, '2. 2016 Continuity Schedule'!C$20:BV$20,0),FALSE)</f>
        <v>#N/A</v>
      </c>
      <c r="E23" s="60" t="e">
        <f t="shared" si="0"/>
        <v>#N/A</v>
      </c>
      <c r="F23" s="60" t="e">
        <f>VLOOKUP(A23, '2. 2016 Continuity Schedule'!$C$20:$BV$86, MATCH('2. 2016 Continuity Schedule'!BQ$20, '2. 2016 Continuity Schedule'!C$20:BV$20,0),FALSE)</f>
        <v>#N/A</v>
      </c>
      <c r="G23" s="60" t="e">
        <f>VLOOKUP(A23, '2. 2016 Continuity Schedule'!$C$20:$BV$86, MATCH('2. 2016 Continuity Schedule'!BR$20, '2. 2016 Continuity Schedule'!C$20:BV$20,0),FALSE)</f>
        <v>#N/A</v>
      </c>
      <c r="H23" s="60" t="e">
        <f t="shared" si="1"/>
        <v>#N/A</v>
      </c>
      <c r="I23" s="60" t="e">
        <f>VLOOKUP(A23, '2. 2016 Continuity Schedule'!$C$20:$BV$86, MATCH('2. 2016 Continuity Schedule'!BU$20, '2. 2016 Continuity Schedule'!C$20:BV$20,0),FALSE)</f>
        <v>#N/A</v>
      </c>
      <c r="J23" s="60" t="e">
        <f>VLOOKUP(A23, '2. 2016 Continuity Schedule'!$C$20:$BV$86, MATCH('2. 2016 Continuity Schedule'!BV$20, '2. 2016 Continuity Schedule'!C$20:BV$20,0),FALSE)</f>
        <v>#N/A</v>
      </c>
    </row>
    <row r="24" spans="1:10" ht="13.8" x14ac:dyDescent="0.25">
      <c r="A24" s="118" t="s">
        <v>8</v>
      </c>
      <c r="B24" s="119">
        <v>1562</v>
      </c>
      <c r="C24" s="60" t="e">
        <f>VLOOKUP(A24, '2. 2016 Continuity Schedule'!$C$20:$BV$86, MATCH('2. 2016 Continuity Schedule'!BO$20, '2. 2016 Continuity Schedule'!C$20:BV$20,0),FALSE)</f>
        <v>#N/A</v>
      </c>
      <c r="D24" s="60" t="e">
        <f>VLOOKUP(A24, '2. 2016 Continuity Schedule'!$C$20:$BV$86, MATCH('2. 2016 Continuity Schedule'!BP$20, '2. 2016 Continuity Schedule'!C$20:BV$20,0),FALSE)</f>
        <v>#N/A</v>
      </c>
      <c r="E24" s="60" t="e">
        <f t="shared" si="0"/>
        <v>#N/A</v>
      </c>
      <c r="F24" s="60" t="e">
        <f>VLOOKUP(A24, '2. 2016 Continuity Schedule'!$C$20:$BV$86, MATCH('2. 2016 Continuity Schedule'!BQ$20, '2. 2016 Continuity Schedule'!C$20:BV$20,0),FALSE)</f>
        <v>#N/A</v>
      </c>
      <c r="G24" s="60" t="e">
        <f>VLOOKUP(A24, '2. 2016 Continuity Schedule'!$C$20:$BV$86, MATCH('2. 2016 Continuity Schedule'!BR$20, '2. 2016 Continuity Schedule'!C$20:BV$20,0),FALSE)</f>
        <v>#N/A</v>
      </c>
      <c r="H24" s="60" t="e">
        <f t="shared" si="1"/>
        <v>#N/A</v>
      </c>
      <c r="I24" s="60" t="e">
        <f>VLOOKUP(A24, '2. 2016 Continuity Schedule'!$C$20:$BV$86, MATCH('2. 2016 Continuity Schedule'!BU$20, '2. 2016 Continuity Schedule'!C$20:BV$20,0),FALSE)</f>
        <v>#N/A</v>
      </c>
      <c r="J24" s="60" t="e">
        <f>VLOOKUP(A24, '2. 2016 Continuity Schedule'!$C$20:$BV$86, MATCH('2. 2016 Continuity Schedule'!BV$20, '2. 2016 Continuity Schedule'!C$20:BV$20,0),FALSE)</f>
        <v>#N/A</v>
      </c>
    </row>
    <row r="25" spans="1:10" ht="13.8" x14ac:dyDescent="0.25">
      <c r="A25" s="118" t="s">
        <v>32</v>
      </c>
      <c r="B25" s="119">
        <v>1567</v>
      </c>
      <c r="C25" s="60">
        <f>VLOOKUP(A25, '2. 2016 Continuity Schedule'!$C$20:$BV$86, MATCH('2. 2016 Continuity Schedule'!BO$20, '2. 2016 Continuity Schedule'!C$20:BV$20,0),FALSE)</f>
        <v>0</v>
      </c>
      <c r="D25" s="60">
        <f>VLOOKUP(A25, '2. 2016 Continuity Schedule'!$C$20:$BV$86, MATCH('2. 2016 Continuity Schedule'!BP$20, '2. 2016 Continuity Schedule'!C$20:BV$20,0),FALSE)</f>
        <v>0</v>
      </c>
      <c r="E25" s="60">
        <f t="shared" si="0"/>
        <v>0</v>
      </c>
      <c r="F25" s="60">
        <f>VLOOKUP(A25, '2. 2016 Continuity Schedule'!$C$20:$BV$86, MATCH('2. 2016 Continuity Schedule'!BQ$20, '2. 2016 Continuity Schedule'!C$20:BV$20,0),FALSE)</f>
        <v>0</v>
      </c>
      <c r="G25" s="60">
        <f>VLOOKUP(A25, '2. 2016 Continuity Schedule'!$C$20:$BV$86, MATCH('2. 2016 Continuity Schedule'!BR$20, '2. 2016 Continuity Schedule'!C$20:BV$20,0),FALSE)</f>
        <v>0</v>
      </c>
      <c r="H25" s="60">
        <f t="shared" si="1"/>
        <v>0</v>
      </c>
      <c r="I25" s="60">
        <f>VLOOKUP(A25, '2. 2016 Continuity Schedule'!$C$20:$BV$86, MATCH('2. 2016 Continuity Schedule'!BU$20, '2. 2016 Continuity Schedule'!C$20:BV$20,0),FALSE)</f>
        <v>0</v>
      </c>
      <c r="J25" s="60">
        <f>VLOOKUP(A25, '2. 2016 Continuity Schedule'!$C$20:$BV$86, MATCH('2. 2016 Continuity Schedule'!BV$20, '2. 2016 Continuity Schedule'!C$20:BV$20,0),FALSE)</f>
        <v>0</v>
      </c>
    </row>
    <row r="26" spans="1:10" ht="13.8" x14ac:dyDescent="0.25">
      <c r="A26" s="118" t="s">
        <v>61</v>
      </c>
      <c r="B26" s="119">
        <v>1568</v>
      </c>
      <c r="C26" s="60" t="e">
        <f>VLOOKUP(A26, '2. 2016 Continuity Schedule'!$C$20:$BV$86, MATCH('2. 2016 Continuity Schedule'!BO$20, '2. 2016 Continuity Schedule'!C$20:BV$20,0),FALSE)</f>
        <v>#N/A</v>
      </c>
      <c r="D26" s="60" t="e">
        <f>VLOOKUP(A26, '2. 2016 Continuity Schedule'!$C$20:$BV$86, MATCH('2. 2016 Continuity Schedule'!BP$20, '2. 2016 Continuity Schedule'!C$20:BV$20,0),FALSE)</f>
        <v>#N/A</v>
      </c>
      <c r="E26" s="60" t="e">
        <f t="shared" si="0"/>
        <v>#N/A</v>
      </c>
      <c r="F26" s="60" t="e">
        <f>VLOOKUP(A26, '2. 2016 Continuity Schedule'!$C$20:$BV$86, MATCH('2. 2016 Continuity Schedule'!BQ$20, '2. 2016 Continuity Schedule'!C$20:BV$20,0),FALSE)</f>
        <v>#N/A</v>
      </c>
      <c r="G26" s="60" t="e">
        <f>VLOOKUP(A26, '2. 2016 Continuity Schedule'!$C$20:$BV$86, MATCH('2. 2016 Continuity Schedule'!BR$20, '2. 2016 Continuity Schedule'!C$20:BV$20,0),FALSE)</f>
        <v>#N/A</v>
      </c>
      <c r="H26" s="60" t="e">
        <f t="shared" si="1"/>
        <v>#N/A</v>
      </c>
      <c r="I26" s="60" t="e">
        <f>VLOOKUP(A26, '2. 2016 Continuity Schedule'!$C$20:$BV$86, MATCH('2. 2016 Continuity Schedule'!BU$20, '2. 2016 Continuity Schedule'!C$20:BV$20,0),FALSE)</f>
        <v>#N/A</v>
      </c>
      <c r="J26" s="60" t="e">
        <f>VLOOKUP(A26, '2. 2016 Continuity Schedule'!$C$20:$BV$86, MATCH('2. 2016 Continuity Schedule'!BV$20, '2. 2016 Continuity Schedule'!C$20:BV$20,0),FALSE)</f>
        <v>#N/A</v>
      </c>
    </row>
    <row r="27" spans="1:10" ht="13.8" x14ac:dyDescent="0.25">
      <c r="A27" s="118" t="s">
        <v>10</v>
      </c>
      <c r="B27" s="119">
        <v>1572</v>
      </c>
      <c r="C27" s="60">
        <f>VLOOKUP(A27, '2. 2016 Continuity Schedule'!$C$20:$BV$86, MATCH('2. 2016 Continuity Schedule'!BO$20, '2. 2016 Continuity Schedule'!C$20:BV$20,0),FALSE)</f>
        <v>0</v>
      </c>
      <c r="D27" s="60">
        <f>VLOOKUP(A27, '2. 2016 Continuity Schedule'!$C$20:$BV$86, MATCH('2. 2016 Continuity Schedule'!BP$20, '2. 2016 Continuity Schedule'!C$20:BV$20,0),FALSE)</f>
        <v>0</v>
      </c>
      <c r="E27" s="60">
        <f t="shared" si="0"/>
        <v>0</v>
      </c>
      <c r="F27" s="60">
        <f>VLOOKUP(A27, '2. 2016 Continuity Schedule'!$C$20:$BV$86, MATCH('2. 2016 Continuity Schedule'!BQ$20, '2. 2016 Continuity Schedule'!C$20:BV$20,0),FALSE)</f>
        <v>0</v>
      </c>
      <c r="G27" s="60">
        <f>VLOOKUP(A27, '2. 2016 Continuity Schedule'!$C$20:$BV$86, MATCH('2. 2016 Continuity Schedule'!BR$20, '2. 2016 Continuity Schedule'!C$20:BV$20,0),FALSE)</f>
        <v>0</v>
      </c>
      <c r="H27" s="60">
        <f t="shared" si="1"/>
        <v>0</v>
      </c>
      <c r="I27" s="60">
        <f>VLOOKUP(A27, '2. 2016 Continuity Schedule'!$C$20:$BV$86, MATCH('2. 2016 Continuity Schedule'!BU$20, '2. 2016 Continuity Schedule'!C$20:BV$20,0),FALSE)</f>
        <v>0</v>
      </c>
      <c r="J27" s="60">
        <f>VLOOKUP(A27, '2. 2016 Continuity Schedule'!$C$20:$BV$86, MATCH('2. 2016 Continuity Schedule'!BV$20, '2. 2016 Continuity Schedule'!C$20:BV$20,0),FALSE)</f>
        <v>0</v>
      </c>
    </row>
    <row r="28" spans="1:10" ht="13.8" x14ac:dyDescent="0.25">
      <c r="A28" s="118" t="s">
        <v>6</v>
      </c>
      <c r="B28" s="119">
        <v>1574</v>
      </c>
      <c r="C28" s="60">
        <f>VLOOKUP(A28, '2. 2016 Continuity Schedule'!$C$20:$BV$86, MATCH('2. 2016 Continuity Schedule'!BO$20, '2. 2016 Continuity Schedule'!C$20:BV$20,0),FALSE)</f>
        <v>0</v>
      </c>
      <c r="D28" s="60">
        <f>VLOOKUP(A28, '2. 2016 Continuity Schedule'!$C$20:$BV$86, MATCH('2. 2016 Continuity Schedule'!BP$20, '2. 2016 Continuity Schedule'!C$20:BV$20,0),FALSE)</f>
        <v>0</v>
      </c>
      <c r="E28" s="60">
        <f t="shared" si="0"/>
        <v>0</v>
      </c>
      <c r="F28" s="60">
        <f>VLOOKUP(A28, '2. 2016 Continuity Schedule'!$C$20:$BV$86, MATCH('2. 2016 Continuity Schedule'!BQ$20, '2. 2016 Continuity Schedule'!C$20:BV$20,0),FALSE)</f>
        <v>0</v>
      </c>
      <c r="G28" s="60">
        <f>VLOOKUP(A28, '2. 2016 Continuity Schedule'!$C$20:$BV$86, MATCH('2. 2016 Continuity Schedule'!BR$20, '2. 2016 Continuity Schedule'!C$20:BV$20,0),FALSE)</f>
        <v>0</v>
      </c>
      <c r="H28" s="60">
        <f t="shared" si="1"/>
        <v>0</v>
      </c>
      <c r="I28" s="60">
        <f>VLOOKUP(A28, '2. 2016 Continuity Schedule'!$C$20:$BV$86, MATCH('2. 2016 Continuity Schedule'!BU$20, '2. 2016 Continuity Schedule'!C$20:BV$20,0),FALSE)</f>
        <v>0</v>
      </c>
      <c r="J28" s="60">
        <f>VLOOKUP(A28, '2. 2016 Continuity Schedule'!$C$20:$BV$86, MATCH('2. 2016 Continuity Schedule'!BV$20, '2. 2016 Continuity Schedule'!C$20:BV$20,0),FALSE)</f>
        <v>0</v>
      </c>
    </row>
    <row r="29" spans="1:10" ht="16.2" x14ac:dyDescent="0.25">
      <c r="A29" s="122" t="s">
        <v>165</v>
      </c>
      <c r="B29" s="123">
        <v>1575</v>
      </c>
      <c r="C29" s="60" t="e">
        <f>VLOOKUP(A29, '2. 2016 Continuity Schedule'!$C$20:$BV$86, MATCH('2. 2016 Continuity Schedule'!BO$20, '2. 2016 Continuity Schedule'!C$20:BV$20,0),FALSE)</f>
        <v>#N/A</v>
      </c>
      <c r="D29" s="60" t="e">
        <f>VLOOKUP(A29, '2. 2016 Continuity Schedule'!$C$20:$BV$86, MATCH('2. 2016 Continuity Schedule'!BP$20, '2. 2016 Continuity Schedule'!C$20:BV$20,0),FALSE)</f>
        <v>#N/A</v>
      </c>
      <c r="E29" s="60" t="e">
        <f t="shared" si="0"/>
        <v>#N/A</v>
      </c>
      <c r="F29" s="60" t="e">
        <f>VLOOKUP(A29, '2. 2016 Continuity Schedule'!$C$20:$BV$86, MATCH('2. 2016 Continuity Schedule'!BQ$20, '2. 2016 Continuity Schedule'!C$20:BV$20,0),FALSE)</f>
        <v>#N/A</v>
      </c>
      <c r="G29" s="60" t="e">
        <f>VLOOKUP(A29, '2. 2016 Continuity Schedule'!$C$20:$BV$86, MATCH('2. 2016 Continuity Schedule'!BR$20, '2. 2016 Continuity Schedule'!C$20:BV$20,0),FALSE)</f>
        <v>#N/A</v>
      </c>
      <c r="H29" s="60" t="e">
        <f t="shared" si="1"/>
        <v>#N/A</v>
      </c>
      <c r="I29" s="60" t="e">
        <f>VLOOKUP(A29, '2. 2016 Continuity Schedule'!$C$20:$BV$86, MATCH('2. 2016 Continuity Schedule'!BU$20, '2. 2016 Continuity Schedule'!C$20:BV$20,0),FALSE)</f>
        <v>#N/A</v>
      </c>
      <c r="J29" s="60" t="e">
        <f>VLOOKUP(A29, '2. 2016 Continuity Schedule'!$C$20:$BV$86, MATCH('2. 2016 Continuity Schedule'!BV$20, '2. 2016 Continuity Schedule'!C$20:BV$20,0),FALSE)</f>
        <v>#N/A</v>
      </c>
    </row>
    <row r="30" spans="1:10" ht="16.2" x14ac:dyDescent="0.25">
      <c r="A30" s="122" t="s">
        <v>166</v>
      </c>
      <c r="B30" s="123">
        <v>1576</v>
      </c>
      <c r="C30" s="60" t="e">
        <f>VLOOKUP(A30, '2. 2016 Continuity Schedule'!$C$20:$BV$86, MATCH('2. 2016 Continuity Schedule'!BO$20, '2. 2016 Continuity Schedule'!C$20:BV$20,0),FALSE)</f>
        <v>#N/A</v>
      </c>
      <c r="D30" s="60" t="e">
        <f>VLOOKUP(A30, '2. 2016 Continuity Schedule'!$C$20:$BV$86, MATCH('2. 2016 Continuity Schedule'!BP$20, '2. 2016 Continuity Schedule'!C$20:BV$20,0),FALSE)</f>
        <v>#N/A</v>
      </c>
      <c r="E30" s="60" t="e">
        <f t="shared" si="0"/>
        <v>#N/A</v>
      </c>
      <c r="F30" s="60" t="e">
        <f>VLOOKUP(A30, '2. 2016 Continuity Schedule'!$C$20:$BV$86, MATCH('2. 2016 Continuity Schedule'!BQ$20, '2. 2016 Continuity Schedule'!C$20:BV$20,0),FALSE)</f>
        <v>#N/A</v>
      </c>
      <c r="G30" s="60" t="e">
        <f>VLOOKUP(A30, '2. 2016 Continuity Schedule'!$C$20:$BV$86, MATCH('2. 2016 Continuity Schedule'!BR$20, '2. 2016 Continuity Schedule'!C$20:BV$20,0),FALSE)</f>
        <v>#N/A</v>
      </c>
      <c r="H30" s="60" t="e">
        <f t="shared" si="1"/>
        <v>#N/A</v>
      </c>
      <c r="I30" s="60" t="e">
        <f>VLOOKUP(A30, '2. 2016 Continuity Schedule'!$C$20:$BV$86, MATCH('2. 2016 Continuity Schedule'!BU$20, '2. 2016 Continuity Schedule'!C$20:BV$20,0),FALSE)</f>
        <v>#N/A</v>
      </c>
      <c r="J30" s="60" t="e">
        <f>VLOOKUP(A30, '2. 2016 Continuity Schedule'!$C$20:$BV$86, MATCH('2. 2016 Continuity Schedule'!BV$20, '2. 2016 Continuity Schedule'!C$20:BV$20,0),FALSE)</f>
        <v>#N/A</v>
      </c>
    </row>
    <row r="31" spans="1:10" ht="13.8" x14ac:dyDescent="0.25">
      <c r="A31" s="121" t="s">
        <v>1</v>
      </c>
      <c r="B31" s="119">
        <v>1580</v>
      </c>
      <c r="C31" s="60" t="e">
        <f>VLOOKUP(A31, '2. 2016 Continuity Schedule'!$C$20:$BV$86, MATCH('2. 2016 Continuity Schedule'!BO$20, '2. 2016 Continuity Schedule'!C$20:BV$20,0),FALSE)</f>
        <v>#N/A</v>
      </c>
      <c r="D31" s="60" t="e">
        <f>VLOOKUP(A31, '2. 2016 Continuity Schedule'!$C$20:$BV$86, MATCH('2. 2016 Continuity Schedule'!BP$20, '2. 2016 Continuity Schedule'!C$20:BV$20,0),FALSE)</f>
        <v>#N/A</v>
      </c>
      <c r="E31" s="60" t="e">
        <f t="shared" si="0"/>
        <v>#N/A</v>
      </c>
      <c r="F31" s="60" t="e">
        <f>VLOOKUP(A31, '2. 2016 Continuity Schedule'!$C$20:$BV$86, MATCH('2. 2016 Continuity Schedule'!BQ$20, '2. 2016 Continuity Schedule'!C$20:BV$20,0),FALSE)</f>
        <v>#N/A</v>
      </c>
      <c r="G31" s="60" t="e">
        <f>VLOOKUP(A31, '2. 2016 Continuity Schedule'!$C$20:$BV$86, MATCH('2. 2016 Continuity Schedule'!BR$20, '2. 2016 Continuity Schedule'!C$20:BV$20,0),FALSE)</f>
        <v>#N/A</v>
      </c>
      <c r="H31" s="60" t="e">
        <f t="shared" si="1"/>
        <v>#N/A</v>
      </c>
      <c r="I31" s="60" t="e">
        <f>VLOOKUP(A31, '2. 2016 Continuity Schedule'!$C$20:$BV$86, MATCH('2. 2016 Continuity Schedule'!BU$20, '2. 2016 Continuity Schedule'!C$20:BV$20,0),FALSE)</f>
        <v>#N/A</v>
      </c>
      <c r="J31" s="60" t="e">
        <f>VLOOKUP(A31, '2. 2016 Continuity Schedule'!$C$20:$BV$86, MATCH('2. 2016 Continuity Schedule'!BV$20, '2. 2016 Continuity Schedule'!C$20:BV$20,0),FALSE)</f>
        <v>#N/A</v>
      </c>
    </row>
    <row r="32" spans="1:10" ht="13.8" x14ac:dyDescent="0.25">
      <c r="A32" s="121" t="s">
        <v>29</v>
      </c>
      <c r="B32" s="119">
        <v>1582</v>
      </c>
      <c r="C32" s="60">
        <f>VLOOKUP(A32, '2. 2016 Continuity Schedule'!$C$20:$BV$86, MATCH('2. 2016 Continuity Schedule'!BO$20, '2. 2016 Continuity Schedule'!C$20:BV$20,0),FALSE)</f>
        <v>-0.35000000000582077</v>
      </c>
      <c r="D32" s="60">
        <f>VLOOKUP(A32, '2. 2016 Continuity Schedule'!$C$20:$BV$86, MATCH('2. 2016 Continuity Schedule'!BP$20, '2. 2016 Continuity Schedule'!C$20:BV$20,0),FALSE)</f>
        <v>-9.0000000000145519E-2</v>
      </c>
      <c r="E32" s="60">
        <f t="shared" si="0"/>
        <v>-0.44000000000596629</v>
      </c>
      <c r="F32" s="60">
        <f>VLOOKUP(A32, '2. 2016 Continuity Schedule'!$C$20:$BV$86, MATCH('2. 2016 Continuity Schedule'!BQ$20, '2. 2016 Continuity Schedule'!C$20:BV$20,0),FALSE)</f>
        <v>0</v>
      </c>
      <c r="G32" s="60">
        <f>VLOOKUP(A32, '2. 2016 Continuity Schedule'!$C$20:$BV$86, MATCH('2. 2016 Continuity Schedule'!BR$20, '2. 2016 Continuity Schedule'!C$20:BV$20,0),FALSE)</f>
        <v>-4.2000000000698492E-3</v>
      </c>
      <c r="H32" s="60">
        <f t="shared" si="1"/>
        <v>-0.44420000000603616</v>
      </c>
      <c r="I32" s="60">
        <f>VLOOKUP(A32, '2. 2016 Continuity Schedule'!$C$20:$BV$86, MATCH('2. 2016 Continuity Schedule'!BU$20, '2. 2016 Continuity Schedule'!C$20:BV$20,0),FALSE)</f>
        <v>0</v>
      </c>
      <c r="J32" s="60">
        <f>VLOOKUP(A32, '2. 2016 Continuity Schedule'!$C$20:$BV$86, MATCH('2. 2016 Continuity Schedule'!BV$20, '2. 2016 Continuity Schedule'!C$20:BV$20,0),FALSE)</f>
        <v>0.44000000000596629</v>
      </c>
    </row>
    <row r="33" spans="1:10" ht="13.8" x14ac:dyDescent="0.25">
      <c r="A33" s="121" t="s">
        <v>2</v>
      </c>
      <c r="B33" s="119">
        <v>1584</v>
      </c>
      <c r="C33" s="60">
        <f>VLOOKUP(A33, '2. 2016 Continuity Schedule'!$C$20:$BV$86, MATCH('2. 2016 Continuity Schedule'!BO$20, '2. 2016 Continuity Schedule'!C$20:BV$20,0),FALSE)</f>
        <v>92901</v>
      </c>
      <c r="D33" s="60">
        <f>VLOOKUP(A33, '2. 2016 Continuity Schedule'!$C$20:$BV$86, MATCH('2. 2016 Continuity Schedule'!BP$20, '2. 2016 Continuity Schedule'!C$20:BV$20,0),FALSE)</f>
        <v>649</v>
      </c>
      <c r="E33" s="60">
        <f t="shared" si="0"/>
        <v>93550</v>
      </c>
      <c r="F33" s="60">
        <f>VLOOKUP(A33, '2. 2016 Continuity Schedule'!$C$20:$BV$86, MATCH('2. 2016 Continuity Schedule'!BQ$20, '2. 2016 Continuity Schedule'!C$20:BV$20,0),FALSE)</f>
        <v>1021.9109999999999</v>
      </c>
      <c r="G33" s="60">
        <f>VLOOKUP(A33, '2. 2016 Continuity Schedule'!$C$20:$BV$86, MATCH('2. 2016 Continuity Schedule'!BR$20, '2. 2016 Continuity Schedule'!C$20:BV$20,0),FALSE)</f>
        <v>1114.8119999999999</v>
      </c>
      <c r="H33" s="60">
        <f t="shared" si="1"/>
        <v>95686.722999999998</v>
      </c>
      <c r="I33" s="60">
        <f>VLOOKUP(A33, '2. 2016 Continuity Schedule'!$C$20:$BV$86, MATCH('2. 2016 Continuity Schedule'!BU$20, '2. 2016 Continuity Schedule'!C$20:BV$20,0),FALSE)</f>
        <v>-5032.24</v>
      </c>
      <c r="J33" s="60">
        <f>VLOOKUP(A33, '2. 2016 Continuity Schedule'!$C$20:$BV$86, MATCH('2. 2016 Continuity Schedule'!BV$20, '2. 2016 Continuity Schedule'!C$20:BV$20,0),FALSE)</f>
        <v>0.76000000000021828</v>
      </c>
    </row>
    <row r="34" spans="1:10" ht="13.8" x14ac:dyDescent="0.25">
      <c r="A34" s="121" t="s">
        <v>3</v>
      </c>
      <c r="B34" s="119">
        <v>1586</v>
      </c>
      <c r="C34" s="60">
        <f>VLOOKUP(A34, '2. 2016 Continuity Schedule'!$C$20:$BV$86, MATCH('2. 2016 Continuity Schedule'!BO$20, '2. 2016 Continuity Schedule'!C$20:BV$20,0),FALSE)</f>
        <v>185312</v>
      </c>
      <c r="D34" s="60">
        <f>VLOOKUP(A34, '2. 2016 Continuity Schedule'!$C$20:$BV$86, MATCH('2. 2016 Continuity Schedule'!BP$20, '2. 2016 Continuity Schedule'!C$20:BV$20,0),FALSE)</f>
        <v>774</v>
      </c>
      <c r="E34" s="60">
        <f t="shared" si="0"/>
        <v>186086</v>
      </c>
      <c r="F34" s="60">
        <f>VLOOKUP(A34, '2. 2016 Continuity Schedule'!$C$20:$BV$86, MATCH('2. 2016 Continuity Schedule'!BQ$20, '2. 2016 Continuity Schedule'!C$20:BV$20,0),FALSE)</f>
        <v>2038.4319999999998</v>
      </c>
      <c r="G34" s="60">
        <f>VLOOKUP(A34, '2. 2016 Continuity Schedule'!$C$20:$BV$86, MATCH('2. 2016 Continuity Schedule'!BR$20, '2. 2016 Continuity Schedule'!C$20:BV$20,0),FALSE)</f>
        <v>2223.7440000000001</v>
      </c>
      <c r="H34" s="60">
        <f t="shared" si="1"/>
        <v>190348.17600000001</v>
      </c>
      <c r="I34" s="60">
        <f>VLOOKUP(A34, '2. 2016 Continuity Schedule'!$C$20:$BV$86, MATCH('2. 2016 Continuity Schedule'!BU$20, '2. 2016 Continuity Schedule'!C$20:BV$20,0),FALSE)</f>
        <v>25144.329999999998</v>
      </c>
      <c r="J34" s="60">
        <f>VLOOKUP(A34, '2. 2016 Continuity Schedule'!$C$20:$BV$86, MATCH('2. 2016 Continuity Schedule'!BV$20, '2. 2016 Continuity Schedule'!C$20:BV$20,0),FALSE)</f>
        <v>-0.67000000000189175</v>
      </c>
    </row>
    <row r="35" spans="1:10" ht="13.8" x14ac:dyDescent="0.25">
      <c r="A35" s="121" t="s">
        <v>48</v>
      </c>
      <c r="B35" s="119">
        <v>1588</v>
      </c>
      <c r="C35" s="60">
        <f>VLOOKUP(A35, '2. 2016 Continuity Schedule'!$C$20:$BV$86, MATCH('2. 2016 Continuity Schedule'!BO$20, '2. 2016 Continuity Schedule'!C$20:BV$20,0),FALSE)</f>
        <v>-367829</v>
      </c>
      <c r="D35" s="60">
        <f>VLOOKUP(A35, '2. 2016 Continuity Schedule'!$C$20:$BV$86, MATCH('2. 2016 Continuity Schedule'!BP$20, '2. 2016 Continuity Schedule'!C$20:BV$20,0),FALSE)</f>
        <v>-785</v>
      </c>
      <c r="E35" s="60">
        <f t="shared" si="0"/>
        <v>-368614</v>
      </c>
      <c r="F35" s="60">
        <f>VLOOKUP(A35, '2. 2016 Continuity Schedule'!$C$20:$BV$86, MATCH('2. 2016 Continuity Schedule'!BQ$20, '2. 2016 Continuity Schedule'!C$20:BV$20,0),FALSE)</f>
        <v>-4046.1189999999997</v>
      </c>
      <c r="G35" s="60">
        <f>VLOOKUP(A35, '2. 2016 Continuity Schedule'!$C$20:$BV$86, MATCH('2. 2016 Continuity Schedule'!BR$20, '2. 2016 Continuity Schedule'!C$20:BV$20,0),FALSE)</f>
        <v>-4413.9480000000003</v>
      </c>
      <c r="H35" s="60">
        <f t="shared" si="1"/>
        <v>-377074.06699999998</v>
      </c>
      <c r="I35" s="60">
        <f>VLOOKUP(A35, '2. 2016 Continuity Schedule'!$C$20:$BV$86, MATCH('2. 2016 Continuity Schedule'!BU$20, '2. 2016 Continuity Schedule'!C$20:BV$20,0),FALSE)</f>
        <v>-325605.25</v>
      </c>
      <c r="J35" s="60">
        <f>VLOOKUP(A35, '2. 2016 Continuity Schedule'!$C$20:$BV$86, MATCH('2. 2016 Continuity Schedule'!BV$20, '2. 2016 Continuity Schedule'!C$20:BV$20,0),FALSE)</f>
        <v>-148379.25</v>
      </c>
    </row>
    <row r="36" spans="1:10" ht="13.8" x14ac:dyDescent="0.25">
      <c r="A36" s="121" t="s">
        <v>81</v>
      </c>
      <c r="B36" s="119">
        <v>1589</v>
      </c>
      <c r="C36" s="60">
        <f>VLOOKUP(A36, '2. 2016 Continuity Schedule'!$C$20:$BV$86, MATCH('2. 2016 Continuity Schedule'!BO$20, '2. 2016 Continuity Schedule'!C$20:BV$20,0),FALSE)</f>
        <v>363636</v>
      </c>
      <c r="D36" s="60">
        <f>VLOOKUP(A36, '2. 2016 Continuity Schedule'!$C$20:$BV$86, MATCH('2. 2016 Continuity Schedule'!BP$20, '2. 2016 Continuity Schedule'!C$20:BV$20,0),FALSE)</f>
        <v>-202</v>
      </c>
      <c r="E36" s="60">
        <f t="shared" si="0"/>
        <v>363434</v>
      </c>
      <c r="F36" s="60">
        <f>VLOOKUP(A36, '2. 2016 Continuity Schedule'!$C$20:$BV$86, MATCH('2. 2016 Continuity Schedule'!BQ$20, '2. 2016 Continuity Schedule'!C$20:BV$20,0),FALSE)</f>
        <v>3999.9959999999996</v>
      </c>
      <c r="G36" s="60">
        <f>VLOOKUP(A36, '2. 2016 Continuity Schedule'!$C$20:$BV$86, MATCH('2. 2016 Continuity Schedule'!BR$20, '2. 2016 Continuity Schedule'!C$20:BV$20,0),FALSE)</f>
        <v>4363.6320000000005</v>
      </c>
      <c r="H36" s="60">
        <f t="shared" si="1"/>
        <v>371797.62799999997</v>
      </c>
      <c r="I36" s="60">
        <f>VLOOKUP(A36, '2. 2016 Continuity Schedule'!$C$20:$BV$86, MATCH('2. 2016 Continuity Schedule'!BU$20, '2. 2016 Continuity Schedule'!C$20:BV$20,0),FALSE)</f>
        <v>809216.83000000007</v>
      </c>
      <c r="J36" s="60">
        <f>VLOOKUP(A36, '2. 2016 Continuity Schedule'!$C$20:$BV$86, MATCH('2. 2016 Continuity Schedule'!BV$20, '2. 2016 Continuity Schedule'!C$20:BV$20,0),FALSE)</f>
        <v>0.83000000007450581</v>
      </c>
    </row>
    <row r="37" spans="1:10" ht="27.6" x14ac:dyDescent="0.25">
      <c r="A37" s="122" t="s">
        <v>36</v>
      </c>
      <c r="B37" s="123">
        <v>1592</v>
      </c>
      <c r="C37" s="60">
        <f>VLOOKUP(A37, '2. 2016 Continuity Schedule'!$C$20:$BV$86, MATCH('2. 2016 Continuity Schedule'!BO$20, '2. 2016 Continuity Schedule'!C$20:BV$20,0),FALSE)</f>
        <v>0</v>
      </c>
      <c r="D37" s="60">
        <f>VLOOKUP(A37, '2. 2016 Continuity Schedule'!$C$20:$BV$86, MATCH('2. 2016 Continuity Schedule'!BP$20, '2. 2016 Continuity Schedule'!C$20:BV$20,0),FALSE)</f>
        <v>0</v>
      </c>
      <c r="E37" s="60">
        <f t="shared" si="0"/>
        <v>0</v>
      </c>
      <c r="F37" s="60">
        <f>VLOOKUP(A37, '2. 2016 Continuity Schedule'!$C$20:$BV$86, MATCH('2. 2016 Continuity Schedule'!BQ$20, '2. 2016 Continuity Schedule'!C$20:BV$20,0),FALSE)</f>
        <v>0</v>
      </c>
      <c r="G37" s="60">
        <f>VLOOKUP(A37, '2. 2016 Continuity Schedule'!$C$20:$BV$86, MATCH('2. 2016 Continuity Schedule'!BR$20, '2. 2016 Continuity Schedule'!C$20:BV$20,0),FALSE)</f>
        <v>0</v>
      </c>
      <c r="H37" s="60">
        <f t="shared" si="1"/>
        <v>0</v>
      </c>
      <c r="I37" s="60">
        <f>VLOOKUP(A37, '2. 2016 Continuity Schedule'!$C$20:$BV$86, MATCH('2. 2016 Continuity Schedule'!BU$20, '2. 2016 Continuity Schedule'!C$20:BV$20,0),FALSE)</f>
        <v>0</v>
      </c>
      <c r="J37" s="60">
        <f>VLOOKUP(A37, '2. 2016 Continuity Schedule'!$C$20:$BV$86, MATCH('2. 2016 Continuity Schedule'!BV$20, '2. 2016 Continuity Schedule'!C$20:BV$20,0),FALSE)</f>
        <v>0</v>
      </c>
    </row>
    <row r="38" spans="1:10" ht="27.6" x14ac:dyDescent="0.25">
      <c r="A38" s="122" t="s">
        <v>35</v>
      </c>
      <c r="B38" s="123">
        <v>1592</v>
      </c>
      <c r="C38" s="60" t="e">
        <f>VLOOKUP(A38, '2. 2016 Continuity Schedule'!$C$20:$BV$86, MATCH('2. 2016 Continuity Schedule'!BO$20, '2. 2016 Continuity Schedule'!C$20:BV$20,0),FALSE)</f>
        <v>#N/A</v>
      </c>
      <c r="D38" s="60" t="e">
        <f>VLOOKUP(A38, '2. 2016 Continuity Schedule'!$C$20:$BV$86, MATCH('2. 2016 Continuity Schedule'!BP$20, '2. 2016 Continuity Schedule'!C$20:BV$20,0),FALSE)</f>
        <v>#N/A</v>
      </c>
      <c r="E38" s="60" t="e">
        <f t="shared" si="0"/>
        <v>#N/A</v>
      </c>
      <c r="F38" s="60" t="e">
        <f>VLOOKUP(A38, '2. 2016 Continuity Schedule'!$C$20:$BV$86, MATCH('2. 2016 Continuity Schedule'!BQ$20, '2. 2016 Continuity Schedule'!C$20:BV$20,0),FALSE)</f>
        <v>#N/A</v>
      </c>
      <c r="G38" s="60" t="e">
        <f>VLOOKUP(A38, '2. 2016 Continuity Schedule'!$C$20:$BV$86, MATCH('2. 2016 Continuity Schedule'!BR$20, '2. 2016 Continuity Schedule'!C$20:BV$20,0),FALSE)</f>
        <v>#N/A</v>
      </c>
      <c r="H38" s="60" t="e">
        <f t="shared" si="1"/>
        <v>#N/A</v>
      </c>
      <c r="I38" s="60" t="e">
        <f>VLOOKUP(A38, '2. 2016 Continuity Schedule'!$C$20:$BV$86, MATCH('2. 2016 Continuity Schedule'!BU$20, '2. 2016 Continuity Schedule'!C$20:BV$20,0),FALSE)</f>
        <v>#N/A</v>
      </c>
      <c r="J38" s="60" t="e">
        <f>VLOOKUP(A38, '2. 2016 Continuity Schedule'!$C$20:$BV$86, MATCH('2. 2016 Continuity Schedule'!BV$20, '2. 2016 Continuity Schedule'!C$20:BV$20,0),FALSE)</f>
        <v>#N/A</v>
      </c>
    </row>
    <row r="39" spans="1:10" ht="16.2" x14ac:dyDescent="0.25">
      <c r="A39" s="124" t="s">
        <v>45</v>
      </c>
      <c r="B39" s="119">
        <v>1595</v>
      </c>
      <c r="C39" s="60" t="e">
        <f>VLOOKUP(A39, '2. 2016 Continuity Schedule'!$C$20:$BV$86, MATCH('2. 2016 Continuity Schedule'!BO$20, '2. 2016 Continuity Schedule'!C$20:BV$20,0),FALSE)</f>
        <v>#N/A</v>
      </c>
      <c r="D39" s="60" t="e">
        <f>VLOOKUP(A39, '2. 2016 Continuity Schedule'!$C$20:$BV$86, MATCH('2. 2016 Continuity Schedule'!BP$20, '2. 2016 Continuity Schedule'!C$20:BV$20,0),FALSE)</f>
        <v>#N/A</v>
      </c>
      <c r="E39" s="60" t="e">
        <f t="shared" si="0"/>
        <v>#N/A</v>
      </c>
      <c r="F39" s="60" t="e">
        <f>VLOOKUP(A39, '2. 2016 Continuity Schedule'!$C$20:$BV$86, MATCH('2. 2016 Continuity Schedule'!BQ$20, '2. 2016 Continuity Schedule'!C$20:BV$20,0),FALSE)</f>
        <v>#N/A</v>
      </c>
      <c r="G39" s="60" t="e">
        <f>VLOOKUP(A39, '2. 2016 Continuity Schedule'!$C$20:$BV$86, MATCH('2. 2016 Continuity Schedule'!BR$20, '2. 2016 Continuity Schedule'!C$20:BV$20,0),FALSE)</f>
        <v>#N/A</v>
      </c>
      <c r="H39" s="60" t="e">
        <f t="shared" si="1"/>
        <v>#N/A</v>
      </c>
      <c r="I39" s="60" t="e">
        <f>VLOOKUP(A39, '2. 2016 Continuity Schedule'!$C$20:$BV$86, MATCH('2. 2016 Continuity Schedule'!BU$20, '2. 2016 Continuity Schedule'!C$20:BV$20,0),FALSE)</f>
        <v>#N/A</v>
      </c>
      <c r="J39" s="60" t="e">
        <f>VLOOKUP(A39, '2. 2016 Continuity Schedule'!$C$20:$BV$86, MATCH('2. 2016 Continuity Schedule'!BV$20, '2. 2016 Continuity Schedule'!C$20:BV$20,0),FALSE)</f>
        <v>#N/A</v>
      </c>
    </row>
    <row r="40" spans="1:10" ht="16.2" x14ac:dyDescent="0.25">
      <c r="A40" s="124" t="s">
        <v>46</v>
      </c>
      <c r="B40" s="119">
        <v>1595</v>
      </c>
      <c r="C40" s="60" t="e">
        <f>VLOOKUP(A40, '2. 2016 Continuity Schedule'!$C$20:$BV$86, MATCH('2. 2016 Continuity Schedule'!BO$20, '2. 2016 Continuity Schedule'!C$20:BV$20,0),FALSE)</f>
        <v>#N/A</v>
      </c>
      <c r="D40" s="60" t="e">
        <f>VLOOKUP(A40, '2. 2016 Continuity Schedule'!$C$20:$BV$86, MATCH('2. 2016 Continuity Schedule'!BP$20, '2. 2016 Continuity Schedule'!C$20:BV$20,0),FALSE)</f>
        <v>#N/A</v>
      </c>
      <c r="E40" s="60" t="e">
        <f t="shared" si="0"/>
        <v>#N/A</v>
      </c>
      <c r="F40" s="60" t="e">
        <f>VLOOKUP(A40, '2. 2016 Continuity Schedule'!$C$20:$BV$86, MATCH('2. 2016 Continuity Schedule'!BQ$20, '2. 2016 Continuity Schedule'!C$20:BV$20,0),FALSE)</f>
        <v>#N/A</v>
      </c>
      <c r="G40" s="60" t="e">
        <f>VLOOKUP(A40, '2. 2016 Continuity Schedule'!$C$20:$BV$86, MATCH('2. 2016 Continuity Schedule'!BR$20, '2. 2016 Continuity Schedule'!C$20:BV$20,0),FALSE)</f>
        <v>#N/A</v>
      </c>
      <c r="H40" s="60" t="e">
        <f t="shared" si="1"/>
        <v>#N/A</v>
      </c>
      <c r="I40" s="60" t="e">
        <f>VLOOKUP(A40, '2. 2016 Continuity Schedule'!$C$20:$BV$86, MATCH('2. 2016 Continuity Schedule'!BU$20, '2. 2016 Continuity Schedule'!C$20:BV$20,0),FALSE)</f>
        <v>#N/A</v>
      </c>
      <c r="J40" s="60" t="e">
        <f>VLOOKUP(A40, '2. 2016 Continuity Schedule'!$C$20:$BV$86, MATCH('2. 2016 Continuity Schedule'!BV$20, '2. 2016 Continuity Schedule'!C$20:BV$20,0),FALSE)</f>
        <v>#N/A</v>
      </c>
    </row>
    <row r="41" spans="1:10" ht="16.2" x14ac:dyDescent="0.25">
      <c r="A41" s="124" t="s">
        <v>47</v>
      </c>
      <c r="B41" s="119">
        <v>1595</v>
      </c>
      <c r="C41" s="60" t="e">
        <f>VLOOKUP(A41, '2. 2016 Continuity Schedule'!$C$20:$BV$86, MATCH('2. 2016 Continuity Schedule'!BO$20, '2. 2016 Continuity Schedule'!C$20:BV$20,0),FALSE)</f>
        <v>#N/A</v>
      </c>
      <c r="D41" s="60" t="e">
        <f>VLOOKUP(A41, '2. 2016 Continuity Schedule'!$C$20:$BV$86, MATCH('2. 2016 Continuity Schedule'!BP$20, '2. 2016 Continuity Schedule'!C$20:BV$20,0),FALSE)</f>
        <v>#N/A</v>
      </c>
      <c r="E41" s="60" t="e">
        <f t="shared" si="0"/>
        <v>#N/A</v>
      </c>
      <c r="F41" s="60" t="e">
        <f>VLOOKUP(A41, '2. 2016 Continuity Schedule'!$C$20:$BV$86, MATCH('2. 2016 Continuity Schedule'!BQ$20, '2. 2016 Continuity Schedule'!C$20:BV$20,0),FALSE)</f>
        <v>#N/A</v>
      </c>
      <c r="G41" s="60" t="e">
        <f>VLOOKUP(A41, '2. 2016 Continuity Schedule'!$C$20:$BV$86, MATCH('2. 2016 Continuity Schedule'!BR$20, '2. 2016 Continuity Schedule'!C$20:BV$20,0),FALSE)</f>
        <v>#N/A</v>
      </c>
      <c r="H41" s="60" t="e">
        <f t="shared" si="1"/>
        <v>#N/A</v>
      </c>
      <c r="I41" s="60" t="e">
        <f>VLOOKUP(A41, '2. 2016 Continuity Schedule'!$C$20:$BV$86, MATCH('2. 2016 Continuity Schedule'!BU$20, '2. 2016 Continuity Schedule'!C$20:BV$20,0),FALSE)</f>
        <v>#N/A</v>
      </c>
      <c r="J41" s="60" t="e">
        <f>VLOOKUP(A41, '2. 2016 Continuity Schedule'!$C$20:$BV$86, MATCH('2. 2016 Continuity Schedule'!BV$20, '2. 2016 Continuity Schedule'!C$20:BV$20,0),FALSE)</f>
        <v>#N/A</v>
      </c>
    </row>
    <row r="42" spans="1:10" ht="16.2" x14ac:dyDescent="0.25">
      <c r="A42" s="124" t="s">
        <v>84</v>
      </c>
      <c r="B42" s="119">
        <v>1595</v>
      </c>
      <c r="C42" s="60" t="e">
        <f>VLOOKUP(A42, '2. 2016 Continuity Schedule'!$C$20:$BV$86, MATCH('2. 2016 Continuity Schedule'!BO$20, '2. 2016 Continuity Schedule'!C$20:BV$20,0),FALSE)</f>
        <v>#N/A</v>
      </c>
      <c r="D42" s="60" t="e">
        <f>VLOOKUP(A42, '2. 2016 Continuity Schedule'!$C$20:$BV$86, MATCH('2. 2016 Continuity Schedule'!BP$20, '2. 2016 Continuity Schedule'!C$20:BV$20,0),FALSE)</f>
        <v>#N/A</v>
      </c>
      <c r="E42" s="60" t="e">
        <f t="shared" si="0"/>
        <v>#N/A</v>
      </c>
      <c r="F42" s="60" t="e">
        <f>VLOOKUP(A42, '2. 2016 Continuity Schedule'!$C$20:$BV$86, MATCH('2. 2016 Continuity Schedule'!BQ$20, '2. 2016 Continuity Schedule'!C$20:BV$20,0),FALSE)</f>
        <v>#N/A</v>
      </c>
      <c r="G42" s="60" t="e">
        <f>VLOOKUP(A42, '2. 2016 Continuity Schedule'!$C$20:$BV$86, MATCH('2. 2016 Continuity Schedule'!BR$20, '2. 2016 Continuity Schedule'!C$20:BV$20,0),FALSE)</f>
        <v>#N/A</v>
      </c>
      <c r="H42" s="60" t="e">
        <f t="shared" si="1"/>
        <v>#N/A</v>
      </c>
      <c r="I42" s="60" t="e">
        <f>VLOOKUP(A42, '2. 2016 Continuity Schedule'!$C$20:$BV$86, MATCH('2. 2016 Continuity Schedule'!BU$20, '2. 2016 Continuity Schedule'!C$20:BV$20,0),FALSE)</f>
        <v>#N/A</v>
      </c>
      <c r="J42" s="60" t="e">
        <f>VLOOKUP(A42, '2. 2016 Continuity Schedule'!$C$20:$BV$86, MATCH('2. 2016 Continuity Schedule'!BV$20, '2. 2016 Continuity Schedule'!C$20:BV$20,0),FALSE)</f>
        <v>#N/A</v>
      </c>
    </row>
    <row r="43" spans="1:10" ht="16.2" x14ac:dyDescent="0.25">
      <c r="A43" s="124" t="s">
        <v>174</v>
      </c>
      <c r="B43" s="119">
        <v>1595</v>
      </c>
      <c r="C43" s="60" t="e">
        <f>VLOOKUP(A43, '2. 2016 Continuity Schedule'!$C$20:$BV$86, MATCH('2. 2016 Continuity Schedule'!BO$20, '2. 2016 Continuity Schedule'!C$20:BV$20,0),FALSE)</f>
        <v>#N/A</v>
      </c>
      <c r="D43" s="60" t="e">
        <f>VLOOKUP(A43, '2. 2016 Continuity Schedule'!$C$20:$BV$86, MATCH('2. 2016 Continuity Schedule'!BP$20, '2. 2016 Continuity Schedule'!C$20:BV$20,0),FALSE)</f>
        <v>#N/A</v>
      </c>
      <c r="E43" s="60" t="e">
        <f t="shared" si="0"/>
        <v>#N/A</v>
      </c>
      <c r="F43" s="60" t="e">
        <f>VLOOKUP(A43, '2. 2016 Continuity Schedule'!$C$20:$BV$86, MATCH('2. 2016 Continuity Schedule'!BQ$20, '2. 2016 Continuity Schedule'!C$20:BV$20,0),FALSE)</f>
        <v>#N/A</v>
      </c>
      <c r="G43" s="60" t="e">
        <f>VLOOKUP(A43, '2. 2016 Continuity Schedule'!$C$20:$BV$86, MATCH('2. 2016 Continuity Schedule'!BR$20, '2. 2016 Continuity Schedule'!C$20:BV$20,0),FALSE)</f>
        <v>#N/A</v>
      </c>
      <c r="H43" s="60" t="e">
        <f t="shared" si="1"/>
        <v>#N/A</v>
      </c>
      <c r="I43" s="60" t="e">
        <f>VLOOKUP(A43, '2. 2016 Continuity Schedule'!$C$20:$BV$86, MATCH('2. 2016 Continuity Schedule'!BU$20, '2. 2016 Continuity Schedule'!C$20:BV$20,0),FALSE)</f>
        <v>#N/A</v>
      </c>
      <c r="J43" s="60" t="e">
        <f>VLOOKUP(A43, '2. 2016 Continuity Schedule'!$C$20:$BV$86, MATCH('2. 2016 Continuity Schedule'!BV$20, '2. 2016 Continuity Schedule'!C$20:BV$20,0),FALSE)</f>
        <v>#N/A</v>
      </c>
    </row>
    <row r="44" spans="1:10" ht="13.8" x14ac:dyDescent="0.25">
      <c r="A44" s="118" t="s">
        <v>7</v>
      </c>
      <c r="B44" s="119">
        <v>2425</v>
      </c>
      <c r="C44" s="60">
        <f>VLOOKUP(A44, '2. 2016 Continuity Schedule'!$C$20:$BV$86, MATCH('2. 2016 Continuity Schedule'!BO$20, '2. 2016 Continuity Schedule'!C$20:BV$20,0),FALSE)</f>
        <v>0</v>
      </c>
      <c r="D44" s="60">
        <f>VLOOKUP(A44, '2. 2016 Continuity Schedule'!$C$20:$BV$86, MATCH('2. 2016 Continuity Schedule'!BP$20, '2. 2016 Continuity Schedule'!C$20:BV$20,0),FALSE)</f>
        <v>0</v>
      </c>
      <c r="E44" s="60">
        <f t="shared" si="0"/>
        <v>0</v>
      </c>
      <c r="F44" s="60">
        <f>VLOOKUP(A44, '2. 2016 Continuity Schedule'!$C$20:$BV$86, MATCH('2. 2016 Continuity Schedule'!BQ$20, '2. 2016 Continuity Schedule'!C$20:BV$20,0),FALSE)</f>
        <v>0</v>
      </c>
      <c r="G44" s="60">
        <f>VLOOKUP(A44, '2. 2016 Continuity Schedule'!$C$20:$BV$86, MATCH('2. 2016 Continuity Schedule'!BR$20, '2. 2016 Continuity Schedule'!C$20:BV$20,0),FALSE)</f>
        <v>0</v>
      </c>
      <c r="H44" s="60">
        <f t="shared" si="1"/>
        <v>0</v>
      </c>
      <c r="I44" s="60">
        <f>VLOOKUP(A44, '2. 2016 Continuity Schedule'!$C$20:$BV$86, MATCH('2. 2016 Continuity Schedule'!BU$20, '2. 2016 Continuity Schedule'!C$20:BV$20,0),FALSE)</f>
        <v>0</v>
      </c>
      <c r="J44" s="60">
        <f>VLOOKUP(A44, '2. 2016 Continuity Schedule'!$C$20:$BV$86, MATCH('2. 2016 Continuity Schedule'!BV$20, '2. 2016 Continuity Schedule'!C$20:BV$20,0),FALSE)</f>
        <v>0</v>
      </c>
    </row>
    <row r="45" spans="1:10" ht="13.8" x14ac:dyDescent="0.25">
      <c r="A45" s="4"/>
      <c r="B45" s="4"/>
    </row>
    <row r="46" spans="1:10" ht="13.8" x14ac:dyDescent="0.25">
      <c r="A46" s="8"/>
      <c r="B46" s="8"/>
    </row>
    <row r="47" spans="1:10" ht="13.8" x14ac:dyDescent="0.25">
      <c r="A47" s="8"/>
      <c r="B47" s="8"/>
    </row>
    <row r="48" spans="1:10" ht="13.8" x14ac:dyDescent="0.25">
      <c r="A48" s="9"/>
      <c r="B48" s="10"/>
    </row>
    <row r="49" spans="1:2" ht="13.8" x14ac:dyDescent="0.25">
      <c r="A49" s="9"/>
      <c r="B49" s="9"/>
    </row>
    <row r="50" spans="1:2" ht="22.8" x14ac:dyDescent="0.25">
      <c r="A50" s="37"/>
      <c r="B50" s="9"/>
    </row>
    <row r="51" spans="1:2" ht="13.8" x14ac:dyDescent="0.25">
      <c r="A51" s="5"/>
      <c r="B51" s="5"/>
    </row>
    <row r="52" spans="1:2" ht="13.8" x14ac:dyDescent="0.25">
      <c r="A52" s="11"/>
      <c r="B52" s="5"/>
    </row>
    <row r="53" spans="1:2" ht="13.8" x14ac:dyDescent="0.25">
      <c r="A53" s="5"/>
      <c r="B53" s="5"/>
    </row>
    <row r="54" spans="1:2" ht="13.8" x14ac:dyDescent="0.25">
      <c r="A54" s="5"/>
      <c r="B54" s="5"/>
    </row>
    <row r="55" spans="1:2" ht="13.8" x14ac:dyDescent="0.25">
      <c r="A55" s="11"/>
      <c r="B55" s="5"/>
    </row>
    <row r="56" spans="1:2" ht="13.8" x14ac:dyDescent="0.25">
      <c r="A56" s="12"/>
      <c r="B56" s="12"/>
    </row>
    <row r="57" spans="1:2" ht="13.8" x14ac:dyDescent="0.25">
      <c r="A57" s="12"/>
      <c r="B57" s="12"/>
    </row>
    <row r="58" spans="1:2" ht="13.8" x14ac:dyDescent="0.25">
      <c r="A58" s="38"/>
      <c r="B58" s="39"/>
    </row>
    <row r="59" spans="1:2" ht="13.8" x14ac:dyDescent="0.25">
      <c r="A59" s="38"/>
      <c r="B59" s="39"/>
    </row>
    <row r="60" spans="1:2" ht="13.8" x14ac:dyDescent="0.25">
      <c r="A60" s="13"/>
      <c r="B60" s="12"/>
    </row>
    <row r="61" spans="1:2" ht="13.8" x14ac:dyDescent="0.25">
      <c r="A61" s="12"/>
      <c r="B61" s="12"/>
    </row>
    <row r="62" spans="1:2" ht="13.8" x14ac:dyDescent="0.25">
      <c r="A62" s="4"/>
      <c r="B62" s="7"/>
    </row>
  </sheetData>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1. Information Sheet</vt:lpstr>
      <vt:lpstr>2. 2016 Continuity Schedule</vt:lpstr>
      <vt:lpstr>3. Appendix A</vt:lpstr>
      <vt:lpstr>4. Billing Determinants</vt:lpstr>
      <vt:lpstr>5. Allocation of Balances</vt:lpstr>
      <vt:lpstr>6. Rate Rider Calculations</vt:lpstr>
      <vt:lpstr>Summary Sheet</vt:lpstr>
      <vt:lpstr>'4. Billing Determinants'!_GoBack</vt:lpstr>
      <vt:lpstr>'1. Information Sheet'!Print_Area</vt:lpstr>
      <vt:lpstr>'3. Appendix A'!Print_Area</vt:lpstr>
      <vt:lpstr>'4. Billing Determinants'!Print_Area</vt:lpstr>
      <vt:lpstr>'6. Rate Rider Calculations'!Print_Area</vt:lpstr>
      <vt:lpstr>'2. 2016 Continuity Schedule'!Print_Titles</vt:lpstr>
      <vt:lpstr>'3. Appendix A'!Print_Titles</vt:lpstr>
      <vt:lpstr>'5. Allocation of Balances'!Print_Titles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Brenda Pinke</cp:lastModifiedBy>
  <cp:lastPrinted>2018-04-20T17:08:39Z</cp:lastPrinted>
  <dcterms:created xsi:type="dcterms:W3CDTF">2005-04-25T20:13:02Z</dcterms:created>
  <dcterms:modified xsi:type="dcterms:W3CDTF">2018-04-20T17:08:44Z</dcterms:modified>
</cp:coreProperties>
</file>