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Westario Power Inc\WPI 2018 CoS\Settlement Agreement\Final Models\Revised SProposal April 18\April 18 unlinked\"/>
    </mc:Choice>
  </mc:AlternateContent>
  <xr:revisionPtr revIDLastSave="0" documentId="13_ncr:1_{E28BCE91-18D3-413D-BC0A-B5525BE63BFE}" xr6:coauthVersionLast="31" xr6:coauthVersionMax="31" xr10:uidLastSave="{00000000-0000-0000-0000-000000000000}"/>
  <bookViews>
    <workbookView xWindow="0" yWindow="0" windowWidth="38400" windowHeight="1762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4" l="1"/>
  <c r="K27" i="4"/>
  <c r="L27" i="4"/>
  <c r="M27" i="4"/>
  <c r="C3" i="4" l="1"/>
  <c r="E3" i="1" l="1"/>
  <c r="G248" i="1" l="1"/>
  <c r="G98" i="1"/>
  <c r="G130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19" i="1"/>
  <c r="G115" i="1"/>
  <c r="G111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G122" i="1" l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K115" i="4"/>
  <c r="K29" i="4" s="1"/>
  <c r="L115" i="4"/>
  <c r="L29" i="4" s="1"/>
  <c r="I35" i="4" l="1"/>
  <c r="J35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122" i="4" l="1"/>
  <c r="I29" i="4" s="1"/>
  <c r="H122" i="4"/>
  <c r="H29" i="4" s="1"/>
  <c r="J122" i="4"/>
  <c r="J29" i="4" s="1"/>
  <c r="H16" i="4"/>
  <c r="H142" i="1" s="1"/>
  <c r="I16" i="4"/>
  <c r="J16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92" i="1"/>
  <c r="H114" i="1" s="1"/>
  <c r="G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9" i="1" l="1"/>
  <c r="H37" i="4"/>
  <c r="H27" i="4" s="1"/>
  <c r="J37" i="4"/>
  <c r="J27" i="4" s="1"/>
  <c r="I37" i="4"/>
  <c r="I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J171" i="1"/>
  <c r="H248" i="1" l="1"/>
  <c r="H257" i="1" s="1"/>
  <c r="L231" i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G12" i="5" l="1"/>
  <c r="G16" i="5" s="1"/>
  <c r="H261" i="1"/>
  <c r="H258" i="1"/>
  <c r="H259" i="1" s="1"/>
  <c r="M231" i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G22" i="5" l="1"/>
  <c r="G14" i="5"/>
  <c r="M242" i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J97" i="1"/>
  <c r="I97" i="1"/>
  <c r="J96" i="1"/>
  <c r="I96" i="1"/>
  <c r="I155" i="1" l="1"/>
  <c r="I209" i="1" s="1"/>
  <c r="I129" i="1"/>
  <c r="I128" i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129" i="1"/>
  <c r="J155" i="1"/>
  <c r="J209" i="1" s="1"/>
  <c r="I154" i="1"/>
  <c r="I208" i="1" s="1"/>
  <c r="J131" i="1"/>
  <c r="J213" i="1" l="1"/>
  <c r="J234" i="1" s="1"/>
  <c r="J216" i="1"/>
  <c r="J237" i="1" s="1"/>
  <c r="J230" i="1"/>
  <c r="I211" i="1"/>
  <c r="I232" i="1" s="1"/>
  <c r="I218" i="1"/>
  <c r="I239" i="1" s="1"/>
  <c r="I214" i="1"/>
  <c r="I235" i="1" s="1"/>
  <c r="I217" i="1"/>
  <c r="I238" i="1" s="1"/>
  <c r="I228" i="1"/>
  <c r="K131" i="1"/>
  <c r="J154" i="1"/>
  <c r="J208" i="1" s="1"/>
  <c r="J217" i="1" s="1"/>
  <c r="J238" i="1" s="1"/>
  <c r="I219" i="1"/>
  <c r="I240" i="1" s="1"/>
  <c r="I215" i="1"/>
  <c r="I236" i="1" s="1"/>
  <c r="I212" i="1"/>
  <c r="I233" i="1" s="1"/>
  <c r="I229" i="1"/>
  <c r="J211" i="1"/>
  <c r="J232" i="1" s="1"/>
  <c r="J218" i="1"/>
  <c r="J239" i="1" s="1"/>
  <c r="J214" i="1"/>
  <c r="J235" i="1" s="1"/>
  <c r="J228" i="1"/>
  <c r="I213" i="1"/>
  <c r="I234" i="1" s="1"/>
  <c r="I216" i="1"/>
  <c r="I237" i="1" s="1"/>
  <c r="I230" i="1"/>
  <c r="I245" i="1" l="1"/>
  <c r="I246" i="1" s="1"/>
  <c r="I248" i="1" s="1"/>
  <c r="I257" i="1" s="1"/>
  <c r="J219" i="1"/>
  <c r="J240" i="1" s="1"/>
  <c r="J212" i="1"/>
  <c r="J233" i="1" s="1"/>
  <c r="J215" i="1"/>
  <c r="J236" i="1" s="1"/>
  <c r="J229" i="1"/>
  <c r="K154" i="1"/>
  <c r="K208" i="1" s="1"/>
  <c r="L131" i="1"/>
  <c r="J245" i="1" l="1"/>
  <c r="J246" i="1" s="1"/>
  <c r="J248" i="1" s="1"/>
  <c r="J257" i="1" s="1"/>
  <c r="I12" i="5" s="1"/>
  <c r="M131" i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I261" i="1"/>
  <c r="H12" i="5"/>
  <c r="I258" i="1"/>
  <c r="I259" i="1" s="1"/>
  <c r="I10" i="5" l="1"/>
  <c r="J261" i="1"/>
  <c r="J258" i="1"/>
  <c r="J259" i="1" s="1"/>
  <c r="H14" i="5"/>
  <c r="H16" i="5"/>
  <c r="M219" i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14" i="5" l="1"/>
  <c r="I16" i="5" s="1"/>
  <c r="I22" i="5" s="1"/>
  <c r="H18" i="5"/>
  <c r="H24" i="5" s="1"/>
  <c r="H22" i="5"/>
  <c r="I18" i="5" l="1"/>
</calcChain>
</file>

<file path=xl/sharedStrings.xml><?xml version="1.0" encoding="utf-8"?>
<sst xmlns="http://schemas.openxmlformats.org/spreadsheetml/2006/main" count="521" uniqueCount="278">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</sst>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6" borderId="0" xfId="0" applyFill="1" applyBorder="1" applyAlignment="1"/>
    <xf numFmtId="0" fontId="0" fillId="6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tabSelected="1" topLeftCell="D40" zoomScaleNormal="100" workbookViewId="0">
      <selection activeCell="H139" sqref="H13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Westario Power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188</v>
      </c>
      <c r="E5" s="78"/>
      <c r="F5" s="146" t="s">
        <v>271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7"/>
      <c r="I8" s="227"/>
      <c r="J8" s="227"/>
      <c r="K8" s="227"/>
      <c r="L8" s="227"/>
      <c r="M8" s="227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4112933</v>
      </c>
      <c r="H9" s="125">
        <v>4953846</v>
      </c>
      <c r="I9" s="125">
        <v>4583073.0100000007</v>
      </c>
      <c r="J9" s="125">
        <v>4441204.12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22954</v>
      </c>
      <c r="H13" s="125">
        <v>23064</v>
      </c>
      <c r="I13" s="125">
        <v>23312.416666666668</v>
      </c>
      <c r="J13" s="125">
        <v>23535.643912748092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427059905</v>
      </c>
      <c r="H14" s="125">
        <v>424893866.23074895</v>
      </c>
      <c r="I14" s="125">
        <v>431909664.30377531</v>
      </c>
      <c r="J14" s="125">
        <v>428033860.31300938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93376</v>
      </c>
      <c r="H15" s="125">
        <v>71203</v>
      </c>
      <c r="I15" s="125">
        <v>71203</v>
      </c>
      <c r="J15" s="125">
        <v>71203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191</v>
      </c>
      <c r="F16" s="26"/>
      <c r="G16" s="86">
        <f>'Benchmarking Calculations'!G99</f>
        <v>522</v>
      </c>
      <c r="H16" s="125">
        <f>G16</f>
        <v>522</v>
      </c>
      <c r="I16" s="125">
        <f>G16</f>
        <v>522</v>
      </c>
      <c r="J16" s="125">
        <f>G16</f>
        <v>522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221" t="s">
        <v>121</v>
      </c>
      <c r="E17" s="180"/>
      <c r="F17" s="222"/>
      <c r="G17" s="90">
        <f>'Benchmarking Calculations'!G145</f>
        <v>0.10894246098845355</v>
      </c>
      <c r="H17" s="119">
        <v>1.3599999999999999E-2</v>
      </c>
      <c r="I17" s="119">
        <v>1.2800000000000001E-2</v>
      </c>
      <c r="J17" s="119">
        <v>6.0000000000000001E-3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187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f t="shared" si="0"/>
        <v>0.02</v>
      </c>
      <c r="J21" s="124">
        <f t="shared" si="0"/>
        <v>0.02</v>
      </c>
      <c r="K21" s="124"/>
      <c r="L21" s="124"/>
      <c r="M21" s="124"/>
      <c r="N21" s="78" t="s">
        <v>187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5.5899999999999998E-2</v>
      </c>
      <c r="I22" s="124">
        <v>5.5899999999999998E-2</v>
      </c>
      <c r="J22" s="124">
        <v>6.0670125607612618E-2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192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197</v>
      </c>
      <c r="G27" s="51">
        <f>G35-G36+G37</f>
        <v>5196668.3600000003</v>
      </c>
      <c r="H27" s="51">
        <f t="shared" ref="H27:M27" si="1">H35-H36+H37</f>
        <v>5736734.3600000003</v>
      </c>
      <c r="I27" s="51">
        <f t="shared" si="1"/>
        <v>6155407.3600000003</v>
      </c>
      <c r="J27" s="51">
        <f t="shared" si="1"/>
        <v>5790276.1900000004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201</v>
      </c>
      <c r="G29" s="51">
        <f t="shared" ref="G29:M29" si="2">G115-G121+G122</f>
        <v>5196668.3600000003</v>
      </c>
      <c r="H29" s="51">
        <f t="shared" si="2"/>
        <v>5736734.3600000003</v>
      </c>
      <c r="I29" s="51">
        <f t="shared" si="2"/>
        <v>6155407.3600000003</v>
      </c>
      <c r="J29" s="51">
        <f t="shared" si="2"/>
        <v>5790276.1900000004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5196668.3600000003</v>
      </c>
      <c r="H31" s="51">
        <f t="shared" si="3"/>
        <v>5736734.3600000003</v>
      </c>
      <c r="I31" s="51">
        <f t="shared" si="3"/>
        <v>6155407.3600000003</v>
      </c>
      <c r="J31" s="51">
        <f t="shared" si="3"/>
        <v>5790276.1900000004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3" t="s">
        <v>183</v>
      </c>
      <c r="I34" s="223"/>
      <c r="J34" s="223"/>
      <c r="K34" s="223"/>
      <c r="L34" s="223"/>
      <c r="M34" s="223"/>
      <c r="N34" s="155"/>
    </row>
    <row r="35" spans="2:14" x14ac:dyDescent="0.2">
      <c r="C35" s="154"/>
      <c r="D35" s="171" t="s">
        <v>194</v>
      </c>
      <c r="E35" s="26" t="s">
        <v>202</v>
      </c>
      <c r="F35" s="26"/>
      <c r="G35" s="85">
        <f>G115</f>
        <v>5089925</v>
      </c>
      <c r="H35" s="120">
        <f>H115</f>
        <v>5629991</v>
      </c>
      <c r="I35" s="120">
        <f>I115</f>
        <v>6048664</v>
      </c>
      <c r="J35" s="120">
        <f>J115</f>
        <v>5683532.8300000001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195</v>
      </c>
      <c r="E36" s="26" t="s">
        <v>193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196</v>
      </c>
      <c r="E37" s="26" t="s">
        <v>83</v>
      </c>
      <c r="F37" s="26"/>
      <c r="G37" s="51">
        <f>G122</f>
        <v>106743.36</v>
      </c>
      <c r="H37" s="125">
        <f>G37</f>
        <v>106743.36</v>
      </c>
      <c r="I37" s="125">
        <f>G37</f>
        <v>106743.36</v>
      </c>
      <c r="J37" s="120">
        <f>G37</f>
        <v>106743.36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v>0</v>
      </c>
      <c r="I44" s="142">
        <v>0</v>
      </c>
      <c r="J44" s="142">
        <v>20000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-50</v>
      </c>
      <c r="H45" s="142">
        <v>0</v>
      </c>
      <c r="I45" s="142">
        <v>0</v>
      </c>
      <c r="J45" s="142"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>
        <v>0</v>
      </c>
      <c r="I46" s="142">
        <v>0</v>
      </c>
      <c r="J46" s="142">
        <v>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240</v>
      </c>
      <c r="H49" s="142">
        <v>2241</v>
      </c>
      <c r="I49" s="142">
        <v>6076</v>
      </c>
      <c r="J49" s="142">
        <v>15000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>
        <v>0</v>
      </c>
      <c r="I50" s="142">
        <v>0</v>
      </c>
      <c r="J50" s="142">
        <v>40000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6411</v>
      </c>
      <c r="H51" s="142">
        <v>0</v>
      </c>
      <c r="I51" s="142">
        <v>45249</v>
      </c>
      <c r="J51" s="142">
        <v>139281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0</v>
      </c>
      <c r="H52" s="142">
        <v>0</v>
      </c>
      <c r="I52" s="142">
        <v>0</v>
      </c>
      <c r="J52" s="142">
        <v>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6411</v>
      </c>
      <c r="H53" s="142">
        <v>0</v>
      </c>
      <c r="I53" s="142">
        <v>10144</v>
      </c>
      <c r="J53" s="142">
        <v>51000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197908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165648</v>
      </c>
      <c r="I55" s="142">
        <v>188407</v>
      </c>
      <c r="J55" s="142">
        <v>162279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v>0</v>
      </c>
      <c r="I56" s="142">
        <v>0</v>
      </c>
      <c r="J56" s="142">
        <v>38000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44712</v>
      </c>
      <c r="H57" s="142">
        <v>213995</v>
      </c>
      <c r="I57" s="142">
        <v>107078</v>
      </c>
      <c r="J57" s="142">
        <v>85000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8500</v>
      </c>
      <c r="H60" s="142">
        <v>8500</v>
      </c>
      <c r="I60" s="142">
        <v>0</v>
      </c>
      <c r="J60" s="142">
        <v>20200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>
        <v>0</v>
      </c>
      <c r="I62" s="142">
        <v>23170</v>
      </c>
      <c r="J62" s="142">
        <v>10000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264132</v>
      </c>
      <c r="H64" s="81">
        <f>SUM(H44:H63)</f>
        <v>390384</v>
      </c>
      <c r="I64" s="81">
        <f t="shared" ref="I64:M64" si="4">SUM(I44:I63)</f>
        <v>380124</v>
      </c>
      <c r="J64" s="81">
        <f t="shared" si="4"/>
        <v>580760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17479</v>
      </c>
      <c r="H65" s="142">
        <v>0</v>
      </c>
      <c r="I65" s="142">
        <v>0</v>
      </c>
      <c r="J65" s="142">
        <v>15000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14261</v>
      </c>
      <c r="H66" s="142">
        <v>10194</v>
      </c>
      <c r="I66" s="142">
        <v>7308</v>
      </c>
      <c r="J66" s="142">
        <v>20000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163068</v>
      </c>
      <c r="H68" s="142">
        <v>211313</v>
      </c>
      <c r="I68" s="142">
        <v>208886</v>
      </c>
      <c r="J68" s="142">
        <v>190304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159739</v>
      </c>
      <c r="H69" s="142">
        <v>226980</v>
      </c>
      <c r="I69" s="142">
        <v>211610</v>
      </c>
      <c r="J69" s="142">
        <v>160424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247107</v>
      </c>
      <c r="H70" s="142">
        <v>371297</v>
      </c>
      <c r="I70" s="142">
        <v>480195</v>
      </c>
      <c r="J70" s="142">
        <v>263153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105238</v>
      </c>
      <c r="H71" s="142">
        <v>124614</v>
      </c>
      <c r="I71" s="142">
        <v>133922</v>
      </c>
      <c r="J71" s="142">
        <v>120000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212776</v>
      </c>
      <c r="H72" s="142">
        <v>215177</v>
      </c>
      <c r="I72" s="142">
        <v>146493</v>
      </c>
      <c r="J72" s="142">
        <v>102895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989</v>
      </c>
      <c r="H73" s="142">
        <v>5089</v>
      </c>
      <c r="I73" s="142">
        <v>38042</v>
      </c>
      <c r="J73" s="142">
        <v>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42515</v>
      </c>
      <c r="H74" s="142">
        <v>71548</v>
      </c>
      <c r="I74" s="142">
        <v>138276</v>
      </c>
      <c r="J74" s="142">
        <v>60000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150524</v>
      </c>
      <c r="H75" s="142">
        <v>208973</v>
      </c>
      <c r="I75" s="142">
        <v>184689</v>
      </c>
      <c r="J75" s="142">
        <v>177038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176528</v>
      </c>
      <c r="H76" s="142">
        <v>149461</v>
      </c>
      <c r="I76" s="142">
        <v>186158</v>
      </c>
      <c r="J76" s="142">
        <v>160000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108599</v>
      </c>
      <c r="H77" s="142">
        <v>122998</v>
      </c>
      <c r="I77" s="142">
        <v>183450</v>
      </c>
      <c r="J77" s="142">
        <v>115958.83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1398823</v>
      </c>
      <c r="H78" s="81">
        <f>SUM(H65:H77)</f>
        <v>1717644</v>
      </c>
      <c r="I78" s="81">
        <f t="shared" ref="I78:M78" si="5">SUM(I65:I77)</f>
        <v>1919029</v>
      </c>
      <c r="J78" s="81">
        <f>SUM(J65:J77)</f>
        <v>1384772.83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17479</v>
      </c>
      <c r="H79" s="142">
        <v>0</v>
      </c>
      <c r="I79" s="142">
        <v>0</v>
      </c>
      <c r="J79" s="142"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229487</v>
      </c>
      <c r="H80" s="142">
        <v>218277</v>
      </c>
      <c r="I80" s="142">
        <v>229756</v>
      </c>
      <c r="J80" s="142">
        <v>225000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443945</v>
      </c>
      <c r="H81" s="142">
        <v>413332</v>
      </c>
      <c r="I81" s="142">
        <v>418796</v>
      </c>
      <c r="J81" s="142">
        <v>435000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331136</v>
      </c>
      <c r="H82" s="142">
        <v>303832</v>
      </c>
      <c r="I82" s="142">
        <v>320861</v>
      </c>
      <c r="J82" s="142">
        <v>345000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16971</v>
      </c>
      <c r="H84" s="142">
        <v>42700</v>
      </c>
      <c r="I84" s="142">
        <v>10733</v>
      </c>
      <c r="J84" s="142">
        <v>27000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2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1039018</v>
      </c>
      <c r="H86" s="81">
        <f>SUM(H79:H85)</f>
        <v>978141</v>
      </c>
      <c r="I86" s="81">
        <f t="shared" ref="I86:M86" si="6">SUM(I79:I85)</f>
        <v>980146</v>
      </c>
      <c r="J86" s="81">
        <f t="shared" si="6"/>
        <v>1032000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2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20931</v>
      </c>
      <c r="H88" s="142">
        <v>18773</v>
      </c>
      <c r="I88" s="142">
        <v>15467</v>
      </c>
      <c r="J88" s="142">
        <v>13500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6600</v>
      </c>
      <c r="H89" s="142">
        <v>0</v>
      </c>
      <c r="I89" s="142">
        <v>10329</v>
      </c>
      <c r="J89" s="142">
        <v>12500</v>
      </c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6867</v>
      </c>
      <c r="H90" s="142">
        <v>10556</v>
      </c>
      <c r="I90" s="142">
        <v>15437</v>
      </c>
      <c r="J90" s="142">
        <v>5000</v>
      </c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34398</v>
      </c>
      <c r="H91" s="81">
        <f>SUM(H87:H90)</f>
        <v>29329</v>
      </c>
      <c r="I91" s="81">
        <f t="shared" ref="I91:M91" si="7">SUM(I87:I90)</f>
        <v>41233</v>
      </c>
      <c r="J91" s="81">
        <f t="shared" si="7"/>
        <v>31000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601930</v>
      </c>
      <c r="H92" s="142">
        <v>515369</v>
      </c>
      <c r="I92" s="142">
        <v>791955</v>
      </c>
      <c r="J92" s="142">
        <v>670000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190596</v>
      </c>
      <c r="H93" s="142">
        <v>122259</v>
      </c>
      <c r="I93" s="142">
        <v>293418</v>
      </c>
      <c r="J93" s="142">
        <v>260000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324813</v>
      </c>
      <c r="H94" s="142">
        <v>303786</v>
      </c>
      <c r="I94" s="142">
        <v>269560</v>
      </c>
      <c r="J94" s="142">
        <v>320000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567096</v>
      </c>
      <c r="H95" s="142">
        <v>714269</v>
      </c>
      <c r="I95" s="142">
        <v>649298</v>
      </c>
      <c r="J95" s="142">
        <v>630000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193497</v>
      </c>
      <c r="H97" s="142">
        <v>312182</v>
      </c>
      <c r="I97" s="142">
        <v>161645</v>
      </c>
      <c r="J97" s="142">
        <v>150000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2">
        <v>0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0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2"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2"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115450</v>
      </c>
      <c r="H103" s="142">
        <v>146264</v>
      </c>
      <c r="I103" s="142">
        <v>108454</v>
      </c>
      <c r="J103" s="142">
        <v>175000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173669</v>
      </c>
      <c r="H104" s="142">
        <v>206476</v>
      </c>
      <c r="I104" s="142">
        <v>232074</v>
      </c>
      <c r="J104" s="142">
        <v>225000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v>0</v>
      </c>
      <c r="I105" s="142">
        <v>0</v>
      </c>
      <c r="J105" s="142">
        <v>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90538</v>
      </c>
      <c r="H107" s="142">
        <v>88485</v>
      </c>
      <c r="I107" s="142">
        <v>117913</v>
      </c>
      <c r="J107" s="142">
        <v>115000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0</v>
      </c>
      <c r="H108" s="142">
        <v>0</v>
      </c>
      <c r="I108" s="142">
        <v>0</v>
      </c>
      <c r="J108" s="142">
        <v>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2257589</v>
      </c>
      <c r="H109" s="81">
        <f>SUM(H92:H108)</f>
        <v>2409090</v>
      </c>
      <c r="I109" s="81">
        <f t="shared" ref="I109:M109" si="8">SUM(I92:I108)</f>
        <v>2624317</v>
      </c>
      <c r="J109" s="81">
        <f t="shared" si="8"/>
        <v>2545000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95965</v>
      </c>
      <c r="H110" s="143">
        <v>105403</v>
      </c>
      <c r="I110" s="143">
        <v>103815</v>
      </c>
      <c r="J110" s="143">
        <v>110000</v>
      </c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2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95965</v>
      </c>
      <c r="H112" s="81">
        <f>H110+H111</f>
        <v>105403</v>
      </c>
      <c r="I112" s="81">
        <f t="shared" ref="I112:M112" si="9">I110+I111</f>
        <v>103815</v>
      </c>
      <c r="J112" s="81">
        <f t="shared" si="9"/>
        <v>110000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198</v>
      </c>
      <c r="F115" s="80" t="s">
        <v>80</v>
      </c>
      <c r="G115" s="58">
        <f>'Benchmarking Calculations'!G81</f>
        <v>5089925</v>
      </c>
      <c r="H115" s="81">
        <f>H114+H112+H109+H91+H86+H78+H64</f>
        <v>5629991</v>
      </c>
      <c r="I115" s="81">
        <f t="shared" ref="I115:M115" si="11">I114+I112+I109+I91+I86+I78+I64</f>
        <v>6048664</v>
      </c>
      <c r="J115" s="81">
        <f t="shared" si="11"/>
        <v>5683532.8300000001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199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200</v>
      </c>
      <c r="F122" s="80" t="s">
        <v>83</v>
      </c>
      <c r="G122" s="110">
        <f>'Benchmarking Calculations'!G88</f>
        <v>106743.36</v>
      </c>
      <c r="H122" s="176">
        <f>G122</f>
        <v>106743.36</v>
      </c>
      <c r="I122" s="176">
        <f>G122</f>
        <v>106743.36</v>
      </c>
      <c r="J122" s="176">
        <f>G122</f>
        <v>106743.36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74"/>
  <sheetViews>
    <sheetView topLeftCell="F1" zoomScaleNormal="100" workbookViewId="0">
      <pane ySplit="5" topLeftCell="A57" activePane="bottomLeft" state="frozen"/>
      <selection activeCell="G33" sqref="G33"/>
      <selection pane="bottomLeft" activeCell="CG98" sqref="CG9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4" width="13.42578125" style="114" hidden="1" customWidth="1"/>
    <col min="85" max="86" width="13.42578125" style="114" customWidth="1"/>
    <col min="87" max="87" width="17.42578125" style="114" customWidth="1"/>
    <col min="88" max="93" width="9.140625" customWidth="1"/>
  </cols>
  <sheetData>
    <row r="1" spans="1:94" ht="24" thickBot="1" x14ac:dyDescent="0.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9" t="s">
        <v>1</v>
      </c>
      <c r="C3" s="229"/>
      <c r="D3" s="101"/>
      <c r="E3" s="102" t="str">
        <f>'Model Inputs'!F5</f>
        <v>Westario Power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4" t="s">
        <v>203</v>
      </c>
      <c r="R3" s="184" t="s">
        <v>205</v>
      </c>
      <c r="S3" s="184" t="s">
        <v>206</v>
      </c>
      <c r="T3" s="184" t="s">
        <v>207</v>
      </c>
      <c r="U3" s="184" t="s">
        <v>208</v>
      </c>
      <c r="V3" s="184" t="s">
        <v>209</v>
      </c>
      <c r="W3" s="184" t="s">
        <v>210</v>
      </c>
      <c r="X3" s="184" t="s">
        <v>211</v>
      </c>
      <c r="Y3" s="184" t="s">
        <v>212</v>
      </c>
      <c r="Z3" s="184" t="s">
        <v>213</v>
      </c>
      <c r="AA3" s="184" t="s">
        <v>214</v>
      </c>
      <c r="AB3" s="184" t="s">
        <v>215</v>
      </c>
      <c r="AC3" s="184" t="s">
        <v>216</v>
      </c>
      <c r="AD3" s="184" t="s">
        <v>217</v>
      </c>
      <c r="AE3" s="184" t="s">
        <v>218</v>
      </c>
      <c r="AF3" s="184" t="s">
        <v>219</v>
      </c>
      <c r="AG3" s="184" t="s">
        <v>220</v>
      </c>
      <c r="AH3" s="184" t="s">
        <v>221</v>
      </c>
      <c r="AI3" s="184" t="s">
        <v>222</v>
      </c>
      <c r="AJ3" s="184" t="s">
        <v>223</v>
      </c>
      <c r="AK3" s="184" t="s">
        <v>224</v>
      </c>
      <c r="AL3" s="184" t="s">
        <v>225</v>
      </c>
      <c r="AM3" s="184" t="s">
        <v>226</v>
      </c>
      <c r="AN3" s="184" t="s">
        <v>227</v>
      </c>
      <c r="AO3" s="184" t="s">
        <v>228</v>
      </c>
      <c r="AP3" s="184" t="s">
        <v>229</v>
      </c>
      <c r="AQ3" s="184" t="s">
        <v>230</v>
      </c>
      <c r="AR3" s="184" t="s">
        <v>231</v>
      </c>
      <c r="AS3" s="184" t="s">
        <v>232</v>
      </c>
      <c r="AT3" s="184" t="s">
        <v>233</v>
      </c>
      <c r="AU3" s="184" t="s">
        <v>234</v>
      </c>
      <c r="AV3" s="184" t="s">
        <v>235</v>
      </c>
      <c r="AW3" s="184" t="s">
        <v>236</v>
      </c>
      <c r="AX3" s="184" t="s">
        <v>273</v>
      </c>
      <c r="AY3" s="184" t="s">
        <v>237</v>
      </c>
      <c r="AZ3" s="184" t="s">
        <v>238</v>
      </c>
      <c r="BA3" s="184" t="s">
        <v>239</v>
      </c>
      <c r="BB3" s="184" t="s">
        <v>240</v>
      </c>
      <c r="BC3" s="184" t="s">
        <v>241</v>
      </c>
      <c r="BD3" s="184" t="s">
        <v>242</v>
      </c>
      <c r="BE3" s="184" t="s">
        <v>243</v>
      </c>
      <c r="BF3" s="184" t="s">
        <v>244</v>
      </c>
      <c r="BG3" s="184" t="s">
        <v>245</v>
      </c>
      <c r="BH3" s="184" t="s">
        <v>246</v>
      </c>
      <c r="BI3" s="184" t="s">
        <v>247</v>
      </c>
      <c r="BJ3" s="184" t="s">
        <v>248</v>
      </c>
      <c r="BK3" s="184" t="s">
        <v>249</v>
      </c>
      <c r="BL3" s="184" t="s">
        <v>250</v>
      </c>
      <c r="BM3" s="184" t="s">
        <v>251</v>
      </c>
      <c r="BN3" s="184" t="s">
        <v>252</v>
      </c>
      <c r="BO3" s="184" t="s">
        <v>253</v>
      </c>
      <c r="BP3" s="184" t="s">
        <v>254</v>
      </c>
      <c r="BQ3" s="184" t="s">
        <v>255</v>
      </c>
      <c r="BR3" s="184" t="s">
        <v>256</v>
      </c>
      <c r="BS3" s="184" t="s">
        <v>257</v>
      </c>
      <c r="BT3" s="184" t="s">
        <v>258</v>
      </c>
      <c r="BU3" s="184" t="s">
        <v>259</v>
      </c>
      <c r="BV3" s="184" t="s">
        <v>260</v>
      </c>
      <c r="BW3" s="184" t="s">
        <v>261</v>
      </c>
      <c r="BX3" s="184" t="s">
        <v>262</v>
      </c>
      <c r="BY3" s="184" t="s">
        <v>263</v>
      </c>
      <c r="BZ3" s="184" t="s">
        <v>264</v>
      </c>
      <c r="CA3" s="184" t="s">
        <v>265</v>
      </c>
      <c r="CB3" s="184" t="s">
        <v>266</v>
      </c>
      <c r="CC3" s="184" t="s">
        <v>267</v>
      </c>
      <c r="CD3" s="184" t="s">
        <v>268</v>
      </c>
      <c r="CE3" s="184" t="s">
        <v>269</v>
      </c>
      <c r="CF3" s="184" t="s">
        <v>270</v>
      </c>
      <c r="CG3" s="184" t="s">
        <v>271</v>
      </c>
      <c r="CH3" s="184" t="s">
        <v>272</v>
      </c>
      <c r="CI3" s="184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0"/>
      <c r="G4" s="231"/>
      <c r="H4" s="232" t="s">
        <v>2</v>
      </c>
      <c r="I4" s="233"/>
      <c r="J4" s="233"/>
      <c r="K4" s="233"/>
      <c r="L4" s="233"/>
      <c r="M4" s="233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274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-50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240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6411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6411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197908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44712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8500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264132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17479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14261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163068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159739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247107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105238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212776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989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42515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150524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176528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108599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1398823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17479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229487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443945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331136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16971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1039018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20931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6600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6867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34398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601930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190596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324813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567096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193497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115450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173669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90538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2257589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95965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95965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5089925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106743.36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5196668.3600000003</v>
      </c>
      <c r="H89" s="186">
        <f>'Model Inputs'!H31</f>
        <v>5736734.3600000003</v>
      </c>
      <c r="I89" s="187">
        <f>'Model Inputs'!I31</f>
        <v>6155407.3600000003</v>
      </c>
      <c r="J89" s="187">
        <f>'Model Inputs'!J31</f>
        <v>5790276.1900000004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4112933</v>
      </c>
      <c r="H92" s="186">
        <f>'Model Inputs'!H9</f>
        <v>4953846</v>
      </c>
      <c r="I92" s="187">
        <f>'Model Inputs'!I9</f>
        <v>4583073.0100000007</v>
      </c>
      <c r="J92" s="187">
        <f>'Model Inputs'!J9</f>
        <v>4441204.12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22954</v>
      </c>
      <c r="H96" s="186">
        <f>'Model Inputs'!H13</f>
        <v>23064</v>
      </c>
      <c r="I96" s="187">
        <f>'Model Inputs'!I13</f>
        <v>23312.416666666668</v>
      </c>
      <c r="J96" s="187">
        <f>'Model Inputs'!J13</f>
        <v>23535.643912748092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427059905</v>
      </c>
      <c r="H97" s="186">
        <f>'Model Inputs'!H14</f>
        <v>424893866.23074895</v>
      </c>
      <c r="I97" s="187">
        <f>'Model Inputs'!I14</f>
        <v>431909664.30377531</v>
      </c>
      <c r="J97" s="187">
        <f>'Model Inputs'!J14</f>
        <v>428033860.31300938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93376</v>
      </c>
      <c r="H98" s="186">
        <f>'Model Inputs'!H15</f>
        <v>71203</v>
      </c>
      <c r="I98" s="187">
        <f>'Model Inputs'!I15</f>
        <v>71203</v>
      </c>
      <c r="J98" s="187">
        <f>'Model Inputs'!J15</f>
        <v>71203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522</v>
      </c>
      <c r="H99" s="186">
        <f>'Model Inputs'!H16</f>
        <v>522</v>
      </c>
      <c r="I99" s="187">
        <f>'Model Inputs'!I16</f>
        <v>522</v>
      </c>
      <c r="J99" s="187">
        <f>'Model Inputs'!J16</f>
        <v>522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5196668.3600000003</v>
      </c>
      <c r="H107" s="29">
        <f t="shared" ref="H107:K107" si="4">H89</f>
        <v>5736734.3600000003</v>
      </c>
      <c r="I107" s="29">
        <f t="shared" si="4"/>
        <v>6155407.3600000003</v>
      </c>
      <c r="J107" s="29">
        <f t="shared" si="4"/>
        <v>5790276.1900000004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5.5899999999999998E-2</v>
      </c>
      <c r="I110" s="202">
        <f>'Model Inputs'!I22</f>
        <v>5.5899999999999998E-2</v>
      </c>
      <c r="J110" s="202">
        <f>'Model Inputs'!J22</f>
        <v>6.0670125607612618E-2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166.41347905253781</v>
      </c>
      <c r="I112" s="205">
        <f>H112*EXP('Model Inputs'!I21)</f>
        <v>169.77525432791353</v>
      </c>
      <c r="J112" s="205">
        <f>I112*EXP('Model Inputs'!J21)</f>
        <v>173.20494196872065</v>
      </c>
      <c r="K112" s="205">
        <f>J112*EXP('Model Inputs'!K21)</f>
        <v>173.20494196872065</v>
      </c>
      <c r="L112" s="205">
        <f>K112*EXP('Model Inputs'!L21)</f>
        <v>173.20494196872065</v>
      </c>
      <c r="M112" s="206">
        <f>L112*EXP('Model Inputs'!M21)</f>
        <v>173.20494196872065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16.756690059081631</v>
      </c>
      <c r="I113" s="29">
        <f t="shared" si="7"/>
        <v>17.095197652688093</v>
      </c>
      <c r="J113" s="29">
        <f t="shared" si="7"/>
        <v>18.250392841503171</v>
      </c>
      <c r="K113" s="29">
        <f t="shared" si="7"/>
        <v>7.9501068363642782</v>
      </c>
      <c r="L113" s="29">
        <f t="shared" si="7"/>
        <v>7.9501068363642782</v>
      </c>
      <c r="M113" s="29">
        <f t="shared" si="7"/>
        <v>7.9501068363642782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4112933</v>
      </c>
      <c r="H114" s="207">
        <f>H92</f>
        <v>4953846</v>
      </c>
      <c r="I114" s="208">
        <f t="shared" ref="I114:L114" si="8">I92</f>
        <v>4583073.0100000007</v>
      </c>
      <c r="J114" s="208">
        <f t="shared" si="8"/>
        <v>4441204.12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25214.422424974084</v>
      </c>
      <c r="H116" s="8">
        <f t="shared" ref="H116:K116" si="12">(H114-H115)/H112</f>
        <v>29768.297785758321</v>
      </c>
      <c r="I116" s="8">
        <f t="shared" si="12"/>
        <v>26994.941212975562</v>
      </c>
      <c r="J116" s="8">
        <f t="shared" si="12"/>
        <v>25641.324488316528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18725.872018999518</v>
      </c>
      <c r="H117" s="25">
        <f t="shared" ref="H117:M117" si="14">H111*G118</f>
        <v>19023.69648263375</v>
      </c>
      <c r="I117" s="25">
        <f t="shared" si="14"/>
        <v>19516.873682447171</v>
      </c>
      <c r="J117" s="25">
        <f t="shared" si="14"/>
        <v>19860.116982098421</v>
      </c>
      <c r="K117" s="25">
        <f t="shared" si="14"/>
        <v>20125.474406633832</v>
      </c>
      <c r="L117" s="25">
        <f t="shared" si="14"/>
        <v>19201.715131369339</v>
      </c>
      <c r="M117" s="25">
        <f t="shared" si="14"/>
        <v>18320.356406839484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414459.61835803377</v>
      </c>
      <c r="H118" s="25">
        <f t="shared" ref="H118:M118" si="15">G118+H116-H117</f>
        <v>425204.21966115833</v>
      </c>
      <c r="I118" s="25">
        <f t="shared" si="15"/>
        <v>432682.28719168669</v>
      </c>
      <c r="J118" s="25">
        <f t="shared" si="15"/>
        <v>438463.4946979048</v>
      </c>
      <c r="K118" s="25">
        <f t="shared" si="15"/>
        <v>418338.02029127098</v>
      </c>
      <c r="L118" s="25">
        <f t="shared" si="15"/>
        <v>399136.30515990162</v>
      </c>
      <c r="M118" s="25">
        <f t="shared" si="15"/>
        <v>380815.94875306211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7430580.5582892727</v>
      </c>
      <c r="H119" s="25">
        <f t="shared" ref="H119:K119" si="16">H113*H118</f>
        <v>7125015.3206756944</v>
      </c>
      <c r="I119" s="25">
        <f t="shared" si="16"/>
        <v>7396789.2203590376</v>
      </c>
      <c r="J119" s="25">
        <f t="shared" si="16"/>
        <v>8002131.0248951055</v>
      </c>
      <c r="K119" s="25">
        <f t="shared" si="16"/>
        <v>3325831.9550287314</v>
      </c>
      <c r="L119" s="25">
        <f t="shared" ref="L119:M119" si="17">L113*L118</f>
        <v>3173176.2682929127</v>
      </c>
      <c r="M119" s="25">
        <f t="shared" si="17"/>
        <v>3027527.4775782679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12627248.918289274</v>
      </c>
      <c r="H121" s="25">
        <f t="shared" ref="H121:K121" si="18">H107+H119</f>
        <v>12861749.680675695</v>
      </c>
      <c r="I121" s="25">
        <f t="shared" si="18"/>
        <v>13552196.580359038</v>
      </c>
      <c r="J121" s="25">
        <f t="shared" si="18"/>
        <v>13792407.214895107</v>
      </c>
      <c r="K121" s="25">
        <f t="shared" si="18"/>
        <v>3325831.9550287314</v>
      </c>
      <c r="L121" s="25">
        <f t="shared" ref="L121:M121" si="19">L107+L119</f>
        <v>3173176.2682929127</v>
      </c>
      <c r="M121" s="25">
        <f t="shared" si="19"/>
        <v>3027527.4775782679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24190.132027374089</v>
      </c>
      <c r="H122" s="25">
        <f t="shared" ref="H122:J122" si="20">H121/H142</f>
        <v>24639.367204359569</v>
      </c>
      <c r="I122" s="25">
        <f t="shared" si="20"/>
        <v>25962.062414480915</v>
      </c>
      <c r="J122" s="25">
        <f t="shared" si="20"/>
        <v>26422.236043860357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22954</v>
      </c>
      <c r="H128" s="8">
        <f t="shared" ref="H128:K130" si="21">H96</f>
        <v>23064</v>
      </c>
      <c r="I128" s="8">
        <f t="shared" si="21"/>
        <v>23312.416666666668</v>
      </c>
      <c r="J128" s="8">
        <f t="shared" si="21"/>
        <v>23535.643912748092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427059905</v>
      </c>
      <c r="H129" s="39">
        <f t="shared" si="21"/>
        <v>424893866.23074895</v>
      </c>
      <c r="I129" s="39">
        <f t="shared" si="21"/>
        <v>431909664.30377531</v>
      </c>
      <c r="J129" s="39">
        <f t="shared" si="21"/>
        <v>428033860.31300938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93376</v>
      </c>
      <c r="H130" s="8">
        <f t="shared" si="21"/>
        <v>71203</v>
      </c>
      <c r="I130" s="8">
        <f t="shared" si="21"/>
        <v>71203</v>
      </c>
      <c r="J130" s="8">
        <f t="shared" si="21"/>
        <v>71203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94390</v>
      </c>
      <c r="H131" s="8">
        <f t="shared" ref="H131:M131" si="25">MAX(G131,H130)</f>
        <v>94390</v>
      </c>
      <c r="I131" s="8">
        <f t="shared" si="25"/>
        <v>94390</v>
      </c>
      <c r="J131" s="8">
        <f t="shared" si="25"/>
        <v>94390</v>
      </c>
      <c r="K131" s="8">
        <f t="shared" si="25"/>
        <v>94390</v>
      </c>
      <c r="L131" s="8">
        <f t="shared" si="25"/>
        <v>94390</v>
      </c>
      <c r="M131" s="8">
        <f t="shared" si="25"/>
        <v>94390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117.55269940458292</v>
      </c>
      <c r="I134" s="214">
        <f>H134*EXP('Model Inputs'!I21)</f>
        <v>119.92742145631792</v>
      </c>
      <c r="J134" s="214">
        <f>I134*EXP('Model Inputs'!J21)</f>
        <v>122.35011607568904</v>
      </c>
      <c r="K134" s="214">
        <f>J134*EXP('Model Inputs'!K21)</f>
        <v>122.35011607568904</v>
      </c>
      <c r="L134" s="214">
        <f>K134*EXP('Model Inputs'!L21)</f>
        <v>122.35011607568904</v>
      </c>
      <c r="M134" s="215">
        <f>L134*EXP('Model Inputs'!M21)</f>
        <v>122.35011607568904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6">LN(I134/H134)*0.3+LN(I135/H135)*0.7</f>
        <v>2.3947529578612577E-2</v>
      </c>
      <c r="J136" s="40">
        <f t="shared" si="26"/>
        <v>2.3947529578612577E-2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108.50108798733301</v>
      </c>
      <c r="H137" s="29">
        <f t="shared" ref="H137:M137" si="27">G137*EXP(H136)</f>
        <v>111.13078267404534</v>
      </c>
      <c r="I137" s="29">
        <f t="shared" si="27"/>
        <v>113.82421215156576</v>
      </c>
      <c r="J137" s="29">
        <f t="shared" si="27"/>
        <v>116.58292113289076</v>
      </c>
      <c r="K137" s="29">
        <f t="shared" si="27"/>
        <v>116.58292113289076</v>
      </c>
      <c r="L137" s="29">
        <f t="shared" si="27"/>
        <v>116.58292113289076</v>
      </c>
      <c r="M137" s="29">
        <f t="shared" si="27"/>
        <v>116.58292113289076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16.756690059081631</v>
      </c>
      <c r="I139" s="29">
        <f t="shared" si="28"/>
        <v>17.095197652688093</v>
      </c>
      <c r="J139" s="29">
        <f t="shared" si="28"/>
        <v>18.250392841503171</v>
      </c>
      <c r="K139" s="29">
        <f t="shared" si="28"/>
        <v>7.9501068363642782</v>
      </c>
      <c r="L139" s="29">
        <f t="shared" ref="L139:M139" si="29">L113</f>
        <v>7.9501068363642782</v>
      </c>
      <c r="M139" s="29">
        <f t="shared" si="29"/>
        <v>7.9501068363642782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522</v>
      </c>
      <c r="H142" s="42">
        <f>'Model Inputs'!H16</f>
        <v>522</v>
      </c>
      <c r="I142" s="42">
        <f>'Model Inputs'!I16</f>
        <v>522</v>
      </c>
      <c r="J142" s="42">
        <f>'Model Inputs'!J16</f>
        <v>522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465.2285714285714</v>
      </c>
      <c r="H143" s="41">
        <f>(G143*14+H142)/15</f>
        <v>469.01333333333332</v>
      </c>
      <c r="I143" s="41">
        <f>(H143*15+I142)/16</f>
        <v>472.32499999999999</v>
      </c>
      <c r="J143" s="41">
        <f>(I143*16+J142)/17</f>
        <v>475.24705882352941</v>
      </c>
      <c r="K143" s="41">
        <f>(J143*17+K142)/18</f>
        <v>448.84444444444443</v>
      </c>
      <c r="L143" s="41">
        <f>(K143*17+L142)/18</f>
        <v>423.90864197530868</v>
      </c>
      <c r="M143" s="41">
        <f>(L143*17+M142)/18</f>
        <v>400.35816186556929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20699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0.10894246098845355</v>
      </c>
      <c r="H145" s="30">
        <f>'Model Inputs'!H17</f>
        <v>1.3599999999999999E-2</v>
      </c>
      <c r="I145" s="30">
        <f>'Model Inputs'!I17</f>
        <v>1.2800000000000001E-2</v>
      </c>
      <c r="J145" s="30">
        <f>'Model Inputs'!J17</f>
        <v>6.0000000000000001E-3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0.16523666886277236</v>
      </c>
      <c r="H152" s="44">
        <f t="shared" ref="H152:K152" si="32">H113/H137</f>
        <v>0.15078351520505548</v>
      </c>
      <c r="I152" s="44">
        <f t="shared" si="32"/>
        <v>0.15018946610343775</v>
      </c>
      <c r="J152" s="44">
        <f t="shared" si="32"/>
        <v>0.15654430909909933</v>
      </c>
      <c r="K152" s="44">
        <f t="shared" si="32"/>
        <v>6.8192722905802777E-2</v>
      </c>
      <c r="L152" s="44">
        <f t="shared" ref="L152:M152" si="33">L113/L137</f>
        <v>6.8192722905802777E-2</v>
      </c>
      <c r="M152" s="44">
        <f t="shared" si="33"/>
        <v>6.8192722905802777E-2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22954</v>
      </c>
      <c r="H153" s="25">
        <f t="shared" ref="H153:K153" si="34">H96</f>
        <v>23064</v>
      </c>
      <c r="I153" s="25">
        <f t="shared" si="34"/>
        <v>23312.416666666668</v>
      </c>
      <c r="J153" s="25">
        <f t="shared" si="34"/>
        <v>23535.643912748092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94390</v>
      </c>
      <c r="H154" s="25">
        <f t="shared" ref="H154:K154" si="36">H131</f>
        <v>94390</v>
      </c>
      <c r="I154" s="25">
        <f t="shared" si="36"/>
        <v>94390</v>
      </c>
      <c r="J154" s="25">
        <f t="shared" si="36"/>
        <v>94390</v>
      </c>
      <c r="K154" s="25">
        <f t="shared" si="36"/>
        <v>94390</v>
      </c>
      <c r="L154" s="25">
        <f t="shared" ref="L154:M154" si="37">L131</f>
        <v>94390</v>
      </c>
      <c r="M154" s="25">
        <f t="shared" si="37"/>
        <v>94390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427059905</v>
      </c>
      <c r="H155" s="39">
        <f t="shared" ref="H155:K155" si="38">H97</f>
        <v>424893866.23074895</v>
      </c>
      <c r="I155" s="39">
        <f t="shared" si="38"/>
        <v>431909664.30377531</v>
      </c>
      <c r="J155" s="39">
        <f t="shared" si="38"/>
        <v>428033860.31300938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465.2285714285714</v>
      </c>
      <c r="H156" s="45">
        <f t="shared" ref="H156:K156" si="40">H143</f>
        <v>469.01333333333332</v>
      </c>
      <c r="I156" s="45">
        <f t="shared" si="40"/>
        <v>472.32499999999999</v>
      </c>
      <c r="J156" s="45">
        <f t="shared" si="40"/>
        <v>475.24705882352941</v>
      </c>
      <c r="K156" s="45">
        <f t="shared" si="40"/>
        <v>448.84444444444443</v>
      </c>
      <c r="L156" s="45">
        <f t="shared" ref="L156:M156" si="41">L143</f>
        <v>423.90864197530868</v>
      </c>
      <c r="M156" s="45">
        <f t="shared" si="41"/>
        <v>400.35816186556929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0.10894246098845355</v>
      </c>
      <c r="H157" s="31">
        <f t="shared" ref="H157:L157" si="42">H145</f>
        <v>1.3599999999999999E-2</v>
      </c>
      <c r="I157" s="31">
        <f t="shared" si="42"/>
        <v>1.2800000000000001E-2</v>
      </c>
      <c r="J157" s="31">
        <f t="shared" si="42"/>
        <v>6.0000000000000001E-3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12.813463903341642</v>
      </c>
      <c r="H162" s="49">
        <f t="shared" ref="H162:M179" si="46">G162</f>
        <v>12.813463903341642</v>
      </c>
      <c r="I162" s="49">
        <f t="shared" si="46"/>
        <v>12.813463903341642</v>
      </c>
      <c r="J162" s="49">
        <f t="shared" si="46"/>
        <v>12.813463903341642</v>
      </c>
      <c r="K162" s="49">
        <f t="shared" si="46"/>
        <v>12.813463903341642</v>
      </c>
      <c r="L162" s="49">
        <f t="shared" si="46"/>
        <v>12.813463903341642</v>
      </c>
      <c r="M162" s="49">
        <f t="shared" si="46"/>
        <v>12.813463903341642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0.62689728434480774</v>
      </c>
      <c r="H163" s="49">
        <f t="shared" si="46"/>
        <v>0.62689728434480774</v>
      </c>
      <c r="I163" s="49">
        <f t="shared" si="46"/>
        <v>0.62689728434480774</v>
      </c>
      <c r="J163" s="49">
        <f t="shared" si="46"/>
        <v>0.62689728434480774</v>
      </c>
      <c r="K163" s="49">
        <f t="shared" si="46"/>
        <v>0.62689728434480774</v>
      </c>
      <c r="L163" s="49">
        <f t="shared" si="46"/>
        <v>0.62689728434480774</v>
      </c>
      <c r="M163" s="49">
        <f t="shared" si="46"/>
        <v>0.62689728434480774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0.44532584848564594</v>
      </c>
      <c r="H164" s="49">
        <f t="shared" si="46"/>
        <v>0.44532584848564594</v>
      </c>
      <c r="I164" s="49">
        <f t="shared" si="46"/>
        <v>0.44532584848564594</v>
      </c>
      <c r="J164" s="49">
        <f t="shared" si="46"/>
        <v>0.44532584848564594</v>
      </c>
      <c r="K164" s="49">
        <f t="shared" si="46"/>
        <v>0.44532584848564594</v>
      </c>
      <c r="L164" s="49">
        <f t="shared" si="46"/>
        <v>0.44532584848564594</v>
      </c>
      <c r="M164" s="49">
        <f t="shared" si="46"/>
        <v>0.44532584848564594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0.16259340762324623</v>
      </c>
      <c r="H165" s="49">
        <f t="shared" si="46"/>
        <v>0.16259340762324623</v>
      </c>
      <c r="I165" s="49">
        <f t="shared" si="46"/>
        <v>0.16259340762324623</v>
      </c>
      <c r="J165" s="49">
        <f t="shared" si="46"/>
        <v>0.16259340762324623</v>
      </c>
      <c r="K165" s="49">
        <f t="shared" si="46"/>
        <v>0.16259340762324623</v>
      </c>
      <c r="L165" s="49">
        <f t="shared" si="46"/>
        <v>0.16259340762324623</v>
      </c>
      <c r="M165" s="49">
        <f t="shared" si="46"/>
        <v>0.16259340762324623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0.10388159705056238</v>
      </c>
      <c r="H166" s="49">
        <f t="shared" si="46"/>
        <v>0.10388159705056238</v>
      </c>
      <c r="I166" s="49">
        <f t="shared" si="46"/>
        <v>0.10388159705056238</v>
      </c>
      <c r="J166" s="49">
        <f t="shared" si="46"/>
        <v>0.10388159705056238</v>
      </c>
      <c r="K166" s="49">
        <f t="shared" si="46"/>
        <v>0.10388159705056238</v>
      </c>
      <c r="L166" s="49">
        <f t="shared" si="46"/>
        <v>0.10388159705056238</v>
      </c>
      <c r="M166" s="49">
        <f t="shared" si="46"/>
        <v>0.10388159705056238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0.12657540754975516</v>
      </c>
      <c r="H167" s="49">
        <f t="shared" si="46"/>
        <v>0.12657540754975516</v>
      </c>
      <c r="I167" s="49">
        <f t="shared" si="46"/>
        <v>0.12657540754975516</v>
      </c>
      <c r="J167" s="49">
        <f t="shared" si="46"/>
        <v>0.12657540754975516</v>
      </c>
      <c r="K167" s="49">
        <f t="shared" si="46"/>
        <v>0.12657540754975516</v>
      </c>
      <c r="L167" s="49">
        <f t="shared" si="46"/>
        <v>0.12657540754975516</v>
      </c>
      <c r="M167" s="49">
        <f t="shared" si="46"/>
        <v>0.12657540754975516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-0.38195668509070285</v>
      </c>
      <c r="H168" s="49">
        <f t="shared" si="46"/>
        <v>-0.38195668509070285</v>
      </c>
      <c r="I168" s="49">
        <f t="shared" si="46"/>
        <v>-0.38195668509070285</v>
      </c>
      <c r="J168" s="49">
        <f t="shared" si="46"/>
        <v>-0.38195668509070285</v>
      </c>
      <c r="K168" s="49">
        <f t="shared" si="46"/>
        <v>-0.38195668509070285</v>
      </c>
      <c r="L168" s="49">
        <f t="shared" si="46"/>
        <v>-0.38195668509070285</v>
      </c>
      <c r="M168" s="49">
        <f t="shared" si="46"/>
        <v>-0.38195668509070285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0.19408398963548201</v>
      </c>
      <c r="H169" s="49">
        <f t="shared" si="46"/>
        <v>0.19408398963548201</v>
      </c>
      <c r="I169" s="49">
        <f t="shared" si="46"/>
        <v>0.19408398963548201</v>
      </c>
      <c r="J169" s="49">
        <f t="shared" si="46"/>
        <v>0.19408398963548201</v>
      </c>
      <c r="K169" s="49">
        <f t="shared" si="46"/>
        <v>0.19408398963548201</v>
      </c>
      <c r="L169" s="49">
        <f t="shared" si="46"/>
        <v>0.19408398963548201</v>
      </c>
      <c r="M169" s="49">
        <f t="shared" si="46"/>
        <v>0.19408398963548201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0.1597645481501179</v>
      </c>
      <c r="H170" s="49">
        <f t="shared" si="46"/>
        <v>0.1597645481501179</v>
      </c>
      <c r="I170" s="49">
        <f t="shared" si="46"/>
        <v>0.1597645481501179</v>
      </c>
      <c r="J170" s="49">
        <f t="shared" si="46"/>
        <v>0.1597645481501179</v>
      </c>
      <c r="K170" s="49">
        <f t="shared" si="46"/>
        <v>0.1597645481501179</v>
      </c>
      <c r="L170" s="49">
        <f t="shared" si="46"/>
        <v>0.1597645481501179</v>
      </c>
      <c r="M170" s="49">
        <f t="shared" si="46"/>
        <v>0.1597645481501179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5.3965274109464501E-2</v>
      </c>
      <c r="H171" s="49">
        <f t="shared" si="46"/>
        <v>5.3965274109464501E-2</v>
      </c>
      <c r="I171" s="49">
        <f t="shared" si="46"/>
        <v>5.3965274109464501E-2</v>
      </c>
      <c r="J171" s="49">
        <f t="shared" si="46"/>
        <v>5.3965274109464501E-2</v>
      </c>
      <c r="K171" s="49">
        <f t="shared" si="46"/>
        <v>5.3965274109464501E-2</v>
      </c>
      <c r="L171" s="49">
        <f t="shared" si="46"/>
        <v>5.3965274109464501E-2</v>
      </c>
      <c r="M171" s="49">
        <f t="shared" si="46"/>
        <v>5.3965274109464501E-2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9.7205101496112833E-3</v>
      </c>
      <c r="H172" s="49">
        <f t="shared" si="46"/>
        <v>9.7205101496112833E-3</v>
      </c>
      <c r="I172" s="49">
        <f t="shared" si="46"/>
        <v>9.7205101496112833E-3</v>
      </c>
      <c r="J172" s="49">
        <f t="shared" si="46"/>
        <v>9.7205101496112833E-3</v>
      </c>
      <c r="K172" s="49">
        <f t="shared" si="46"/>
        <v>9.7205101496112833E-3</v>
      </c>
      <c r="L172" s="49">
        <f t="shared" si="46"/>
        <v>9.7205101496112833E-3</v>
      </c>
      <c r="M172" s="49">
        <f t="shared" si="46"/>
        <v>9.7205101496112833E-3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-1.6300306147759569E-4</v>
      </c>
      <c r="H173" s="49">
        <f t="shared" si="46"/>
        <v>-1.6300306147759569E-4</v>
      </c>
      <c r="I173" s="49">
        <f t="shared" si="46"/>
        <v>-1.6300306147759569E-4</v>
      </c>
      <c r="J173" s="49">
        <f t="shared" si="46"/>
        <v>-1.6300306147759569E-4</v>
      </c>
      <c r="K173" s="49">
        <f t="shared" si="46"/>
        <v>-1.6300306147759569E-4</v>
      </c>
      <c r="L173" s="49">
        <f t="shared" si="46"/>
        <v>-1.6300306147759569E-4</v>
      </c>
      <c r="M173" s="49">
        <f t="shared" si="46"/>
        <v>-1.6300306147759569E-4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0.13961842490702145</v>
      </c>
      <c r="H174" s="49">
        <f t="shared" si="46"/>
        <v>0.13961842490702145</v>
      </c>
      <c r="I174" s="49">
        <f t="shared" si="46"/>
        <v>0.13961842490702145</v>
      </c>
      <c r="J174" s="49">
        <f t="shared" si="46"/>
        <v>0.13961842490702145</v>
      </c>
      <c r="K174" s="49">
        <f t="shared" si="46"/>
        <v>0.13961842490702145</v>
      </c>
      <c r="L174" s="49">
        <f t="shared" si="46"/>
        <v>0.13961842490702145</v>
      </c>
      <c r="M174" s="49">
        <f t="shared" si="46"/>
        <v>0.13961842490702145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7.3163749094575195E-2</v>
      </c>
      <c r="H175" s="49">
        <f t="shared" si="46"/>
        <v>7.3163749094575195E-2</v>
      </c>
      <c r="I175" s="49">
        <f t="shared" si="46"/>
        <v>7.3163749094575195E-2</v>
      </c>
      <c r="J175" s="49">
        <f t="shared" si="46"/>
        <v>7.3163749094575195E-2</v>
      </c>
      <c r="K175" s="49">
        <f t="shared" si="46"/>
        <v>7.3163749094575195E-2</v>
      </c>
      <c r="L175" s="49">
        <f t="shared" si="46"/>
        <v>7.3163749094575195E-2</v>
      </c>
      <c r="M175" s="49">
        <f t="shared" si="46"/>
        <v>7.3163749094575195E-2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-0.199694320532977</v>
      </c>
      <c r="H176" s="49">
        <f t="shared" si="46"/>
        <v>-0.199694320532977</v>
      </c>
      <c r="I176" s="49">
        <f t="shared" si="46"/>
        <v>-0.199694320532977</v>
      </c>
      <c r="J176" s="49">
        <f t="shared" si="46"/>
        <v>-0.199694320532977</v>
      </c>
      <c r="K176" s="49">
        <f t="shared" si="46"/>
        <v>-0.199694320532977</v>
      </c>
      <c r="L176" s="49">
        <f t="shared" si="46"/>
        <v>-0.199694320532977</v>
      </c>
      <c r="M176" s="49">
        <f t="shared" si="46"/>
        <v>-0.199694320532977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0.2838741617953463</v>
      </c>
      <c r="H177" s="49">
        <f t="shared" si="46"/>
        <v>0.2838741617953463</v>
      </c>
      <c r="I177" s="49">
        <f t="shared" si="46"/>
        <v>0.2838741617953463</v>
      </c>
      <c r="J177" s="49">
        <f t="shared" si="46"/>
        <v>0.2838741617953463</v>
      </c>
      <c r="K177" s="49">
        <f t="shared" si="46"/>
        <v>0.2838741617953463</v>
      </c>
      <c r="L177" s="49">
        <f t="shared" si="46"/>
        <v>0.2838741617953463</v>
      </c>
      <c r="M177" s="49">
        <f t="shared" si="46"/>
        <v>0.2838741617953463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1.6324414371964677E-2</v>
      </c>
      <c r="H178" s="49">
        <f t="shared" si="46"/>
        <v>1.6324414371964677E-2</v>
      </c>
      <c r="I178" s="49">
        <f t="shared" si="46"/>
        <v>1.6324414371964677E-2</v>
      </c>
      <c r="J178" s="49">
        <f t="shared" si="46"/>
        <v>1.6324414371964677E-2</v>
      </c>
      <c r="K178" s="49">
        <f t="shared" si="46"/>
        <v>1.6324414371964677E-2</v>
      </c>
      <c r="L178" s="49">
        <f t="shared" si="46"/>
        <v>1.6324414371964677E-2</v>
      </c>
      <c r="M178" s="49">
        <f t="shared" si="46"/>
        <v>1.6324414371964677E-2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1.6954615724874465E-2</v>
      </c>
      <c r="H179" s="49">
        <f t="shared" si="46"/>
        <v>1.6954615724874465E-2</v>
      </c>
      <c r="I179" s="49">
        <f t="shared" si="46"/>
        <v>1.6954615724874465E-2</v>
      </c>
      <c r="J179" s="49">
        <f t="shared" si="46"/>
        <v>1.6954615724874465E-2</v>
      </c>
      <c r="K179" s="49">
        <f t="shared" si="46"/>
        <v>1.6954615724874465E-2</v>
      </c>
      <c r="L179" s="49">
        <f t="shared" si="46"/>
        <v>1.6954615724874465E-2</v>
      </c>
      <c r="M179" s="49">
        <f t="shared" si="46"/>
        <v>1.6954615724874465E-2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5.0763203155563333E-3</v>
      </c>
      <c r="H206" s="48">
        <f t="shared" ref="H206:K209" si="50">LN(H152/H184)</f>
        <v>-8.6457348639954273E-2</v>
      </c>
      <c r="I206" s="48">
        <f t="shared" si="50"/>
        <v>-9.040487821856702E-2</v>
      </c>
      <c r="J206" s="48">
        <f t="shared" si="50"/>
        <v>-4.8963387480395588E-2</v>
      </c>
      <c r="K206" s="48">
        <f t="shared" si="50"/>
        <v>-0.87996462572671064</v>
      </c>
      <c r="L206" s="48">
        <f t="shared" ref="L206:M206" si="51">LN(L152/L184)</f>
        <v>-0.87996462572671064</v>
      </c>
      <c r="M206" s="48">
        <f t="shared" si="51"/>
        <v>-0.87996462572671064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-1.0163235074106318</v>
      </c>
      <c r="H207" s="48">
        <f t="shared" si="50"/>
        <v>-1.0115427603330076</v>
      </c>
      <c r="I207" s="48">
        <f t="shared" si="50"/>
        <v>-1.0008295978916597</v>
      </c>
      <c r="J207" s="48">
        <f t="shared" si="50"/>
        <v>-0.9912996863964324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-1.2964831671529458</v>
      </c>
      <c r="H208" s="48">
        <f t="shared" si="50"/>
        <v>-1.2964831671529458</v>
      </c>
      <c r="I208" s="48">
        <f t="shared" si="50"/>
        <v>-1.2964831671529458</v>
      </c>
      <c r="J208" s="48">
        <f t="shared" si="50"/>
        <v>-1.2964831671529458</v>
      </c>
      <c r="K208" s="48">
        <f t="shared" si="50"/>
        <v>-1.2964831671529458</v>
      </c>
      <c r="L208" s="48">
        <f t="shared" ref="L208:M208" si="53">LN(L154/L186)</f>
        <v>-1.2964831671529458</v>
      </c>
      <c r="M208" s="48">
        <f t="shared" si="53"/>
        <v>-1.2964831671529458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-1.3396122007812572</v>
      </c>
      <c r="H209" s="48">
        <f t="shared" si="50"/>
        <v>-1.3446970856881493</v>
      </c>
      <c r="I209" s="48">
        <f t="shared" si="50"/>
        <v>-1.3283200409402696</v>
      </c>
      <c r="J209" s="48">
        <f t="shared" si="50"/>
        <v>-1.3373341915764216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1.2884513973064976E-5</v>
      </c>
      <c r="H210" s="48">
        <f t="shared" ref="H210:K213" si="55">H206*H206/2</f>
        <v>3.7374365669253016E-3</v>
      </c>
      <c r="I210" s="48">
        <f t="shared" si="55"/>
        <v>4.0865210028569665E-3</v>
      </c>
      <c r="J210" s="48">
        <f t="shared" si="55"/>
        <v>1.1987066567776797E-3</v>
      </c>
      <c r="K210" s="48">
        <f t="shared" si="55"/>
        <v>0.38716887126517496</v>
      </c>
      <c r="L210" s="48">
        <f t="shared" ref="L210:M210" si="56">L206*L206/2</f>
        <v>0.38716887126517496</v>
      </c>
      <c r="M210" s="48">
        <f t="shared" si="56"/>
        <v>0.38716887126517496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0.51645673585772434</v>
      </c>
      <c r="H211" s="48">
        <f t="shared" si="55"/>
        <v>0.51160937799106021</v>
      </c>
      <c r="I211" s="48">
        <f t="shared" si="55"/>
        <v>0.50082994200799058</v>
      </c>
      <c r="J211" s="48">
        <f t="shared" si="55"/>
        <v>0.49133753412483261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0.8404343013554666</v>
      </c>
      <c r="H212" s="48">
        <f t="shared" si="55"/>
        <v>0.8404343013554666</v>
      </c>
      <c r="I212" s="48">
        <f t="shared" si="55"/>
        <v>0.8404343013554666</v>
      </c>
      <c r="J212" s="48">
        <f t="shared" si="55"/>
        <v>0.8404343013554666</v>
      </c>
      <c r="K212" s="48">
        <f t="shared" si="55"/>
        <v>0.8404343013554666</v>
      </c>
      <c r="L212" s="48">
        <f t="shared" ref="L212:M212" si="58">L208*L208/2</f>
        <v>0.8404343013554666</v>
      </c>
      <c r="M212" s="48">
        <f t="shared" si="58"/>
        <v>0.8404343013554666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0.89728042424100163</v>
      </c>
      <c r="H213" s="48">
        <f t="shared" si="55"/>
        <v>0.90410512612910099</v>
      </c>
      <c r="I213" s="48">
        <f t="shared" si="55"/>
        <v>0.8822170655817797</v>
      </c>
      <c r="J213" s="48">
        <f t="shared" si="55"/>
        <v>0.89423136997968056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-5.1591836678460583E-3</v>
      </c>
      <c r="H214" s="48">
        <f t="shared" ref="H214:K214" si="60">H206*H207</f>
        <v>8.7455305094332553E-2</v>
      </c>
      <c r="I214" s="48">
        <f t="shared" si="60"/>
        <v>9.0479877914932894E-2</v>
      </c>
      <c r="J214" s="48">
        <f t="shared" si="60"/>
        <v>4.8537390654223155E-2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-6.5813638401953159E-3</v>
      </c>
      <c r="H215" s="48">
        <f t="shared" ref="H215:K215" si="62">H206*H208</f>
        <v>0.11209049718837434</v>
      </c>
      <c r="I215" s="48">
        <f t="shared" si="62"/>
        <v>0.11720840283888413</v>
      </c>
      <c r="J215" s="48">
        <f t="shared" si="62"/>
        <v>6.3480207675120165E-2</v>
      </c>
      <c r="K215" s="48">
        <f t="shared" si="62"/>
        <v>1.1408593249447223</v>
      </c>
      <c r="L215" s="48">
        <f t="shared" ref="L215:M215" si="63">L206*L208</f>
        <v>1.1408593249447223</v>
      </c>
      <c r="M215" s="48">
        <f t="shared" si="63"/>
        <v>1.1408593249447223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-6.8003006297930255E-3</v>
      </c>
      <c r="H216" s="48">
        <f t="shared" ref="H216:K216" si="64">H206*H209</f>
        <v>0.11625894475247078</v>
      </c>
      <c r="I216" s="48">
        <f t="shared" si="64"/>
        <v>0.12008661153648703</v>
      </c>
      <c r="J216" s="48">
        <f t="shared" si="64"/>
        <v>6.5480412212937919E-2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1.3176463197397263</v>
      </c>
      <c r="H217" s="48">
        <f t="shared" ref="H217:K217" si="66">H207*H208</f>
        <v>1.3114481616271709</v>
      </c>
      <c r="I217" s="48">
        <f t="shared" si="66"/>
        <v>1.2975587268549882</v>
      </c>
      <c r="J217" s="48">
        <f t="shared" si="66"/>
        <v>1.2852033570169685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1.3614793704680828</v>
      </c>
      <c r="H218" s="48">
        <f t="shared" ref="H218:K218" si="68">H207*H209</f>
        <v>1.3602186018687414</v>
      </c>
      <c r="I218" s="48">
        <f t="shared" si="68"/>
        <v>1.329422012445683</v>
      </c>
      <c r="J218" s="48">
        <f t="shared" si="68"/>
        <v>1.3256989647169333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1.7367846688256121</v>
      </c>
      <c r="H219" s="48">
        <f t="shared" ref="H219:K219" si="70">H208*H209</f>
        <v>1.7433771365143078</v>
      </c>
      <c r="I219" s="48">
        <f t="shared" si="70"/>
        <v>1.7221445736709713</v>
      </c>
      <c r="J219" s="48">
        <f t="shared" si="70"/>
        <v>1.7338312682369235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-1.7668864707607443</v>
      </c>
      <c r="H220" s="48">
        <f t="shared" ref="H220:K220" si="72">LN(H156/H198)</f>
        <v>-1.7587841097112153</v>
      </c>
      <c r="I220" s="48">
        <f t="shared" si="72"/>
        <v>-1.7517479990761693</v>
      </c>
      <c r="J220" s="48">
        <f t="shared" si="72"/>
        <v>-1.7455805143794199</v>
      </c>
      <c r="K220" s="48">
        <f t="shared" si="72"/>
        <v>-1.8027389282193684</v>
      </c>
      <c r="L220" s="48">
        <f t="shared" ref="L220:M220" si="73">LN(L156/L198)</f>
        <v>-1.859897342059317</v>
      </c>
      <c r="M220" s="48">
        <f t="shared" si="73"/>
        <v>-1.9170557558992656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0.84714199835500426</v>
      </c>
      <c r="H221" s="31">
        <f t="shared" ref="H221:K221" si="74">H157/H199</f>
        <v>0.10575427682737169</v>
      </c>
      <c r="I221" s="31">
        <f t="shared" si="74"/>
        <v>9.9533437013996903E-2</v>
      </c>
      <c r="J221" s="31">
        <f t="shared" si="74"/>
        <v>4.6656298600311043E-2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12.813463903341642</v>
      </c>
      <c r="H226" s="50">
        <f t="shared" ref="H226:K241" si="79">H162*H205</f>
        <v>12.813463903341642</v>
      </c>
      <c r="I226" s="50">
        <f t="shared" si="79"/>
        <v>12.813463903341642</v>
      </c>
      <c r="J226" s="50">
        <f t="shared" si="79"/>
        <v>12.813463903341642</v>
      </c>
      <c r="K226" s="50">
        <f t="shared" si="79"/>
        <v>12.813463903341642</v>
      </c>
      <c r="L226" s="50">
        <f t="shared" ref="L226:M226" si="80">L162*L205</f>
        <v>12.813463903341642</v>
      </c>
      <c r="M226" s="50">
        <f t="shared" si="80"/>
        <v>12.813463903341642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3.1823314202866428E-3</v>
      </c>
      <c r="H227" s="50">
        <f t="shared" si="79"/>
        <v>-5.4199877074039587E-2</v>
      </c>
      <c r="I227" s="50">
        <f t="shared" si="79"/>
        <v>-5.6674572646742721E-2</v>
      </c>
      <c r="J227" s="50">
        <f t="shared" si="79"/>
        <v>-3.0695014643782551E-2</v>
      </c>
      <c r="K227" s="50">
        <f t="shared" si="79"/>
        <v>-0.55164743418757001</v>
      </c>
      <c r="L227" s="50">
        <f t="shared" ref="L227:M227" si="81">L163*L206</f>
        <v>-0.55164743418757001</v>
      </c>
      <c r="M227" s="50">
        <f t="shared" si="81"/>
        <v>-0.55164743418757001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-0.45259512827354731</v>
      </c>
      <c r="H228" s="50">
        <f t="shared" si="79"/>
        <v>-0.450466138024809</v>
      </c>
      <c r="I228" s="50">
        <f t="shared" si="79"/>
        <v>-0.44569528987065121</v>
      </c>
      <c r="J228" s="50">
        <f t="shared" si="79"/>
        <v>-0.44145137394804601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-0.2107996160735762</v>
      </c>
      <c r="H229" s="50">
        <f t="shared" si="79"/>
        <v>-0.2107996160735762</v>
      </c>
      <c r="I229" s="50">
        <f t="shared" si="79"/>
        <v>-0.2107996160735762</v>
      </c>
      <c r="J229" s="50">
        <f t="shared" si="79"/>
        <v>-0.2107996160735762</v>
      </c>
      <c r="K229" s="50">
        <f t="shared" si="79"/>
        <v>-0.2107996160735762</v>
      </c>
      <c r="L229" s="50">
        <f t="shared" ref="L229:M229" si="83">L165*L208</f>
        <v>-0.2107996160735762</v>
      </c>
      <c r="M229" s="50">
        <f t="shared" si="83"/>
        <v>-0.2107996160735762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-0.13916105484557562</v>
      </c>
      <c r="H230" s="50">
        <f t="shared" si="79"/>
        <v>-0.13968928081052187</v>
      </c>
      <c r="I230" s="50">
        <f t="shared" si="79"/>
        <v>-0.13798800724714361</v>
      </c>
      <c r="J230" s="50">
        <f t="shared" si="79"/>
        <v>-0.13892441161128144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1.6308626072212144E-6</v>
      </c>
      <c r="H231" s="50">
        <f t="shared" si="79"/>
        <v>4.7306755664992784E-4</v>
      </c>
      <c r="I231" s="50">
        <f t="shared" si="79"/>
        <v>5.1725306139725465E-4</v>
      </c>
      <c r="J231" s="50">
        <f t="shared" si="79"/>
        <v>1.5172678361423928E-4</v>
      </c>
      <c r="K231" s="50">
        <f t="shared" si="79"/>
        <v>4.900605767096821E-2</v>
      </c>
      <c r="L231" s="50">
        <f t="shared" ref="L231:M231" si="85">L167*L210</f>
        <v>4.900605767096821E-2</v>
      </c>
      <c r="M231" s="50">
        <f t="shared" si="85"/>
        <v>4.900605767096821E-2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-0.19726410282098111</v>
      </c>
      <c r="H232" s="50">
        <f t="shared" si="79"/>
        <v>-0.19541262207878174</v>
      </c>
      <c r="I232" s="50">
        <f t="shared" si="79"/>
        <v>-0.19129534444354104</v>
      </c>
      <c r="J232" s="50">
        <f t="shared" si="79"/>
        <v>-0.18766965579496114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0.16311484223357794</v>
      </c>
      <c r="H233" s="50">
        <f t="shared" si="79"/>
        <v>0.16311484223357794</v>
      </c>
      <c r="I233" s="50">
        <f t="shared" si="79"/>
        <v>0.16311484223357794</v>
      </c>
      <c r="J233" s="50">
        <f t="shared" si="79"/>
        <v>0.16311484223357794</v>
      </c>
      <c r="K233" s="50">
        <f t="shared" si="79"/>
        <v>0.16311484223357794</v>
      </c>
      <c r="L233" s="50">
        <f t="shared" ref="L233:M233" si="87">L169*L212</f>
        <v>0.16311484223357794</v>
      </c>
      <c r="M233" s="50">
        <f t="shared" si="87"/>
        <v>0.16311484223357794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0.14335360154280971</v>
      </c>
      <c r="H234" s="50">
        <f t="shared" si="79"/>
        <v>0.14444394695622118</v>
      </c>
      <c r="I234" s="50">
        <f t="shared" si="79"/>
        <v>0.14094701085299596</v>
      </c>
      <c r="J234" s="50">
        <f t="shared" si="79"/>
        <v>0.14286647076646455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-2.7841676081638502E-4</v>
      </c>
      <c r="H235" s="50">
        <f t="shared" si="79"/>
        <v>4.7195495117425034E-3</v>
      </c>
      <c r="I235" s="50">
        <f t="shared" si="79"/>
        <v>4.882771413070237E-3</v>
      </c>
      <c r="J235" s="50">
        <f t="shared" si="79"/>
        <v>2.6193335912133128E-3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-6.3974214006903257E-5</v>
      </c>
      <c r="H236" s="50">
        <f t="shared" si="79"/>
        <v>1.0895768155945679E-3</v>
      </c>
      <c r="I236" s="50">
        <f t="shared" si="79"/>
        <v>1.1393254694151013E-3</v>
      </c>
      <c r="J236" s="50">
        <f t="shared" si="79"/>
        <v>6.170600030054377E-4</v>
      </c>
      <c r="K236" s="50">
        <f t="shared" si="79"/>
        <v>1.108973464740385E-2</v>
      </c>
      <c r="L236" s="50">
        <f t="shared" ref="L236:M236" si="90">L172*L215</f>
        <v>1.108973464740385E-2</v>
      </c>
      <c r="M236" s="50">
        <f t="shared" si="90"/>
        <v>1.108973464740385E-2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1.1084698216242853E-6</v>
      </c>
      <c r="H237" s="50">
        <f t="shared" si="79"/>
        <v>-1.8950563918807395E-5</v>
      </c>
      <c r="I237" s="50">
        <f t="shared" si="79"/>
        <v>-1.9574485322918148E-5</v>
      </c>
      <c r="J237" s="50">
        <f t="shared" si="79"/>
        <v>-1.0673507657523828E-5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0.18396770374659416</v>
      </c>
      <c r="H238" s="50">
        <f t="shared" si="79"/>
        <v>0.1831023266735945</v>
      </c>
      <c r="I238" s="50">
        <f t="shared" si="79"/>
        <v>0.18116310566785351</v>
      </c>
      <c r="J238" s="50">
        <f t="shared" si="79"/>
        <v>0.1794380683919255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9.9610935058367003E-2</v>
      </c>
      <c r="H239" s="50">
        <f t="shared" si="79"/>
        <v>9.9518692500898467E-2</v>
      </c>
      <c r="I239" s="50">
        <f t="shared" si="79"/>
        <v>9.7265498559381172E-2</v>
      </c>
      <c r="J239" s="50">
        <f t="shared" si="79"/>
        <v>9.6993106429487802E-2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-0.34682603435322212</v>
      </c>
      <c r="H240" s="50">
        <f t="shared" si="79"/>
        <v>-0.3481425127089518</v>
      </c>
      <c r="I240" s="50">
        <f t="shared" si="79"/>
        <v>-0.34390249049877797</v>
      </c>
      <c r="J240" s="50">
        <f t="shared" si="79"/>
        <v>-0.34623625702940225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-0.50157341587474391</v>
      </c>
      <c r="H241" s="50">
        <f t="shared" si="79"/>
        <v>-0.49927336492324564</v>
      </c>
      <c r="I241" s="50">
        <f t="shared" si="79"/>
        <v>-0.49727599491442265</v>
      </c>
      <c r="J241" s="50">
        <f t="shared" si="79"/>
        <v>-0.49552520536574723</v>
      </c>
      <c r="K241" s="50">
        <f t="shared" si="79"/>
        <v>-0.51175100218411418</v>
      </c>
      <c r="L241" s="50">
        <f t="shared" ref="L241:M241" si="95">L177*L220</f>
        <v>-0.52797679900248107</v>
      </c>
      <c r="M241" s="50">
        <f t="shared" si="95"/>
        <v>-0.54420259582084807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1.3829097013041308E-2</v>
      </c>
      <c r="H242" s="50">
        <f t="shared" ref="H242:K243" si="96">H178*H221</f>
        <v>1.7263766365374774E-3</v>
      </c>
      <c r="I242" s="50">
        <f t="shared" si="96"/>
        <v>1.6248250696823321E-3</v>
      </c>
      <c r="J242" s="50">
        <f t="shared" si="96"/>
        <v>7.6163675141359302E-4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0.15259154152387019</v>
      </c>
      <c r="H243" s="50">
        <f t="shared" si="96"/>
        <v>0.16954615724874467</v>
      </c>
      <c r="I243" s="50">
        <f t="shared" si="96"/>
        <v>0.18650077297361911</v>
      </c>
      <c r="J243" s="50">
        <f t="shared" si="96"/>
        <v>0.20345538869849358</v>
      </c>
      <c r="K243" s="50">
        <f t="shared" si="96"/>
        <v>0.22041000442336806</v>
      </c>
      <c r="L243" s="50">
        <f t="shared" ref="L243:M243" si="98">L179*L222</f>
        <v>0.2373646201482425</v>
      </c>
      <c r="M243" s="50">
        <f t="shared" si="98"/>
        <v>0.254319235873117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11.724554951996151</v>
      </c>
      <c r="H245" s="44">
        <f t="shared" ref="H245:K245" si="99">SUM(H226:H243)</f>
        <v>11.683196077217357</v>
      </c>
      <c r="I245" s="44">
        <f t="shared" si="99"/>
        <v>11.706968418462456</v>
      </c>
      <c r="J245" s="44">
        <f t="shared" si="99"/>
        <v>11.752169329016382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123568.99610878318</v>
      </c>
      <c r="H246" s="8">
        <f t="shared" ref="H246:K246" si="101">EXP(H245)</f>
        <v>118562.56527341514</v>
      </c>
      <c r="I246" s="8">
        <f t="shared" si="101"/>
        <v>121414.84337515075</v>
      </c>
      <c r="J246" s="8">
        <f t="shared" si="101"/>
        <v>127028.82764539706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108.50108798733301</v>
      </c>
      <c r="H247" s="21">
        <f t="shared" ref="H247:K247" si="103">H137</f>
        <v>111.13078267404534</v>
      </c>
      <c r="I247" s="21">
        <f t="shared" si="103"/>
        <v>113.82421215156576</v>
      </c>
      <c r="J247" s="21">
        <f t="shared" si="103"/>
        <v>116.58292113289076</v>
      </c>
      <c r="K247" s="21">
        <f t="shared" si="103"/>
        <v>116.58292113289076</v>
      </c>
      <c r="L247" s="21">
        <f t="shared" ref="L247:M247" si="104">L137</f>
        <v>116.58292113289076</v>
      </c>
      <c r="M247" s="21">
        <f t="shared" si="104"/>
        <v>116.58292113289076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13407370.519305494</v>
      </c>
      <c r="H248" s="8">
        <f>H246*H247</f>
        <v>13175950.674677212</v>
      </c>
      <c r="I248" s="8">
        <f t="shared" ref="I248:K248" si="105">I246*I247</f>
        <v>13819948.890682288</v>
      </c>
      <c r="J248" s="8">
        <f t="shared" si="105"/>
        <v>14809391.7949869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12627248.918289274</v>
      </c>
      <c r="H256" s="60">
        <f t="shared" ref="H256:K256" si="108">H121</f>
        <v>12861749.680675695</v>
      </c>
      <c r="I256" s="60">
        <f t="shared" si="108"/>
        <v>13552196.580359038</v>
      </c>
      <c r="J256" s="60">
        <f t="shared" si="108"/>
        <v>13792407.214895107</v>
      </c>
      <c r="K256" s="60">
        <f t="shared" si="108"/>
        <v>3325831.9550287314</v>
      </c>
      <c r="L256" s="60">
        <f t="shared" ref="L256:M256" si="109">L121</f>
        <v>3173176.2682929127</v>
      </c>
      <c r="M256" s="60">
        <f t="shared" si="109"/>
        <v>3027527.4775782679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13407370.519305494</v>
      </c>
      <c r="H257" s="60">
        <f t="shared" ref="H257:K257" si="111">H248</f>
        <v>13175950.674677212</v>
      </c>
      <c r="I257" s="60">
        <f t="shared" si="111"/>
        <v>13819948.890682288</v>
      </c>
      <c r="J257" s="60">
        <f t="shared" si="111"/>
        <v>14809391.7949869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-780121.60101621971</v>
      </c>
      <c r="H258" s="25">
        <f t="shared" ref="H258:K258" si="114">H256-H257</f>
        <v>-314200.99400151707</v>
      </c>
      <c r="I258" s="25">
        <f t="shared" si="114"/>
        <v>-267752.31032324955</v>
      </c>
      <c r="J258" s="25">
        <f t="shared" si="114"/>
        <v>-1016984.5800917931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-5.8186025357687382E-2</v>
      </c>
      <c r="H259" s="61">
        <f t="shared" ref="H259:K259" si="117">H258/H257</f>
        <v>-2.3846552082604427E-2</v>
      </c>
      <c r="I259" s="61">
        <f t="shared" si="117"/>
        <v>-1.9374334336632316E-2</v>
      </c>
      <c r="J259" s="61">
        <f t="shared" si="117"/>
        <v>-6.8671596657740572E-2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-5.9947503055636536E-2</v>
      </c>
      <c r="H261" s="64">
        <f t="shared" ref="H261:K261" si="119">LN(H256/H257)</f>
        <v>-2.413548370016667E-2</v>
      </c>
      <c r="I261" s="64">
        <f t="shared" si="119"/>
        <v>-1.9564476679653987E-2</v>
      </c>
      <c r="J261" s="64">
        <f t="shared" si="119"/>
        <v>-7.1143321323807435E-2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A4" zoomScale="80" zoomScaleNormal="80" workbookViewId="0">
      <selection activeCell="I12" sqref="I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4" t="s">
        <v>168</v>
      </c>
      <c r="D2" s="224"/>
      <c r="E2" s="224"/>
      <c r="F2" s="224"/>
      <c r="G2" s="224"/>
      <c r="H2" s="224"/>
      <c r="I2" s="224"/>
      <c r="J2" s="224"/>
      <c r="K2" s="224"/>
    </row>
    <row r="3" spans="3:17" s="92" customFormat="1" ht="23.25" customHeight="1" x14ac:dyDescent="0.25">
      <c r="C3" s="234" t="str">
        <f>'Model Inputs'!F5</f>
        <v>Westario Power Inc.</v>
      </c>
      <c r="D3" s="234"/>
      <c r="E3" s="234"/>
      <c r="F3" s="234"/>
      <c r="G3" s="234"/>
      <c r="H3" s="234"/>
      <c r="I3" s="234"/>
      <c r="J3" s="234"/>
      <c r="K3" s="234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185</v>
      </c>
      <c r="H7" s="14" t="s">
        <v>186</v>
      </c>
      <c r="I7" s="38" t="s">
        <v>277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12627248.918289274</v>
      </c>
      <c r="G10" s="86">
        <f>'Benchmarking Calculations'!H121</f>
        <v>12861749.680675695</v>
      </c>
      <c r="H10" s="86">
        <f>'Benchmarking Calculations'!I121</f>
        <v>13552196.580359038</v>
      </c>
      <c r="I10" s="91">
        <f>IF(ISNUMBER(I12),'Benchmarking Calculations'!J121,"na")</f>
        <v>13792407.214895107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13407370.519305494</v>
      </c>
      <c r="G12" s="86">
        <f>'Benchmarking Calculations'!H257</f>
        <v>13175950.674677212</v>
      </c>
      <c r="H12" s="86">
        <f>'Benchmarking Calculations'!I257</f>
        <v>13819948.890682288</v>
      </c>
      <c r="I12" s="91">
        <f>IF(ISNUMBER('Benchmarking Calculations'!J257),'Benchmarking Calculations'!J257,"na")</f>
        <v>14809391.7949869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-780121.60101621971</v>
      </c>
      <c r="G14" s="86">
        <f t="shared" si="0"/>
        <v>-314200.99400151707</v>
      </c>
      <c r="H14" s="86">
        <f t="shared" si="0"/>
        <v>-267752.31032324955</v>
      </c>
      <c r="I14" s="91">
        <f>IF(ISNUMBER(I12),I10-I12,"na")</f>
        <v>-1016984.5800917931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-5.9947503055636536E-2</v>
      </c>
      <c r="G16" s="167">
        <f>LN(G10/G12)</f>
        <v>-2.413548370016667E-2</v>
      </c>
      <c r="H16" s="167">
        <f t="shared" ref="H16" si="2">LN(H10/H12)</f>
        <v>-1.9564476679653987E-2</v>
      </c>
      <c r="I16" s="148">
        <f>IF(ISNUMBER(I14),LN(I10/I12),"na")</f>
        <v>-7.1143321323807435E-2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-3.4549154478485729E-2</v>
      </c>
      <c r="I18" s="66">
        <f>IF(ISNUMBER(I16),AVERAGE(G16:I16),"na")</f>
        <v>-3.8281093901209366E-2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5">IF(ISNUMBER(J16),IF(J16&lt;-0.25,1,IF(J16&lt;-0.1,2,IF(J16&lt;0.1,3,IF(J16&lt;0.25,4,5)))),"na")</f>
        <v>na</v>
      </c>
      <c r="K22" s="149" t="str">
        <f t="shared" si="5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2018-04-18T22:22:41Z</dcterms:modified>
</cp:coreProperties>
</file>