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05" windowWidth="10275" windowHeight="7875" tabRatio="768" firstSheet="6" activeTab="7"/>
  </bookViews>
  <sheets>
    <sheet name="1. Information Sheet" sheetId="13" r:id="rId1"/>
    <sheet name="3. Rate Class Selection" sheetId="3" r:id="rId2"/>
    <sheet name="4. Growth Factor - NUM_CALC1" sheetId="4" r:id="rId3"/>
    <sheet name="5. Growth Factor - NUM_CALC2" sheetId="6" r:id="rId4"/>
    <sheet name="6. Rev_Requ_Check" sheetId="7" r:id="rId5"/>
    <sheet name="7. Growth Factor - DEN_CALC1" sheetId="8" r:id="rId6"/>
    <sheet name="8. Revenue Proportions" sheetId="9" r:id="rId7"/>
    <sheet name="9. Threshold Test" sheetId="1" r:id="rId8"/>
    <sheet name="10b. Proposed ACM ICM Projects" sheetId="10" r:id="rId9"/>
    <sheet name="11. Incremental Capital Adj." sheetId="11" r:id="rId10"/>
    <sheet name="12. Opt 1-Rate Rider Calc F &amp; V" sheetId="12" r:id="rId11"/>
  </sheets>
  <externalReferences>
    <externalReference r:id="rId12"/>
    <externalReference r:id="rId13"/>
    <externalReference r:id="rId14"/>
  </externalReferences>
  <definedNames>
    <definedName name="d">'9. Threshold Test'!$E$51</definedName>
    <definedName name="g">'9. Threshold Test'!$E$20</definedName>
    <definedName name="LDCNAMES">[1]lists!$AL$1:$AL$78</definedName>
    <definedName name="PCI">'9. Threshold Test'!$E$16</definedName>
    <definedName name="_xlnm.Print_Area" localSheetId="0">'1. Information Sheet'!$A$1:$Q$67</definedName>
    <definedName name="_xlnm.Print_Area" localSheetId="10">'12. Opt 1-Rate Rider Calc F &amp; V'!$A$7:$Q$25</definedName>
    <definedName name="_xlnm.Print_Area" localSheetId="7">'9. Threshold Test'!$A$1:$F$69</definedName>
    <definedName name="Rate_Class">[1]lists!$A$1:$A$104</definedName>
    <definedName name="RB">'9. Threshold Test'!$E$49</definedName>
    <definedName name="Units1">[1]lists!$O$2:$O$4</definedName>
  </definedNames>
  <calcPr calcId="145621"/>
</workbook>
</file>

<file path=xl/calcChain.xml><?xml version="1.0" encoding="utf-8"?>
<calcChain xmlns="http://schemas.openxmlformats.org/spreadsheetml/2006/main">
  <c r="E16" i="1" l="1"/>
  <c r="O61" i="10" l="1"/>
  <c r="N61" i="10"/>
  <c r="G25" i="10"/>
  <c r="G16" i="10" l="1"/>
  <c r="E19" i="1" l="1"/>
  <c r="E18" i="1"/>
  <c r="E46" i="1"/>
  <c r="E45" i="1"/>
  <c r="E37" i="1"/>
  <c r="E36" i="1"/>
  <c r="E35" i="1"/>
  <c r="E34" i="1"/>
  <c r="E33" i="1"/>
  <c r="E29" i="1"/>
  <c r="E28" i="1"/>
  <c r="E27" i="1"/>
  <c r="E26" i="1"/>
  <c r="E25" i="1"/>
  <c r="E24" i="1"/>
  <c r="E23" i="1"/>
  <c r="I23" i="9"/>
  <c r="I21" i="9"/>
  <c r="I20" i="9"/>
  <c r="I19" i="9"/>
  <c r="H23" i="9"/>
  <c r="H22" i="9"/>
  <c r="H21" i="9"/>
  <c r="H20" i="9"/>
  <c r="H19" i="9"/>
  <c r="H18" i="9"/>
  <c r="H17" i="9"/>
  <c r="G23" i="9"/>
  <c r="G22" i="9"/>
  <c r="G21" i="9"/>
  <c r="G20" i="9"/>
  <c r="G19" i="9"/>
  <c r="G18" i="9"/>
  <c r="G17" i="9"/>
  <c r="I23" i="8" l="1"/>
  <c r="I22" i="8"/>
  <c r="I21" i="8"/>
  <c r="I20" i="8"/>
  <c r="I19" i="8"/>
  <c r="I18" i="8"/>
  <c r="I17" i="8"/>
  <c r="H23" i="8"/>
  <c r="H22" i="8"/>
  <c r="H21" i="8"/>
  <c r="H20" i="8"/>
  <c r="H19" i="8"/>
  <c r="H18" i="8"/>
  <c r="H17" i="8"/>
  <c r="G23" i="8"/>
  <c r="G22" i="8"/>
  <c r="G21" i="8"/>
  <c r="G20" i="8"/>
  <c r="G19" i="8"/>
  <c r="G18" i="8"/>
  <c r="G17" i="8"/>
  <c r="A28" i="13" l="1"/>
  <c r="J100" i="13"/>
  <c r="F116" i="13" s="1"/>
  <c r="K97" i="13"/>
  <c r="K101" i="13" s="1"/>
  <c r="J97" i="13"/>
  <c r="J101" i="13" s="1"/>
  <c r="I97" i="13"/>
  <c r="E115" i="13" s="1"/>
  <c r="H97" i="13"/>
  <c r="H100" i="13" s="1"/>
  <c r="K96" i="13"/>
  <c r="J96" i="13"/>
  <c r="I96" i="13"/>
  <c r="H96" i="13"/>
  <c r="D95" i="13"/>
  <c r="F95" i="13" s="1"/>
  <c r="B95" i="13"/>
  <c r="B96" i="13" s="1"/>
  <c r="B101" i="13" s="1"/>
  <c r="B105" i="13" s="1"/>
  <c r="F46" i="13"/>
  <c r="F38" i="13"/>
  <c r="E32" i="13"/>
  <c r="A30" i="13"/>
  <c r="AA1" i="13"/>
  <c r="E114" i="13" l="1"/>
  <c r="F34" i="13" s="1"/>
  <c r="B100" i="13"/>
  <c r="B104" i="13" s="1"/>
  <c r="B106" i="13" s="1"/>
  <c r="B103" i="13" s="1"/>
  <c r="G116" i="13"/>
  <c r="J105" i="13"/>
  <c r="I101" i="13"/>
  <c r="I105" i="13" s="1"/>
  <c r="E116" i="13"/>
  <c r="F97" i="13"/>
  <c r="F96" i="13"/>
  <c r="G95" i="13"/>
  <c r="G117" i="13"/>
  <c r="K105" i="13"/>
  <c r="H104" i="13"/>
  <c r="F114" i="13"/>
  <c r="E117" i="13"/>
  <c r="E95" i="13"/>
  <c r="D97" i="13"/>
  <c r="I100" i="13"/>
  <c r="H101" i="13"/>
  <c r="J104" i="13"/>
  <c r="D96" i="13"/>
  <c r="D101" i="13" s="1"/>
  <c r="K100" i="13"/>
  <c r="M24" i="12"/>
  <c r="L24" i="12"/>
  <c r="K24" i="12"/>
  <c r="M23" i="12"/>
  <c r="M21" i="12"/>
  <c r="M20" i="12"/>
  <c r="M19" i="12"/>
  <c r="L23" i="12"/>
  <c r="L22" i="12"/>
  <c r="L21" i="12"/>
  <c r="L20" i="12"/>
  <c r="L19" i="12"/>
  <c r="L18" i="12"/>
  <c r="L17" i="12"/>
  <c r="K23" i="12"/>
  <c r="K22" i="12"/>
  <c r="K21" i="12"/>
  <c r="K20" i="12"/>
  <c r="K19" i="12"/>
  <c r="K18" i="12"/>
  <c r="K17" i="12"/>
  <c r="J106" i="13" l="1"/>
  <c r="G115" i="13"/>
  <c r="D100" i="13"/>
  <c r="E110" i="13"/>
  <c r="F117" i="13"/>
  <c r="K104" i="13"/>
  <c r="K106" i="13" s="1"/>
  <c r="H105" i="13"/>
  <c r="H106" i="13" s="1"/>
  <c r="G114" i="13"/>
  <c r="E112" i="13"/>
  <c r="F101" i="13"/>
  <c r="F100" i="13"/>
  <c r="D105" i="13"/>
  <c r="G110" i="13"/>
  <c r="I104" i="13"/>
  <c r="I106" i="13" s="1"/>
  <c r="F115" i="13"/>
  <c r="G97" i="13"/>
  <c r="G96" i="13"/>
  <c r="E97" i="13"/>
  <c r="E96" i="13"/>
  <c r="E101" i="13" s="1"/>
  <c r="E105" i="13" l="1"/>
  <c r="G111" i="13"/>
  <c r="F112" i="13"/>
  <c r="F104" i="13"/>
  <c r="E111" i="13"/>
  <c r="E100" i="13"/>
  <c r="G112" i="13"/>
  <c r="F105" i="13"/>
  <c r="D104" i="13"/>
  <c r="D106" i="13" s="1"/>
  <c r="F110" i="13"/>
  <c r="G101" i="13"/>
  <c r="G100" i="13"/>
  <c r="E113" i="13"/>
  <c r="E18" i="11"/>
  <c r="A28" i="10"/>
  <c r="G113" i="13" l="1"/>
  <c r="I49" i="13" s="1"/>
  <c r="G105" i="13"/>
  <c r="E104" i="13"/>
  <c r="E106" i="13" s="1"/>
  <c r="F111" i="13"/>
  <c r="F113" i="13"/>
  <c r="I48" i="13" s="1"/>
  <c r="G104" i="13"/>
  <c r="F106" i="13"/>
  <c r="G22" i="10"/>
  <c r="F22" i="10"/>
  <c r="E22" i="10"/>
  <c r="D22" i="10"/>
  <c r="G106" i="13" l="1"/>
  <c r="C37" i="11"/>
  <c r="C35" i="11"/>
  <c r="C30" i="11"/>
  <c r="C29" i="11"/>
  <c r="C27" i="11"/>
  <c r="C26" i="11"/>
  <c r="O80" i="10"/>
  <c r="N80" i="10"/>
  <c r="L80" i="10"/>
  <c r="K80" i="10"/>
  <c r="I80" i="10"/>
  <c r="H80" i="10"/>
  <c r="F80" i="10"/>
  <c r="E80" i="10"/>
  <c r="M78" i="10"/>
  <c r="J78" i="10"/>
  <c r="G78" i="10"/>
  <c r="D78" i="10"/>
  <c r="B78" i="10"/>
  <c r="A78" i="10"/>
  <c r="M77" i="10"/>
  <c r="J77" i="10"/>
  <c r="G77" i="10"/>
  <c r="D77" i="10"/>
  <c r="B77" i="10"/>
  <c r="A77" i="10"/>
  <c r="M76" i="10"/>
  <c r="J76" i="10"/>
  <c r="G76" i="10"/>
  <c r="D76" i="10"/>
  <c r="B76" i="10"/>
  <c r="A76" i="10"/>
  <c r="M75" i="10"/>
  <c r="J75" i="10"/>
  <c r="G75" i="10"/>
  <c r="D75" i="10"/>
  <c r="B75" i="10"/>
  <c r="A75" i="10"/>
  <c r="M74" i="10"/>
  <c r="J74" i="10"/>
  <c r="G74" i="10"/>
  <c r="D74" i="10"/>
  <c r="B74" i="10"/>
  <c r="A74" i="10"/>
  <c r="M73" i="10"/>
  <c r="J73" i="10"/>
  <c r="G73" i="10"/>
  <c r="D73" i="10"/>
  <c r="B73" i="10"/>
  <c r="A73" i="10"/>
  <c r="M72" i="10"/>
  <c r="J72" i="10"/>
  <c r="G72" i="10"/>
  <c r="D72" i="10"/>
  <c r="B72" i="10"/>
  <c r="A72" i="10"/>
  <c r="J71" i="10"/>
  <c r="G71" i="10"/>
  <c r="D71" i="10"/>
  <c r="A71" i="10"/>
  <c r="J70" i="10"/>
  <c r="G70" i="10"/>
  <c r="D70" i="10"/>
  <c r="A70" i="10"/>
  <c r="J69" i="10"/>
  <c r="G69" i="10"/>
  <c r="D69" i="10"/>
  <c r="A69" i="10"/>
  <c r="J68" i="10"/>
  <c r="G68" i="10"/>
  <c r="D68" i="10"/>
  <c r="A68" i="10"/>
  <c r="J67" i="10"/>
  <c r="G67" i="10"/>
  <c r="D67" i="10"/>
  <c r="A67" i="10"/>
  <c r="J66" i="10"/>
  <c r="G66" i="10"/>
  <c r="D66" i="10"/>
  <c r="A66" i="10"/>
  <c r="J65" i="10"/>
  <c r="G65" i="10"/>
  <c r="D65" i="10"/>
  <c r="A65" i="10"/>
  <c r="M64" i="10"/>
  <c r="J64" i="10"/>
  <c r="G64" i="10"/>
  <c r="D64" i="10"/>
  <c r="B64" i="10"/>
  <c r="J63" i="10"/>
  <c r="G63" i="10"/>
  <c r="D63" i="10"/>
  <c r="B63" i="10"/>
  <c r="A63" i="10"/>
  <c r="J62" i="10"/>
  <c r="G62" i="10"/>
  <c r="D62" i="10"/>
  <c r="B62" i="10"/>
  <c r="A62" i="10"/>
  <c r="J61" i="10"/>
  <c r="G61" i="10"/>
  <c r="D61" i="10"/>
  <c r="B61" i="10"/>
  <c r="A61" i="10"/>
  <c r="J60" i="10"/>
  <c r="G60" i="10"/>
  <c r="D60" i="10"/>
  <c r="B60" i="10"/>
  <c r="A60" i="10"/>
  <c r="C58" i="10"/>
  <c r="M51" i="10"/>
  <c r="J51" i="10"/>
  <c r="G51" i="10"/>
  <c r="D51" i="10"/>
  <c r="C51" i="10"/>
  <c r="F44" i="10"/>
  <c r="E44" i="10"/>
  <c r="D44" i="10"/>
  <c r="H42" i="10"/>
  <c r="H41" i="10"/>
  <c r="H40" i="10"/>
  <c r="H39" i="10"/>
  <c r="H38" i="10"/>
  <c r="H37" i="10"/>
  <c r="H36" i="10"/>
  <c r="H28" i="10"/>
  <c r="C23" i="10"/>
  <c r="E58" i="10"/>
  <c r="C50" i="10"/>
  <c r="M23" i="9"/>
  <c r="L23" i="9"/>
  <c r="K23" i="9"/>
  <c r="N23" i="9" s="1"/>
  <c r="M22" i="9"/>
  <c r="L22" i="9"/>
  <c r="K22" i="9"/>
  <c r="N22" i="9" s="1"/>
  <c r="M21" i="9"/>
  <c r="L21" i="9"/>
  <c r="K21" i="9"/>
  <c r="M20" i="9"/>
  <c r="L20" i="9"/>
  <c r="K20" i="9"/>
  <c r="N20" i="9" s="1"/>
  <c r="M19" i="9"/>
  <c r="L19" i="9"/>
  <c r="K19" i="9"/>
  <c r="N19" i="9" s="1"/>
  <c r="M18" i="9"/>
  <c r="L18" i="9"/>
  <c r="K18" i="9"/>
  <c r="N18" i="9" s="1"/>
  <c r="M17" i="9"/>
  <c r="M24" i="9" s="1"/>
  <c r="L17" i="9"/>
  <c r="K17" i="9"/>
  <c r="N17" i="9" s="1"/>
  <c r="E24" i="8"/>
  <c r="D24" i="8"/>
  <c r="C24" i="8"/>
  <c r="M23" i="8"/>
  <c r="L23" i="8"/>
  <c r="K23" i="8"/>
  <c r="N23" i="8" s="1"/>
  <c r="M22" i="8"/>
  <c r="L22" i="8"/>
  <c r="K22" i="8"/>
  <c r="M21" i="8"/>
  <c r="L21" i="8"/>
  <c r="K21" i="8"/>
  <c r="M20" i="8"/>
  <c r="L20" i="8"/>
  <c r="K20" i="8"/>
  <c r="M19" i="8"/>
  <c r="L19" i="8"/>
  <c r="K19" i="8"/>
  <c r="M18" i="8"/>
  <c r="L18" i="8"/>
  <c r="N18" i="8" s="1"/>
  <c r="K18" i="8"/>
  <c r="N17" i="8"/>
  <c r="M17" i="8"/>
  <c r="L17" i="8"/>
  <c r="K17" i="8"/>
  <c r="E60" i="7"/>
  <c r="E55" i="7"/>
  <c r="C38" i="7"/>
  <c r="E31" i="7"/>
  <c r="E24" i="7"/>
  <c r="C23" i="7"/>
  <c r="C16" i="7"/>
  <c r="E17" i="7" s="1"/>
  <c r="E26" i="7" s="1"/>
  <c r="E33" i="7" s="1"/>
  <c r="E24" i="6"/>
  <c r="D24" i="6"/>
  <c r="C24" i="6"/>
  <c r="N23" i="6"/>
  <c r="M23" i="6"/>
  <c r="R23" i="6" s="1"/>
  <c r="K23" i="6"/>
  <c r="L22" i="6"/>
  <c r="K22" i="6"/>
  <c r="M21" i="6"/>
  <c r="K21" i="6"/>
  <c r="M20" i="6"/>
  <c r="K20" i="6"/>
  <c r="N20" i="6" s="1"/>
  <c r="N19" i="6"/>
  <c r="Q19" i="6" s="1"/>
  <c r="M19" i="6"/>
  <c r="R19" i="6" s="1"/>
  <c r="K19" i="6"/>
  <c r="L18" i="6"/>
  <c r="K18" i="6"/>
  <c r="L17" i="6"/>
  <c r="L24" i="6" s="1"/>
  <c r="K17" i="6"/>
  <c r="A12" i="6"/>
  <c r="A13" i="4"/>
  <c r="P33" i="3"/>
  <c r="P32" i="3"/>
  <c r="P31" i="3"/>
  <c r="P30" i="3"/>
  <c r="P29" i="3"/>
  <c r="P28" i="3"/>
  <c r="P27" i="3"/>
  <c r="P26" i="3"/>
  <c r="P25" i="3"/>
  <c r="P24" i="3"/>
  <c r="P23" i="3"/>
  <c r="P22" i="3"/>
  <c r="P21" i="3"/>
  <c r="P20" i="3"/>
  <c r="P19" i="3"/>
  <c r="N21" i="9" l="1"/>
  <c r="N24" i="9" s="1"/>
  <c r="L24" i="9"/>
  <c r="N22" i="8"/>
  <c r="N21" i="8"/>
  <c r="N20" i="8"/>
  <c r="L24" i="8"/>
  <c r="K24" i="8"/>
  <c r="N19" i="8"/>
  <c r="Q19" i="3"/>
  <c r="G80" i="10"/>
  <c r="J80" i="10"/>
  <c r="D80" i="10"/>
  <c r="E23" i="11"/>
  <c r="E45" i="11" s="1"/>
  <c r="E52" i="11" s="1"/>
  <c r="E54" i="11"/>
  <c r="E50" i="10"/>
  <c r="E15" i="10"/>
  <c r="D23" i="10"/>
  <c r="K24" i="9"/>
  <c r="M24" i="8"/>
  <c r="E38" i="7"/>
  <c r="E42" i="7" s="1"/>
  <c r="E37" i="7"/>
  <c r="E41" i="7" s="1"/>
  <c r="E36" i="7"/>
  <c r="E40" i="7" s="1"/>
  <c r="E43" i="7" s="1"/>
  <c r="E62" i="7"/>
  <c r="E67" i="7" s="1"/>
  <c r="E69" i="7" s="1"/>
  <c r="Q20" i="6"/>
  <c r="P20" i="6"/>
  <c r="R20" i="6"/>
  <c r="Q22" i="6"/>
  <c r="P22" i="6"/>
  <c r="K24" i="6"/>
  <c r="N18" i="6"/>
  <c r="P18" i="6" s="1"/>
  <c r="P19" i="6"/>
  <c r="N22" i="6"/>
  <c r="P23" i="6"/>
  <c r="N17" i="6"/>
  <c r="N21" i="6"/>
  <c r="P21" i="6" s="1"/>
  <c r="Q23" i="6"/>
  <c r="M24" i="6"/>
  <c r="C65" i="1"/>
  <c r="E20" i="1"/>
  <c r="C64" i="1"/>
  <c r="C63" i="1"/>
  <c r="C62" i="1"/>
  <c r="C61" i="1"/>
  <c r="E51" i="1"/>
  <c r="C9" i="1"/>
  <c r="Q21" i="9" l="1"/>
  <c r="D21" i="12" s="1"/>
  <c r="S17" i="9"/>
  <c r="Q17" i="9"/>
  <c r="D17" i="12" s="1"/>
  <c r="S22" i="9"/>
  <c r="S23" i="9"/>
  <c r="P18" i="9"/>
  <c r="C18" i="12" s="1"/>
  <c r="S19" i="9"/>
  <c r="P21" i="9"/>
  <c r="C21" i="12" s="1"/>
  <c r="Q23" i="9"/>
  <c r="D23" i="12" s="1"/>
  <c r="Q22" i="9"/>
  <c r="D22" i="12" s="1"/>
  <c r="R22" i="9"/>
  <c r="E22" i="12" s="1"/>
  <c r="P19" i="9"/>
  <c r="C19" i="12" s="1"/>
  <c r="S18" i="9"/>
  <c r="R23" i="9"/>
  <c r="E23" i="12" s="1"/>
  <c r="N24" i="8"/>
  <c r="S23" i="8" s="1"/>
  <c r="E79" i="11"/>
  <c r="E39" i="1"/>
  <c r="H58" i="10"/>
  <c r="E23" i="10"/>
  <c r="F15" i="10"/>
  <c r="H50" i="10"/>
  <c r="P20" i="9"/>
  <c r="C20" i="12" s="1"/>
  <c r="P23" i="9"/>
  <c r="C23" i="12" s="1"/>
  <c r="P17" i="9"/>
  <c r="C17" i="12" s="1"/>
  <c r="R20" i="9"/>
  <c r="E20" i="12" s="1"/>
  <c r="R21" i="9"/>
  <c r="E21" i="12" s="1"/>
  <c r="S20" i="9"/>
  <c r="S21" i="9"/>
  <c r="R17" i="9"/>
  <c r="E17" i="12" s="1"/>
  <c r="P22" i="9"/>
  <c r="C22" i="12" s="1"/>
  <c r="R19" i="9"/>
  <c r="E19" i="12" s="1"/>
  <c r="Q19" i="9"/>
  <c r="D19" i="12" s="1"/>
  <c r="Q20" i="9"/>
  <c r="D20" i="12" s="1"/>
  <c r="R18" i="9"/>
  <c r="E18" i="12" s="1"/>
  <c r="Q18" i="9"/>
  <c r="D18" i="12" s="1"/>
  <c r="N24" i="6"/>
  <c r="R17" i="6"/>
  <c r="S17" i="6"/>
  <c r="Q17" i="6"/>
  <c r="S21" i="6"/>
  <c r="Q21" i="6"/>
  <c r="R21" i="6"/>
  <c r="S18" i="6"/>
  <c r="R18" i="6"/>
  <c r="S22" i="6"/>
  <c r="R22" i="6"/>
  <c r="Q18" i="6"/>
  <c r="P17" i="6"/>
  <c r="E31" i="1"/>
  <c r="E47" i="1"/>
  <c r="E41" i="1" l="1"/>
  <c r="S24" i="9"/>
  <c r="E24" i="12"/>
  <c r="D24" i="12"/>
  <c r="C24" i="12"/>
  <c r="R19" i="8"/>
  <c r="P18" i="8"/>
  <c r="S22" i="8"/>
  <c r="S20" i="8"/>
  <c r="R18" i="8"/>
  <c r="Q19" i="8"/>
  <c r="S21" i="8"/>
  <c r="R17" i="8"/>
  <c r="P22" i="8"/>
  <c r="P21" i="8"/>
  <c r="Q22" i="8"/>
  <c r="S18" i="8"/>
  <c r="Q21" i="8"/>
  <c r="R21" i="8"/>
  <c r="Q20" i="8"/>
  <c r="R20" i="8"/>
  <c r="S19" i="8"/>
  <c r="Q18" i="8"/>
  <c r="S17" i="8"/>
  <c r="Q17" i="8"/>
  <c r="P17" i="8"/>
  <c r="P23" i="8"/>
  <c r="Q23" i="8"/>
  <c r="R23" i="8"/>
  <c r="P20" i="8"/>
  <c r="R22" i="8"/>
  <c r="P19" i="8"/>
  <c r="F23" i="10"/>
  <c r="G15" i="10"/>
  <c r="K50" i="10"/>
  <c r="K58" i="10"/>
  <c r="S20" i="6"/>
  <c r="S19" i="6"/>
  <c r="S24" i="6" s="1"/>
  <c r="S23" i="6"/>
  <c r="E49" i="1"/>
  <c r="S24" i="8" l="1"/>
  <c r="N50" i="10"/>
  <c r="N58" i="10"/>
  <c r="G23" i="10"/>
  <c r="E58" i="1"/>
  <c r="E65" i="1" s="1"/>
  <c r="G18" i="10" s="1"/>
  <c r="E54" i="1"/>
  <c r="E61" i="1" s="1"/>
  <c r="E56" i="1"/>
  <c r="E63" i="1" s="1"/>
  <c r="E18" i="10" s="1"/>
  <c r="E57" i="1"/>
  <c r="E64" i="1" s="1"/>
  <c r="F18" i="10" s="1"/>
  <c r="E55" i="1"/>
  <c r="E62" i="1" s="1"/>
  <c r="D18" i="10" s="1"/>
  <c r="G53" i="10" l="1"/>
  <c r="E20" i="10"/>
  <c r="G20" i="10"/>
  <c r="M53" i="10"/>
  <c r="D53" i="10"/>
  <c r="D20" i="10"/>
  <c r="J53" i="10"/>
  <c r="F20" i="10"/>
  <c r="C18" i="1"/>
  <c r="D55" i="10" l="1"/>
  <c r="D46" i="10"/>
  <c r="G55" i="10"/>
  <c r="E46" i="10"/>
  <c r="F46" i="10"/>
  <c r="J55" i="10"/>
  <c r="M55" i="10"/>
  <c r="M66" i="10" l="1"/>
  <c r="H30" i="10"/>
  <c r="H24" i="10" l="1"/>
  <c r="M60" i="10"/>
  <c r="H31" i="10"/>
  <c r="M67" i="10"/>
  <c r="M70" i="10"/>
  <c r="H34" i="10"/>
  <c r="M62" i="10"/>
  <c r="H26" i="10"/>
  <c r="H25" i="10"/>
  <c r="M61" i="10"/>
  <c r="M71" i="10"/>
  <c r="H35" i="10"/>
  <c r="M63" i="10"/>
  <c r="H27" i="10"/>
  <c r="H29" i="10"/>
  <c r="M65" i="10"/>
  <c r="H32" i="10"/>
  <c r="M68" i="10"/>
  <c r="H33" i="10" l="1"/>
  <c r="M69" i="10"/>
  <c r="M80" i="10" s="1"/>
  <c r="E22" i="11" s="1"/>
  <c r="E24" i="11" s="1"/>
  <c r="G44" i="10"/>
  <c r="H44" i="10" l="1"/>
  <c r="G46" i="10"/>
  <c r="H46" i="10" s="1"/>
  <c r="E26" i="11"/>
  <c r="E29" i="11" s="1"/>
  <c r="E27" i="11"/>
  <c r="E30" i="11" s="1"/>
  <c r="E35" i="11"/>
  <c r="E37" i="11" s="1"/>
  <c r="E50" i="11" s="1"/>
  <c r="E56" i="11" s="1"/>
  <c r="E60" i="11" s="1"/>
  <c r="E62" i="11" s="1"/>
  <c r="E80" i="11" s="1"/>
  <c r="E32" i="11" l="1"/>
  <c r="E39" i="11" s="1"/>
  <c r="E78" i="11" s="1"/>
  <c r="E83" i="11" s="1"/>
  <c r="I25" i="12" s="1"/>
  <c r="F23" i="12" l="1"/>
  <c r="H17" i="12"/>
  <c r="F21" i="12"/>
  <c r="G17" i="12"/>
  <c r="F20" i="12"/>
  <c r="G20" i="12"/>
  <c r="H19" i="12"/>
  <c r="Q19" i="12" s="1"/>
  <c r="H18" i="12"/>
  <c r="H23" i="12"/>
  <c r="Q23" i="12" s="1"/>
  <c r="H20" i="12"/>
  <c r="Q20" i="12" s="1"/>
  <c r="G19" i="12"/>
  <c r="G18" i="12"/>
  <c r="P18" i="12" s="1"/>
  <c r="F22" i="12"/>
  <c r="G22" i="12"/>
  <c r="P22" i="12" s="1"/>
  <c r="G23" i="12"/>
  <c r="F17" i="12"/>
  <c r="F19" i="12"/>
  <c r="O19" i="12" s="1"/>
  <c r="H22" i="12"/>
  <c r="H21" i="12"/>
  <c r="Q21" i="12" s="1"/>
  <c r="F18" i="12"/>
  <c r="G21" i="12"/>
  <c r="I19" i="12" l="1"/>
  <c r="O18" i="12"/>
  <c r="I18" i="12"/>
  <c r="F24" i="12"/>
  <c r="I17" i="12"/>
  <c r="G24" i="12"/>
  <c r="O21" i="12"/>
  <c r="I21" i="12"/>
  <c r="H24" i="12"/>
  <c r="O22" i="12"/>
  <c r="I22" i="12"/>
  <c r="O20" i="12"/>
  <c r="I20" i="12"/>
  <c r="O23" i="12"/>
  <c r="I23" i="12"/>
  <c r="O17" i="12" l="1"/>
  <c r="I24" i="12"/>
</calcChain>
</file>

<file path=xl/sharedStrings.xml><?xml version="1.0" encoding="utf-8"?>
<sst xmlns="http://schemas.openxmlformats.org/spreadsheetml/2006/main" count="540" uniqueCount="343">
  <si>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</si>
  <si>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</si>
  <si>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</si>
  <si>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</si>
  <si>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</si>
  <si>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</si>
  <si>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</si>
  <si>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</si>
  <si>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</si>
  <si>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</si>
  <si>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</si>
  <si>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</si>
  <si>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</si>
  <si>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</si>
  <si>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</si>
  <si>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</si>
  <si>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</si>
  <si>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</si>
  <si>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</si>
  <si>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</si>
  <si>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</si>
  <si>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</si>
  <si>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</si>
  <si>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</si>
  <si>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</si>
  <si>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</si>
  <si>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</si>
  <si>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</si>
  <si>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</si>
  <si>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</si>
  <si>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</si>
  <si>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</si>
  <si>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COS</t>
  </si>
  <si>
    <t>IRM</t>
  </si>
  <si>
    <t>*Deferral rebasing period</t>
  </si>
  <si>
    <t>Yr 1</t>
  </si>
  <si>
    <t>Yr 2</t>
  </si>
  <si>
    <t>Yr 3</t>
  </si>
  <si>
    <t>Yr 4</t>
  </si>
  <si>
    <t>Yr 5</t>
  </si>
  <si>
    <t>n=1</t>
  </si>
  <si>
    <t>n=2</t>
  </si>
  <si>
    <t>n=3</t>
  </si>
  <si>
    <t>n=4</t>
  </si>
  <si>
    <t>n=5</t>
  </si>
  <si>
    <t>2013 Board-Approved Distribution Revenues</t>
  </si>
  <si>
    <t xml:space="preserve">    Price Cap IR Year 2014</t>
  </si>
  <si>
    <t xml:space="preserve">    Price Cap IR Year 2015</t>
  </si>
  <si>
    <t xml:space="preserve">    Price Cap IR Year 2016</t>
  </si>
  <si>
    <t xml:space="preserve">    Price Cap IR Year 2017</t>
  </si>
  <si>
    <t xml:space="preserve">    Price Cap IR Year 2018</t>
  </si>
  <si>
    <t>a</t>
  </si>
  <si>
    <t>Note:  Depending on the selections made below, certain worksheets in this workbook will be hidden.</t>
  </si>
  <si>
    <t>Version</t>
  </si>
  <si>
    <t xml:space="preserve">Utility Name   </t>
  </si>
  <si>
    <t>Service Territory (if filing more than one model)</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</si>
  <si>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</si>
  <si>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</si>
  <si>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</si>
  <si>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</si>
  <si>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</si>
  <si>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</si>
  <si>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</si>
  <si>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</si>
  <si>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Last COS OEB Application Number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</si>
  <si>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</si>
  <si>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</si>
  <si>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</si>
  <si>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</si>
  <si>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</si>
  <si>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</si>
  <si>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</si>
  <si>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</si>
  <si>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</si>
  <si>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</si>
  <si>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</si>
  <si>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</si>
  <si>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CoS</t>
  </si>
  <si>
    <t>Price Cap IR</t>
  </si>
  <si>
    <t>Deferred Rebasing (e.g. due to MAADs)</t>
  </si>
  <si>
    <t>RY</t>
  </si>
  <si>
    <t>t</t>
  </si>
  <si>
    <t>LY ACTUALS</t>
  </si>
  <si>
    <t>t-2</t>
  </si>
  <si>
    <t>LAST COS</t>
  </si>
  <si>
    <t>Growth</t>
  </si>
  <si>
    <t>Numerator</t>
  </si>
  <si>
    <t xml:space="preserve"> </t>
  </si>
  <si>
    <t>Denominator</t>
  </si>
  <si>
    <t>Annualized?</t>
  </si>
  <si>
    <t>Yes</t>
  </si>
  <si>
    <t>No</t>
  </si>
  <si>
    <t>Divisor to Annulized</t>
  </si>
  <si>
    <t>Last CoS</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</si>
  <si>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</si>
  <si>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</si>
  <si>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</si>
  <si>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</si>
  <si>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</si>
  <si>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</si>
  <si>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</si>
  <si>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</si>
  <si>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</si>
  <si>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</si>
  <si>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</si>
  <si>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</si>
  <si>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</si>
  <si>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</si>
  <si>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</si>
  <si>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</si>
  <si>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</si>
  <si>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</si>
  <si>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</si>
  <si>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</si>
  <si>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</si>
  <si>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</si>
  <si>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</si>
  <si>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</si>
  <si>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</si>
  <si>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</si>
  <si>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</si>
  <si>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</si>
  <si>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</si>
  <si>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</si>
  <si>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</si>
  <si>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</si>
  <si>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</si>
  <si>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</si>
  <si>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</si>
  <si>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</si>
  <si>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</si>
  <si>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</si>
  <si>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</si>
  <si>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</si>
  <si>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</si>
  <si>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</si>
  <si>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</si>
  <si>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</si>
  <si>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</si>
  <si>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</si>
  <si>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</si>
  <si>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</si>
  <si>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</si>
  <si>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</si>
  <si>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</si>
  <si>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</si>
  <si>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</si>
  <si>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</si>
  <si>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</si>
  <si>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</si>
  <si>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</si>
  <si>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</si>
  <si>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</si>
  <si>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</si>
  <si>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</si>
  <si>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</si>
  <si>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</si>
  <si>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</si>
  <si>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</si>
  <si>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</si>
  <si>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</si>
  <si>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</si>
  <si>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</si>
  <si>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</si>
  <si>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</si>
  <si>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</si>
  <si>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</si>
  <si>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</si>
  <si>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</si>
  <si>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</si>
  <si>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</si>
  <si>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</si>
  <si>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</si>
  <si>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</si>
  <si>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</si>
  <si>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</si>
  <si>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</si>
  <si>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</si>
  <si>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</si>
  <si>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</si>
  <si>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</si>
  <si>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</si>
  <si>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</si>
  <si>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</si>
  <si>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</si>
  <si>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</si>
  <si>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</si>
  <si>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</si>
  <si>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</si>
  <si>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</si>
  <si>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</si>
  <si>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</si>
  <si>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</si>
  <si>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</si>
  <si>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</si>
  <si>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</si>
  <si>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</si>
  <si>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</si>
  <si>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</si>
  <si>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</si>
  <si>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</si>
  <si>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</si>
  <si>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</si>
  <si>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</si>
  <si>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</si>
  <si>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</si>
  <si>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</si>
  <si>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</si>
  <si>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</si>
  <si>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</si>
  <si>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</si>
  <si>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</si>
  <si>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</si>
  <si>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</si>
  <si>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</si>
  <si>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Rate Classes Revenue - Total  (Sheet 5)</t>
  </si>
  <si>
    <t>AW</t>
  </si>
  <si>
    <t>Difference</t>
  </si>
  <si>
    <t>AZ = AV - AW</t>
  </si>
  <si>
    <t>Difference (Percentage - should be less than 1%)</t>
  </si>
  <si>
    <t>BA = AZ / 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</si>
  <si>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</si>
  <si>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</si>
  <si>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</si>
  <si>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</si>
  <si>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</si>
  <si>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</si>
  <si>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</si>
  <si>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</si>
  <si>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</si>
  <si>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</si>
  <si>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</si>
  <si>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</si>
  <si>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</si>
  <si>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</si>
  <si>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</si>
  <si>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</si>
  <si>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</si>
  <si>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</si>
  <si>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</si>
  <si>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</si>
  <si>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</si>
  <si>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</si>
  <si>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Identify ALL Proposed ACM projects and related CAPEX costs in the relevant years</t>
  </si>
  <si>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</si>
  <si>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</si>
  <si>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</si>
  <si>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</si>
  <si>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</si>
  <si>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</si>
  <si>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</si>
  <si>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</si>
  <si>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</si>
  <si>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</si>
  <si>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</si>
  <si>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Total Cost of ACM Projects</t>
  </si>
  <si>
    <t>Maximum Allowed Incremental Capital</t>
  </si>
  <si>
    <t>Proposed ACM/ICM</t>
  </si>
  <si>
    <t>Amortization Expense</t>
  </si>
  <si>
    <t>CCA</t>
  </si>
  <si>
    <t>Total Cost of Projects</t>
  </si>
  <si>
    <t>Incremental Capital Adjustment</t>
  </si>
  <si>
    <t>Current Revenue Requirement</t>
  </si>
  <si>
    <t>Current Revenue Requirement - Total</t>
  </si>
  <si>
    <t>Incremental Capital</t>
  </si>
  <si>
    <t>Incremental Capital to be included in Rate Base</t>
  </si>
  <si>
    <t>D = B - C</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</si>
  <si>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</si>
  <si>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</si>
  <si>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</si>
  <si>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</si>
  <si>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</si>
  <si>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</si>
  <si>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</si>
  <si>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</si>
  <si>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</si>
  <si>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</si>
  <si>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</si>
  <si>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</si>
  <si>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</si>
  <si>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</si>
  <si>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</si>
  <si>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Grossed up PIL's</t>
  </si>
  <si>
    <t>Regulatory Taxable Income</t>
  </si>
  <si>
    <t xml:space="preserve">T </t>
  </si>
  <si>
    <t>Add Back Amortization Expense</t>
  </si>
  <si>
    <t>Deduct CCA</t>
  </si>
  <si>
    <t>Incremental Taxable Income</t>
  </si>
  <si>
    <t>W = T + U - V</t>
  </si>
  <si>
    <t>Current Tax Rate</t>
  </si>
  <si>
    <t>X</t>
  </si>
  <si>
    <t>PIL's Before Gross Up</t>
  </si>
  <si>
    <t>Y = W * X</t>
  </si>
  <si>
    <t>Incremental Grossed Up PIL's</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</si>
  <si>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</si>
  <si>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</si>
  <si>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</si>
  <si>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</si>
  <si>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</si>
  <si>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</si>
  <si>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</si>
  <si>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</si>
  <si>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</si>
  <si>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</si>
  <si>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</si>
  <si>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</si>
  <si>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</si>
  <si>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</si>
  <si>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</si>
  <si>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</si>
  <si>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</si>
  <si>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</si>
  <si>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</si>
  <si>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</si>
  <si>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</si>
  <si>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</si>
  <si>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</si>
  <si>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</si>
  <si>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</si>
  <si>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</si>
  <si>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</si>
  <si>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From Sheet 11, E83</t>
  </si>
  <si>
    <t>Year 5</t>
  </si>
  <si>
    <t>Col F / Col K / 12</t>
  </si>
  <si>
    <t>Col G / Col L</t>
  </si>
  <si>
    <t>Col H / Col M</t>
  </si>
  <si>
    <t>Note:  As per the OEB's letter issued July 16, 2015 (EB-2012-0410), Residential Rates will be applied on a fixed basis only.</t>
  </si>
  <si>
    <t>EB-2017-0024</t>
  </si>
  <si>
    <t>ICM Approval</t>
  </si>
  <si>
    <t>EB-2012-0033</t>
  </si>
  <si>
    <t>2016 Actual Distribution Revenues</t>
  </si>
  <si>
    <t>Mississauga</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</si>
  <si>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</si>
  <si>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</si>
  <si>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2016 Base Rates</t>
  </si>
  <si>
    <t>Most Recent Board-Approved Base Rates</t>
  </si>
  <si>
    <t>New ICM</t>
  </si>
  <si>
    <t>York MS</t>
  </si>
  <si>
    <t>Transformer Replacement Project</t>
  </si>
  <si>
    <t>Alectra Utilities - Enersource Rate Zone</t>
  </si>
  <si>
    <t>Indy J. Butany-DeSouza, Vice-President, Regulatory Affairs</t>
  </si>
  <si>
    <t>905-821-5727</t>
  </si>
  <si>
    <t>indy.butany@alectrautilities.com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</si>
</sst>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quot;$&quot;#,##0"/>
    <numFmt numFmtId="166" formatCode="_-&quot;$&quot;* #,##0_-;\-&quot;$&quot;* #,##0_-;_-&quot;$&quot;* &quot;-&quot;??_-;_-@_-"/>
    <numFmt numFmtId="167" formatCode="0.0%"/>
    <numFmt numFmtId="168" formatCode="[$-F800]dddd\,\ mmmm\ dd\,\ yyyy"/>
    <numFmt numFmtId="169" formatCode="#,###"/>
    <numFmt numFmtId="170" formatCode="0.0000"/>
    <numFmt numFmtId="171" formatCode="#,##0.0000"/>
    <numFmt numFmtId="172" formatCode="#,##0\ \ \ "/>
  </numFmts>
  <fonts count="52"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sz val="1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4" fillId="0" borderId="0"/>
    <xf numFmtId="0" fontId="51" fillId="0" borderId="0" applyNumberFormat="0" applyFill="0" applyBorder="0" applyAlignment="0" applyProtection="0"/>
  </cellStyleXfs>
  <cellXfs count="367">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0" fontId="7" fillId="0" borderId="0" xfId="3" applyFont="1" applyAlignment="1" applyProtection="1">
      <alignment horizontal="left" vertical="center" indent="3"/>
    </xf>
    <xf numFmtId="165"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6" fontId="8" fillId="2" borderId="0" xfId="5" applyNumberFormat="1" applyFont="1" applyFill="1" applyProtection="1"/>
    <xf numFmtId="0" fontId="2" fillId="0" borderId="0" xfId="3" applyAlignment="1" applyProtection="1">
      <alignment horizontal="left" indent="1"/>
    </xf>
    <xf numFmtId="166"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6" fontId="4" fillId="2" borderId="2" xfId="5" applyNumberFormat="1" applyFont="1" applyFill="1" applyBorder="1" applyProtection="1"/>
    <xf numFmtId="0" fontId="4" fillId="0" borderId="0" xfId="3" applyFont="1" applyAlignment="1" applyProtection="1">
      <alignment horizontal="right"/>
    </xf>
    <xf numFmtId="166"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6" fontId="8" fillId="2" borderId="3" xfId="5" applyNumberFormat="1" applyFont="1" applyFill="1" applyBorder="1" applyProtection="1"/>
    <xf numFmtId="166"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0" fontId="2" fillId="4" borderId="0" xfId="3" applyFill="1" applyProtection="1"/>
    <xf numFmtId="167" fontId="8" fillId="2" borderId="0" xfId="4" applyNumberFormat="1" applyFont="1" applyFill="1" applyAlignment="1" applyProtection="1">
      <alignment horizontal="right"/>
    </xf>
    <xf numFmtId="167" fontId="4" fillId="2" borderId="4" xfId="2" applyNumberFormat="1" applyFont="1" applyFill="1" applyBorder="1" applyAlignment="1" applyProtection="1">
      <alignment horizontal="right"/>
    </xf>
    <xf numFmtId="0" fontId="2" fillId="4" borderId="0" xfId="3" applyFont="1" applyFill="1" applyProtection="1"/>
    <xf numFmtId="167" fontId="4" fillId="4" borderId="4" xfId="2" applyNumberFormat="1" applyFont="1" applyFill="1" applyBorder="1" applyAlignment="1" applyProtection="1">
      <alignment horizontal="right"/>
    </xf>
    <xf numFmtId="166" fontId="9" fillId="4" borderId="4" xfId="5" applyNumberFormat="1" applyFont="1" applyFill="1" applyBorder="1" applyProtection="1"/>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5" borderId="0" xfId="0" applyFill="1" applyAlignment="1" applyProtection="1">
      <alignment horizontal="left"/>
    </xf>
    <xf numFmtId="0" fontId="14" fillId="0" borderId="0" xfId="0" applyFont="1" applyProtection="1"/>
    <xf numFmtId="2" fontId="12" fillId="0" borderId="0" xfId="0" applyNumberFormat="1" applyFont="1" applyAlignment="1" applyProtection="1">
      <alignment horizontal="left"/>
    </xf>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8"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6"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5" borderId="0" xfId="0" applyFont="1" applyFill="1" applyProtection="1"/>
    <xf numFmtId="0" fontId="22" fillId="5" borderId="0" xfId="0" applyFont="1" applyFill="1" applyAlignment="1" applyProtection="1">
      <alignment vertical="top" wrapText="1"/>
    </xf>
    <xf numFmtId="0" fontId="16" fillId="0" borderId="0" xfId="0" applyFont="1" applyAlignment="1" applyProtection="1">
      <alignment vertical="top" wrapText="1"/>
    </xf>
    <xf numFmtId="0" fontId="23" fillId="0" borderId="0" xfId="0" applyFont="1" applyProtection="1"/>
    <xf numFmtId="0" fontId="0" fillId="7" borderId="11" xfId="0" applyFill="1" applyBorder="1" applyProtection="1"/>
    <xf numFmtId="0" fontId="0" fillId="6" borderId="11" xfId="0" applyFill="1" applyBorder="1" applyProtection="1"/>
    <xf numFmtId="0" fontId="0" fillId="0" borderId="0" xfId="0" applyAlignment="1" applyProtection="1">
      <alignment wrapText="1"/>
    </xf>
    <xf numFmtId="0" fontId="0" fillId="0" borderId="11" xfId="0" applyBorder="1" applyProtection="1"/>
    <xf numFmtId="0" fontId="0" fillId="0" borderId="4" xfId="0" applyBorder="1"/>
    <xf numFmtId="0" fontId="0" fillId="4" borderId="4" xfId="0" applyFill="1" applyBorder="1"/>
    <xf numFmtId="0" fontId="0" fillId="7" borderId="4" xfId="0" applyFill="1" applyBorder="1"/>
    <xf numFmtId="0" fontId="0" fillId="8" borderId="4" xfId="0" applyFill="1" applyBorder="1"/>
    <xf numFmtId="0" fontId="0" fillId="4" borderId="4" xfId="0" applyFill="1" applyBorder="1" applyAlignment="1">
      <alignment horizontal="center" vertical="center"/>
    </xf>
    <xf numFmtId="0" fontId="0" fillId="0" borderId="4" xfId="0"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left" vertical="center"/>
    </xf>
    <xf numFmtId="0" fontId="0" fillId="0" borderId="4"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6"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8" fillId="0" borderId="16" xfId="0" applyFont="1" applyFill="1" applyBorder="1" applyAlignment="1" applyProtection="1">
      <protection locked="0"/>
    </xf>
    <xf numFmtId="0" fontId="28" fillId="0" borderId="17" xfId="0" applyFont="1" applyFill="1" applyBorder="1" applyAlignment="1" applyProtection="1">
      <protection locked="0"/>
    </xf>
    <xf numFmtId="0" fontId="28" fillId="0" borderId="18" xfId="0" applyFont="1" applyFill="1" applyBorder="1" applyAlignment="1" applyProtection="1">
      <protection locked="0"/>
    </xf>
    <xf numFmtId="0" fontId="28" fillId="0" borderId="13"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15" xfId="0" applyFont="1" applyFill="1" applyBorder="1" applyAlignment="1" applyProtection="1">
      <alignment vertical="center"/>
      <protection locked="0"/>
    </xf>
    <xf numFmtId="0" fontId="28" fillId="0" borderId="13" xfId="0" applyFont="1" applyFill="1" applyBorder="1" applyAlignment="1" applyProtection="1">
      <protection locked="0"/>
    </xf>
    <xf numFmtId="0" fontId="28" fillId="0" borderId="14" xfId="0" applyFont="1" applyFill="1" applyBorder="1" applyAlignment="1" applyProtection="1">
      <protection locked="0"/>
    </xf>
    <xf numFmtId="0" fontId="28" fillId="0" borderId="15" xfId="0" applyFont="1" applyFill="1" applyBorder="1" applyAlignment="1" applyProtection="1">
      <protection locked="0"/>
    </xf>
    <xf numFmtId="0" fontId="0" fillId="0" borderId="0" xfId="0" applyProtection="1">
      <protection locked="0"/>
    </xf>
    <xf numFmtId="0" fontId="28" fillId="0" borderId="0" xfId="0" applyFont="1" applyFill="1" applyBorder="1" applyAlignment="1" applyProtection="1">
      <protection locked="0"/>
    </xf>
    <xf numFmtId="0" fontId="28" fillId="0" borderId="0" xfId="0" applyFont="1" applyFill="1" applyBorder="1" applyProtection="1">
      <protection locked="0"/>
    </xf>
    <xf numFmtId="0" fontId="28"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9"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9" fillId="0" borderId="0" xfId="0" applyFont="1" applyAlignment="1" applyProtection="1">
      <alignment horizontal="center" vertical="center" wrapText="1"/>
    </xf>
    <xf numFmtId="1" fontId="0" fillId="9" borderId="19" xfId="0" applyNumberFormat="1" applyFill="1" applyBorder="1" applyAlignment="1" applyProtection="1">
      <alignment horizontal="center" vertical="center"/>
      <protection locked="0"/>
    </xf>
    <xf numFmtId="169" fontId="0" fillId="10" borderId="18" xfId="0" applyNumberFormat="1" applyFill="1" applyBorder="1" applyProtection="1">
      <protection locked="0"/>
    </xf>
    <xf numFmtId="169" fontId="0" fillId="10" borderId="20" xfId="0" applyNumberFormat="1" applyFill="1" applyBorder="1" applyProtection="1">
      <protection locked="0"/>
    </xf>
    <xf numFmtId="1" fontId="0" fillId="0" borderId="20" xfId="0" applyNumberFormat="1" applyBorder="1" applyProtection="1">
      <protection locked="0"/>
    </xf>
    <xf numFmtId="2" fontId="0" fillId="10" borderId="20" xfId="0" applyNumberFormat="1" applyFill="1" applyBorder="1" applyAlignment="1" applyProtection="1">
      <alignment horizontal="center" vertical="center"/>
      <protection locked="0"/>
    </xf>
    <xf numFmtId="170" fontId="0" fillId="10" borderId="20" xfId="0" applyNumberFormat="1" applyFill="1" applyBorder="1" applyAlignment="1" applyProtection="1">
      <alignment horizontal="center" vertical="center"/>
      <protection locked="0"/>
    </xf>
    <xf numFmtId="170" fontId="0" fillId="10" borderId="16" xfId="0" applyNumberFormat="1" applyFill="1" applyBorder="1" applyAlignment="1" applyProtection="1">
      <alignment horizontal="center" vertical="center"/>
      <protection locked="0"/>
    </xf>
    <xf numFmtId="1" fontId="0" fillId="9" borderId="21" xfId="0" applyNumberFormat="1" applyFill="1" applyBorder="1" applyAlignment="1" applyProtection="1">
      <alignment horizontal="center" vertical="center"/>
      <protection locked="0"/>
    </xf>
    <xf numFmtId="169" fontId="0" fillId="10" borderId="15" xfId="0" applyNumberFormat="1" applyFill="1" applyBorder="1" applyProtection="1">
      <protection locked="0"/>
    </xf>
    <xf numFmtId="169" fontId="0" fillId="10" borderId="22" xfId="0" applyNumberFormat="1" applyFill="1" applyBorder="1" applyProtection="1">
      <protection locked="0"/>
    </xf>
    <xf numFmtId="1" fontId="0" fillId="0" borderId="22" xfId="0" applyNumberFormat="1" applyBorder="1" applyProtection="1">
      <protection locked="0"/>
    </xf>
    <xf numFmtId="2" fontId="0" fillId="10" borderId="22" xfId="0" applyNumberFormat="1" applyFill="1" applyBorder="1" applyAlignment="1" applyProtection="1">
      <alignment horizontal="center" vertical="center"/>
      <protection locked="0"/>
    </xf>
    <xf numFmtId="170" fontId="0" fillId="10" borderId="22" xfId="0" applyNumberFormat="1" applyFill="1" applyBorder="1" applyAlignment="1" applyProtection="1">
      <alignment horizontal="center" vertical="center"/>
      <protection locked="0"/>
    </xf>
    <xf numFmtId="170" fontId="0" fillId="10" borderId="13" xfId="0" applyNumberFormat="1" applyFill="1" applyBorder="1" applyAlignment="1" applyProtection="1">
      <alignment horizontal="center" vertical="center"/>
      <protection locked="0"/>
    </xf>
    <xf numFmtId="169" fontId="0" fillId="10" borderId="23" xfId="0" applyNumberFormat="1" applyFill="1" applyBorder="1" applyProtection="1">
      <protection locked="0"/>
    </xf>
    <xf numFmtId="169" fontId="0" fillId="10" borderId="24" xfId="0" applyNumberFormat="1" applyFill="1" applyBorder="1" applyProtection="1">
      <protection locked="0"/>
    </xf>
    <xf numFmtId="1" fontId="0" fillId="0" borderId="24" xfId="0" applyNumberFormat="1" applyBorder="1" applyProtection="1">
      <protection locked="0"/>
    </xf>
    <xf numFmtId="2" fontId="0" fillId="10" borderId="24" xfId="0" applyNumberFormat="1" applyFill="1" applyBorder="1" applyAlignment="1" applyProtection="1">
      <alignment horizontal="center" vertical="center"/>
      <protection locked="0"/>
    </xf>
    <xf numFmtId="170" fontId="0" fillId="10" borderId="24" xfId="0" applyNumberFormat="1" applyFill="1" applyBorder="1" applyAlignment="1" applyProtection="1">
      <alignment horizontal="center" vertical="center"/>
      <protection locked="0"/>
    </xf>
    <xf numFmtId="170" fontId="0" fillId="10" borderId="2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9" fillId="2" borderId="0" xfId="0" applyFont="1" applyFill="1" applyAlignment="1" applyProtection="1">
      <alignment horizontal="left" wrapText="1"/>
    </xf>
    <xf numFmtId="0" fontId="29" fillId="0" borderId="0" xfId="0" applyFont="1" applyAlignment="1" applyProtection="1">
      <alignment horizontal="center" wrapText="1"/>
    </xf>
    <xf numFmtId="0" fontId="0" fillId="0" borderId="0" xfId="0" applyFont="1" applyAlignment="1">
      <alignment horizontal="center"/>
    </xf>
    <xf numFmtId="0" fontId="32" fillId="2" borderId="0" xfId="6" applyFont="1" applyFill="1" applyAlignment="1" applyProtection="1">
      <alignment horizontal="center"/>
    </xf>
    <xf numFmtId="0" fontId="0" fillId="0" borderId="0" xfId="0" applyFont="1"/>
    <xf numFmtId="0" fontId="0" fillId="0" borderId="3" xfId="0" applyBorder="1"/>
    <xf numFmtId="169"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1" fontId="0" fillId="0" borderId="3" xfId="0" applyNumberFormat="1" applyBorder="1" applyAlignment="1">
      <alignment horizontal="center" vertical="center"/>
    </xf>
    <xf numFmtId="3" fontId="0" fillId="0" borderId="3" xfId="0" applyNumberFormat="1" applyBorder="1"/>
    <xf numFmtId="167" fontId="0" fillId="0" borderId="3" xfId="0" applyNumberFormat="1" applyBorder="1" applyAlignment="1">
      <alignment horizontal="center" vertical="center"/>
    </xf>
    <xf numFmtId="0" fontId="0" fillId="0" borderId="1" xfId="0" applyBorder="1"/>
    <xf numFmtId="169"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1" fontId="0" fillId="0" borderId="1" xfId="0" applyNumberFormat="1" applyBorder="1" applyAlignment="1">
      <alignment horizontal="center" vertical="center"/>
    </xf>
    <xf numFmtId="3" fontId="0" fillId="0" borderId="1" xfId="0" applyNumberFormat="1" applyBorder="1"/>
    <xf numFmtId="167" fontId="0" fillId="0" borderId="1" xfId="0" applyNumberFormat="1" applyBorder="1" applyAlignment="1">
      <alignment horizontal="center" vertical="center"/>
    </xf>
    <xf numFmtId="0" fontId="14" fillId="0" borderId="1" xfId="0" applyFont="1" applyBorder="1"/>
    <xf numFmtId="16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7"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3" fillId="0" borderId="0" xfId="3" applyFont="1" applyBorder="1" applyAlignment="1" applyProtection="1">
      <alignment horizontal="left"/>
    </xf>
    <xf numFmtId="0" fontId="34"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6" fontId="2" fillId="7" borderId="0" xfId="5" applyNumberFormat="1" applyFill="1" applyProtection="1">
      <protection locked="0"/>
    </xf>
    <xf numFmtId="166" fontId="2" fillId="0" borderId="0" xfId="5" applyNumberFormat="1" applyFont="1" applyAlignment="1" applyProtection="1">
      <alignment horizontal="center"/>
    </xf>
    <xf numFmtId="166"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6" fontId="2" fillId="2" borderId="0" xfId="5" applyNumberFormat="1" applyFont="1" applyFill="1" applyProtection="1"/>
    <xf numFmtId="166"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6" fillId="0" borderId="0" xfId="3" applyFont="1" applyProtection="1"/>
    <xf numFmtId="166" fontId="2" fillId="0" borderId="0" xfId="5" applyNumberFormat="1" applyFont="1" applyBorder="1" applyAlignment="1" applyProtection="1">
      <alignment horizontal="center"/>
    </xf>
    <xf numFmtId="166" fontId="2" fillId="0" borderId="0" xfId="3" applyNumberFormat="1" applyFont="1" applyAlignment="1" applyProtection="1">
      <alignment horizontal="center"/>
    </xf>
    <xf numFmtId="167" fontId="2" fillId="7" borderId="0" xfId="4" applyNumberFormat="1" applyFill="1" applyAlignment="1" applyProtection="1">
      <alignment horizontal="center"/>
      <protection locked="0"/>
    </xf>
    <xf numFmtId="166" fontId="4" fillId="2" borderId="1" xfId="3" applyNumberFormat="1" applyFont="1" applyFill="1" applyBorder="1" applyProtection="1"/>
    <xf numFmtId="166" fontId="4" fillId="0" borderId="0" xfId="3" applyNumberFormat="1" applyFont="1" applyBorder="1" applyProtection="1"/>
    <xf numFmtId="10" fontId="2" fillId="2" borderId="0" xfId="4" applyNumberFormat="1" applyFont="1" applyFill="1" applyAlignment="1" applyProtection="1">
      <alignment horizontal="center"/>
    </xf>
    <xf numFmtId="10" fontId="2" fillId="7" borderId="0" xfId="4" applyNumberFormat="1" applyFill="1" applyAlignment="1" applyProtection="1">
      <alignment horizontal="center"/>
      <protection locked="0"/>
    </xf>
    <xf numFmtId="166" fontId="2" fillId="0" borderId="0" xfId="5" applyNumberFormat="1" applyFont="1" applyFill="1" applyBorder="1" applyAlignment="1" applyProtection="1">
      <alignment horizontal="center"/>
    </xf>
    <xf numFmtId="166" fontId="2" fillId="2" borderId="3" xfId="5" applyNumberFormat="1" applyFont="1" applyFill="1" applyBorder="1" applyProtection="1"/>
    <xf numFmtId="0" fontId="8" fillId="7" borderId="0" xfId="0" applyFont="1" applyFill="1" applyAlignment="1" applyProtection="1">
      <alignment horizontal="left" indent="1"/>
      <protection locked="0"/>
    </xf>
    <xf numFmtId="0" fontId="2" fillId="7" borderId="0" xfId="3" applyFont="1" applyFill="1" applyAlignment="1" applyProtection="1">
      <alignment horizontal="left" indent="1"/>
      <protection locked="0"/>
    </xf>
    <xf numFmtId="166" fontId="4" fillId="2" borderId="0" xfId="3" applyNumberFormat="1" applyFont="1" applyFill="1" applyProtection="1"/>
    <xf numFmtId="166" fontId="4" fillId="2" borderId="2" xfId="3" applyNumberFormat="1" applyFont="1" applyFill="1" applyBorder="1" applyProtection="1"/>
    <xf numFmtId="166" fontId="2" fillId="2" borderId="0" xfId="3" applyNumberFormat="1" applyFont="1" applyFill="1" applyProtection="1"/>
    <xf numFmtId="10" fontId="8" fillId="2" borderId="0" xfId="4" applyNumberFormat="1" applyFont="1" applyFill="1" applyAlignment="1" applyProtection="1">
      <alignment horizontal="right"/>
    </xf>
    <xf numFmtId="0" fontId="2" fillId="0" borderId="0" xfId="3" applyAlignment="1" applyProtection="1">
      <alignment horizontal="center"/>
      <protection locked="0"/>
    </xf>
    <xf numFmtId="169" fontId="0" fillId="10" borderId="3" xfId="0" applyNumberFormat="1" applyFill="1" applyBorder="1" applyAlignment="1" applyProtection="1">
      <alignment horizontal="center" vertical="center"/>
      <protection locked="0"/>
    </xf>
    <xf numFmtId="172" fontId="0" fillId="0" borderId="3" xfId="0" applyNumberFormat="1" applyBorder="1"/>
    <xf numFmtId="169" fontId="0" fillId="10" borderId="1" xfId="0" applyNumberFormat="1" applyFill="1" applyBorder="1" applyAlignment="1" applyProtection="1">
      <alignment horizontal="center" vertical="center"/>
      <protection locked="0"/>
    </xf>
    <xf numFmtId="172" fontId="0" fillId="0" borderId="1" xfId="0" applyNumberFormat="1" applyBorder="1"/>
    <xf numFmtId="172" fontId="14" fillId="0" borderId="1" xfId="0" applyNumberFormat="1" applyFont="1" applyBorder="1"/>
    <xf numFmtId="2" fontId="0" fillId="10" borderId="3" xfId="0" applyNumberFormat="1" applyFill="1" applyBorder="1" applyAlignment="1" applyProtection="1">
      <alignment horizontal="center" vertical="center"/>
      <protection locked="0"/>
    </xf>
    <xf numFmtId="170" fontId="0" fillId="10" borderId="3" xfId="0" applyNumberFormat="1" applyFill="1" applyBorder="1" applyAlignment="1" applyProtection="1">
      <alignment horizontal="center" vertical="center"/>
      <protection locked="0"/>
    </xf>
    <xf numFmtId="10" fontId="0" fillId="0" borderId="3" xfId="0" applyNumberFormat="1" applyBorder="1" applyAlignment="1">
      <alignment horizontal="center" vertical="center"/>
    </xf>
    <xf numFmtId="2" fontId="0" fillId="10" borderId="1" xfId="0" applyNumberFormat="1" applyFill="1" applyBorder="1" applyAlignment="1" applyProtection="1">
      <alignment horizontal="center" vertical="center"/>
      <protection locked="0"/>
    </xf>
    <xf numFmtId="170" fontId="0" fillId="10" borderId="1" xfId="0" applyNumberFormat="1" applyFill="1" applyBorder="1" applyAlignment="1" applyProtection="1">
      <alignment horizontal="center" vertical="center"/>
      <protection locked="0"/>
    </xf>
    <xf numFmtId="10" fontId="0" fillId="0" borderId="1" xfId="0" applyNumberFormat="1" applyBorder="1" applyAlignment="1">
      <alignment horizontal="center" vertical="center"/>
    </xf>
    <xf numFmtId="0" fontId="9" fillId="0" borderId="0" xfId="0" applyFont="1" applyAlignment="1">
      <alignment horizontal="left" indent="1"/>
    </xf>
    <xf numFmtId="0" fontId="39" fillId="0" borderId="0" xfId="0" applyFont="1" applyAlignment="1">
      <alignment horizontal="center"/>
    </xf>
    <xf numFmtId="0" fontId="14" fillId="0" borderId="0" xfId="0" applyFont="1" applyAlignment="1">
      <alignment horizontal="center" vertical="center"/>
    </xf>
    <xf numFmtId="0" fontId="14" fillId="11" borderId="0" xfId="0" applyFont="1" applyFill="1" applyAlignment="1">
      <alignment horizontal="center" vertical="center"/>
    </xf>
    <xf numFmtId="0" fontId="14" fillId="0" borderId="0" xfId="0" applyFont="1" applyAlignment="1">
      <alignment horizontal="right" indent="2"/>
    </xf>
    <xf numFmtId="166" fontId="0" fillId="7" borderId="4" xfId="1" applyNumberFormat="1" applyFont="1" applyFill="1" applyBorder="1" applyProtection="1">
      <protection locked="0"/>
    </xf>
    <xf numFmtId="0" fontId="0" fillId="12" borderId="4" xfId="0" applyFill="1" applyBorder="1"/>
    <xf numFmtId="166" fontId="0" fillId="0" borderId="4" xfId="1" applyNumberFormat="1" applyFont="1" applyBorder="1"/>
    <xf numFmtId="0" fontId="14" fillId="0" borderId="0" xfId="0" applyFont="1" applyAlignment="1">
      <alignment horizontal="right" wrapText="1" indent="2"/>
    </xf>
    <xf numFmtId="166" fontId="0" fillId="0" borderId="0" xfId="0" applyNumberFormat="1"/>
    <xf numFmtId="166" fontId="0" fillId="0" borderId="4" xfId="0" applyNumberFormat="1" applyBorder="1"/>
    <xf numFmtId="166" fontId="0" fillId="0" borderId="26" xfId="0" applyNumberFormat="1" applyBorder="1"/>
    <xf numFmtId="0" fontId="14" fillId="7" borderId="17" xfId="0" applyFont="1" applyFill="1" applyBorder="1" applyAlignment="1" applyProtection="1">
      <alignment horizontal="left" vertical="top" wrapText="1"/>
      <protection locked="0"/>
    </xf>
    <xf numFmtId="0" fontId="14" fillId="6" borderId="17" xfId="0" applyFont="1" applyFill="1" applyBorder="1" applyAlignment="1" applyProtection="1">
      <alignment horizontal="center" vertical="center" wrapText="1"/>
      <protection locked="0"/>
    </xf>
    <xf numFmtId="166" fontId="14" fillId="0" borderId="4" xfId="1" applyNumberFormat="1" applyFont="1" applyBorder="1"/>
    <xf numFmtId="0" fontId="14" fillId="7" borderId="14" xfId="0" applyFont="1" applyFill="1" applyBorder="1" applyAlignment="1" applyProtection="1">
      <alignment horizontal="left" vertical="top" wrapText="1"/>
      <protection locked="0"/>
    </xf>
    <xf numFmtId="0" fontId="14" fillId="7" borderId="27" xfId="0" applyFont="1" applyFill="1" applyBorder="1" applyAlignment="1" applyProtection="1">
      <alignment horizontal="left" vertical="top" wrapText="1"/>
      <protection locked="0"/>
    </xf>
    <xf numFmtId="166" fontId="0" fillId="0" borderId="0" xfId="1" applyNumberFormat="1" applyFont="1" applyBorder="1"/>
    <xf numFmtId="166" fontId="14" fillId="0" borderId="0" xfId="1" applyNumberFormat="1" applyFont="1" applyBorder="1"/>
    <xf numFmtId="0" fontId="14" fillId="0" borderId="0" xfId="0" applyFont="1" applyAlignment="1">
      <alignment horizontal="center" vertical="center" wrapText="1"/>
    </xf>
    <xf numFmtId="166" fontId="0" fillId="5" borderId="4" xfId="1" applyNumberFormat="1" applyFont="1" applyFill="1" applyBorder="1" applyProtection="1"/>
    <xf numFmtId="166" fontId="1" fillId="0" borderId="4" xfId="1" applyNumberFormat="1" applyFont="1" applyBorder="1"/>
    <xf numFmtId="166" fontId="1" fillId="0" borderId="0" xfId="1" applyNumberFormat="1" applyFont="1" applyBorder="1"/>
    <xf numFmtId="0" fontId="0" fillId="0" borderId="0" xfId="0" applyAlignment="1">
      <alignment horizontal="center"/>
    </xf>
    <xf numFmtId="0" fontId="14" fillId="11" borderId="0" xfId="0" applyFont="1" applyFill="1" applyAlignment="1">
      <alignment horizontal="center"/>
    </xf>
    <xf numFmtId="0" fontId="14" fillId="0" borderId="0" xfId="0" applyFont="1" applyAlignment="1">
      <alignment horizontal="center"/>
    </xf>
    <xf numFmtId="0" fontId="14" fillId="0" borderId="4" xfId="0" applyFont="1" applyFill="1" applyBorder="1" applyAlignment="1">
      <alignment horizontal="left" vertical="top" wrapText="1"/>
    </xf>
    <xf numFmtId="166" fontId="14" fillId="0" borderId="4" xfId="1" applyNumberFormat="1" applyFont="1" applyFill="1" applyBorder="1" applyAlignment="1">
      <alignment horizontal="left" vertical="top" wrapText="1"/>
    </xf>
    <xf numFmtId="0" fontId="6" fillId="0" borderId="0" xfId="0" applyFont="1" applyProtection="1"/>
    <xf numFmtId="0" fontId="40" fillId="0" borderId="0" xfId="0" applyFont="1" applyProtection="1"/>
    <xf numFmtId="0" fontId="8" fillId="0" borderId="0" xfId="0" applyFont="1" applyProtection="1"/>
    <xf numFmtId="0" fontId="18" fillId="0" borderId="0" xfId="0" applyFont="1" applyAlignment="1" applyProtection="1">
      <alignment vertical="top"/>
    </xf>
    <xf numFmtId="0" fontId="3" fillId="0" borderId="28" xfId="0" applyFont="1" applyBorder="1" applyAlignment="1" applyProtection="1">
      <alignment horizontal="left"/>
    </xf>
    <xf numFmtId="0" fontId="0" fillId="0" borderId="29" xfId="0" applyBorder="1" applyProtection="1"/>
    <xf numFmtId="0" fontId="18" fillId="0" borderId="30" xfId="0" applyFont="1" applyBorder="1" applyProtection="1"/>
    <xf numFmtId="0" fontId="0" fillId="0" borderId="30" xfId="0" applyBorder="1" applyProtection="1"/>
    <xf numFmtId="166" fontId="8" fillId="0" borderId="31" xfId="5" applyNumberFormat="1" applyFont="1" applyBorder="1" applyProtection="1"/>
    <xf numFmtId="0" fontId="4" fillId="0" borderId="0" xfId="0" applyFont="1" applyAlignment="1" applyProtection="1">
      <alignment horizontal="center"/>
    </xf>
    <xf numFmtId="0" fontId="18" fillId="0" borderId="12" xfId="0" applyFont="1" applyBorder="1" applyProtection="1"/>
    <xf numFmtId="0" fontId="18" fillId="2" borderId="0" xfId="0" applyFont="1" applyFill="1" applyBorder="1" applyProtection="1"/>
    <xf numFmtId="0" fontId="0" fillId="2" borderId="0" xfId="0" applyFill="1" applyBorder="1" applyProtection="1"/>
    <xf numFmtId="166" fontId="8" fillId="2" borderId="32" xfId="5" applyNumberFormat="1" applyFont="1" applyFill="1" applyBorder="1" applyProtection="1"/>
    <xf numFmtId="0" fontId="0" fillId="0" borderId="33" xfId="0" applyBorder="1" applyProtection="1"/>
    <xf numFmtId="0" fontId="18" fillId="2" borderId="10" xfId="0" applyFont="1" applyFill="1" applyBorder="1" applyProtection="1"/>
    <xf numFmtId="0" fontId="0" fillId="2" borderId="10" xfId="0" applyFill="1" applyBorder="1" applyProtection="1"/>
    <xf numFmtId="166" fontId="8" fillId="2" borderId="34" xfId="5" applyNumberFormat="1" applyFont="1" applyFill="1" applyBorder="1" applyProtection="1"/>
    <xf numFmtId="0" fontId="18" fillId="2" borderId="0" xfId="0" applyFont="1" applyFill="1" applyProtection="1"/>
    <xf numFmtId="0" fontId="0" fillId="2" borderId="0" xfId="0" applyFill="1" applyProtection="1"/>
    <xf numFmtId="0" fontId="18" fillId="2" borderId="30" xfId="0" applyFont="1" applyFill="1" applyBorder="1" applyProtection="1"/>
    <xf numFmtId="0" fontId="0" fillId="2" borderId="30" xfId="0" applyFill="1" applyBorder="1" applyProtection="1"/>
    <xf numFmtId="166" fontId="8" fillId="2" borderId="31" xfId="5" applyNumberFormat="1" applyFont="1" applyFill="1" applyBorder="1" applyProtection="1"/>
    <xf numFmtId="0" fontId="4" fillId="2" borderId="0" xfId="0" applyFont="1" applyFill="1" applyAlignment="1" applyProtection="1">
      <alignment horizontal="center"/>
    </xf>
    <xf numFmtId="166" fontId="8" fillId="2" borderId="35" xfId="5" applyNumberFormat="1" applyFont="1" applyFill="1" applyBorder="1" applyProtection="1"/>
    <xf numFmtId="167" fontId="18" fillId="2" borderId="0" xfId="4" applyNumberFormat="1" applyFont="1" applyFill="1" applyBorder="1" applyAlignment="1" applyProtection="1">
      <alignment horizontal="center"/>
    </xf>
    <xf numFmtId="0" fontId="18" fillId="2" borderId="0" xfId="0" applyFont="1" applyFill="1" applyBorder="1" applyAlignment="1" applyProtection="1">
      <alignment horizontal="center"/>
    </xf>
    <xf numFmtId="10" fontId="18" fillId="2" borderId="0" xfId="4" applyNumberFormat="1" applyFont="1" applyFill="1" applyBorder="1" applyAlignment="1" applyProtection="1">
      <alignment horizontal="center"/>
    </xf>
    <xf numFmtId="0" fontId="18" fillId="0" borderId="33" xfId="0" applyFont="1" applyBorder="1" applyProtection="1"/>
    <xf numFmtId="166" fontId="8" fillId="0" borderId="0" xfId="5" applyNumberFormat="1" applyFont="1" applyProtection="1"/>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18" fillId="0" borderId="0" xfId="0" applyFont="1" applyBorder="1" applyProtection="1"/>
    <xf numFmtId="0" fontId="0" fillId="0" borderId="0" xfId="0" applyBorder="1" applyProtection="1"/>
    <xf numFmtId="166" fontId="8" fillId="0" borderId="35" xfId="5" applyNumberFormat="1" applyFont="1" applyBorder="1" applyProtection="1"/>
    <xf numFmtId="0" fontId="18" fillId="0" borderId="10" xfId="0" applyFont="1" applyBorder="1" applyProtection="1"/>
    <xf numFmtId="0" fontId="0" fillId="0" borderId="10" xfId="0" applyBorder="1" applyProtection="1"/>
    <xf numFmtId="0" fontId="3" fillId="0" borderId="29" xfId="0" applyFont="1" applyBorder="1" applyAlignment="1" applyProtection="1">
      <alignment horizontal="left"/>
    </xf>
    <xf numFmtId="0" fontId="4" fillId="0" borderId="0" xfId="0" applyFont="1" applyBorder="1" applyAlignment="1" applyProtection="1">
      <alignment horizontal="center"/>
    </xf>
    <xf numFmtId="167" fontId="18" fillId="7" borderId="0" xfId="4" applyNumberFormat="1" applyFont="1" applyFill="1" applyBorder="1" applyAlignment="1" applyProtection="1">
      <alignment horizontal="center"/>
      <protection locked="0"/>
    </xf>
    <xf numFmtId="166" fontId="8" fillId="0" borderId="34" xfId="5" applyNumberFormat="1" applyFont="1" applyBorder="1" applyProtection="1"/>
    <xf numFmtId="166" fontId="8" fillId="7" borderId="35" xfId="5" applyNumberFormat="1" applyFont="1" applyFill="1" applyBorder="1" applyProtection="1">
      <protection locked="0"/>
    </xf>
    <xf numFmtId="166" fontId="8" fillId="2" borderId="36" xfId="5" applyNumberFormat="1" applyFont="1" applyFill="1" applyBorder="1" applyProtection="1"/>
    <xf numFmtId="0" fontId="41" fillId="0" borderId="12" xfId="0" applyFont="1" applyBorder="1" applyProtection="1"/>
    <xf numFmtId="0" fontId="18" fillId="0" borderId="29" xfId="0" applyFont="1" applyBorder="1" applyProtection="1"/>
    <xf numFmtId="0" fontId="4" fillId="0" borderId="30" xfId="0" applyFont="1" applyBorder="1" applyAlignment="1" applyProtection="1">
      <alignment horizontal="center"/>
    </xf>
    <xf numFmtId="166" fontId="8" fillId="13" borderId="31" xfId="5" applyNumberFormat="1" applyFont="1" applyFill="1" applyBorder="1" applyProtection="1"/>
    <xf numFmtId="166" fontId="8" fillId="13" borderId="35" xfId="5" applyNumberFormat="1" applyFont="1" applyFill="1" applyBorder="1" applyProtection="1"/>
    <xf numFmtId="166" fontId="8" fillId="13" borderId="32" xfId="5" applyNumberFormat="1" applyFont="1" applyFill="1" applyBorder="1" applyProtection="1"/>
    <xf numFmtId="0" fontId="8" fillId="0" borderId="0" xfId="0" applyFont="1"/>
    <xf numFmtId="0" fontId="29" fillId="0" borderId="0" xfId="0" applyFont="1" applyAlignment="1" applyProtection="1">
      <alignment horizontal="left" wrapText="1"/>
    </xf>
    <xf numFmtId="0" fontId="43" fillId="0" borderId="0" xfId="0" applyFont="1" applyAlignment="1" applyProtection="1">
      <alignment horizontal="center" wrapText="1"/>
    </xf>
    <xf numFmtId="0" fontId="44" fillId="0" borderId="0" xfId="0" applyFont="1" applyAlignment="1" applyProtection="1">
      <alignment horizontal="center" wrapText="1"/>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29"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9" fontId="0" fillId="14" borderId="0" xfId="0" applyNumberFormat="1" applyFill="1" applyAlignment="1">
      <alignment horizontal="center" vertical="center"/>
    </xf>
    <xf numFmtId="0" fontId="48"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70" fontId="0" fillId="0" borderId="3" xfId="0" applyNumberFormat="1" applyBorder="1" applyAlignment="1">
      <alignment horizontal="center" vertical="center"/>
    </xf>
    <xf numFmtId="0" fontId="49" fillId="0" borderId="0" xfId="0" applyFont="1"/>
    <xf numFmtId="2" fontId="0" fillId="0" borderId="1" xfId="0" applyNumberFormat="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7" fillId="0" borderId="0" xfId="3" applyFont="1" applyFill="1" applyAlignment="1" applyProtection="1">
      <alignment horizontal="left" vertical="center" indent="3"/>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50" fillId="0" borderId="0" xfId="0" applyFont="1"/>
    <xf numFmtId="0" fontId="25" fillId="0" borderId="0" xfId="0" applyFont="1" applyFill="1" applyAlignment="1" applyProtection="1">
      <alignment horizontal="left" wrapText="1"/>
    </xf>
    <xf numFmtId="10" fontId="17" fillId="7" borderId="5" xfId="0" applyNumberFormat="1" applyFont="1" applyFill="1" applyBorder="1" applyAlignment="1" applyProtection="1">
      <alignment horizontal="center" vertical="center"/>
      <protection locked="0"/>
    </xf>
    <xf numFmtId="10" fontId="17" fillId="7" borderId="6" xfId="0" applyNumberFormat="1" applyFont="1" applyFill="1" applyBorder="1" applyAlignment="1" applyProtection="1">
      <alignment horizontal="center" vertical="center"/>
      <protection locked="0"/>
    </xf>
    <xf numFmtId="10" fontId="17" fillId="7" borderId="7" xfId="0" applyNumberFormat="1" applyFont="1" applyFill="1" applyBorder="1" applyAlignment="1" applyProtection="1">
      <alignment horizontal="center" vertical="center"/>
      <protection locked="0"/>
    </xf>
    <xf numFmtId="10" fontId="17" fillId="5" borderId="5" xfId="0" applyNumberFormat="1" applyFont="1" applyFill="1" applyBorder="1" applyAlignment="1" applyProtection="1">
      <alignment horizontal="center" vertical="center"/>
    </xf>
    <xf numFmtId="10" fontId="17" fillId="5" borderId="6" xfId="0" applyNumberFormat="1" applyFont="1" applyFill="1" applyBorder="1" applyAlignment="1" applyProtection="1">
      <alignment horizontal="center" vertical="center"/>
    </xf>
    <xf numFmtId="10" fontId="17" fillId="5" borderId="7" xfId="0" applyNumberFormat="1"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10" xfId="0" applyFont="1" applyBorder="1" applyAlignment="1" applyProtection="1">
      <alignment horizontal="center" vertical="center" wrapText="1"/>
    </xf>
    <xf numFmtId="0" fontId="22" fillId="5" borderId="0" xfId="0" applyFont="1" applyFill="1" applyAlignment="1" applyProtection="1">
      <alignment horizontal="left" vertical="top" wrapText="1"/>
    </xf>
    <xf numFmtId="0" fontId="21" fillId="0" borderId="0" xfId="0" applyFont="1" applyAlignment="1" applyProtection="1">
      <alignment horizontal="center" vertical="center" wrapText="1"/>
    </xf>
    <xf numFmtId="0" fontId="0" fillId="0" borderId="0" xfId="0" applyAlignment="1" applyProtection="1">
      <alignment horizontal="left"/>
    </xf>
    <xf numFmtId="0" fontId="24" fillId="0" borderId="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wrapText="1"/>
    </xf>
    <xf numFmtId="0" fontId="0" fillId="0" borderId="0" xfId="0" applyAlignment="1" applyProtection="1">
      <alignment horizontal="left" wrapText="1"/>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17" fillId="6" borderId="5" xfId="0" applyNumberFormat="1" applyFont="1" applyFill="1" applyBorder="1" applyAlignment="1" applyProtection="1">
      <alignment horizontal="center" vertical="center"/>
      <protection locked="0"/>
    </xf>
    <xf numFmtId="0" fontId="17" fillId="6" borderId="6" xfId="0" applyNumberFormat="1" applyFont="1" applyFill="1" applyBorder="1" applyAlignment="1" applyProtection="1">
      <alignment horizontal="center" vertical="center"/>
      <protection locked="0"/>
    </xf>
    <xf numFmtId="0" fontId="17" fillId="6" borderId="7" xfId="0" applyNumberFormat="1" applyFont="1" applyFill="1" applyBorder="1" applyAlignment="1" applyProtection="1">
      <alignment horizontal="center" vertical="center"/>
      <protection locked="0"/>
    </xf>
    <xf numFmtId="0" fontId="17" fillId="7" borderId="5" xfId="0" applyNumberFormat="1" applyFont="1" applyFill="1" applyBorder="1" applyAlignment="1" applyProtection="1">
      <alignment horizontal="center" vertical="center"/>
      <protection locked="0"/>
    </xf>
    <xf numFmtId="0" fontId="17" fillId="7" borderId="6" xfId="0" applyNumberFormat="1" applyFont="1" applyFill="1" applyBorder="1" applyAlignment="1" applyProtection="1">
      <alignment horizontal="center" vertical="center"/>
      <protection locked="0"/>
    </xf>
    <xf numFmtId="0" fontId="17" fillId="7"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51" fillId="7" borderId="5" xfId="7" applyNumberFormat="1" applyFill="1" applyBorder="1" applyAlignment="1" applyProtection="1">
      <alignment horizontal="left" vertical="center"/>
      <protection locked="0"/>
    </xf>
    <xf numFmtId="0" fontId="18" fillId="7" borderId="6" xfId="0" applyNumberFormat="1" applyFont="1" applyFill="1" applyBorder="1" applyAlignment="1" applyProtection="1">
      <alignment horizontal="left" vertical="center"/>
      <protection locked="0"/>
    </xf>
    <xf numFmtId="0" fontId="18" fillId="7" borderId="7" xfId="0" applyNumberFormat="1" applyFont="1" applyFill="1" applyBorder="1" applyAlignment="1" applyProtection="1">
      <alignment horizontal="left" vertical="center"/>
      <protection locked="0"/>
    </xf>
    <xf numFmtId="0" fontId="18" fillId="6" borderId="5"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protection locked="0"/>
    </xf>
    <xf numFmtId="0" fontId="19"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7" borderId="7" xfId="0" applyFont="1" applyFill="1" applyBorder="1" applyAlignment="1" applyProtection="1">
      <alignment horizontal="left" vertical="center"/>
      <protection locked="0"/>
    </xf>
    <xf numFmtId="0" fontId="28" fillId="9" borderId="13" xfId="0" applyFont="1" applyFill="1" applyBorder="1" applyAlignment="1" applyProtection="1">
      <protection locked="0"/>
    </xf>
    <xf numFmtId="0" fontId="28" fillId="9" borderId="14" xfId="0" applyFont="1" applyFill="1" applyBorder="1" applyAlignment="1" applyProtection="1">
      <protection locked="0"/>
    </xf>
    <xf numFmtId="0" fontId="28" fillId="9" borderId="15" xfId="0" applyFont="1" applyFill="1" applyBorder="1" applyAlignment="1" applyProtection="1">
      <protection locked="0"/>
    </xf>
    <xf numFmtId="0" fontId="28" fillId="9" borderId="13"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30" fillId="0" borderId="10" xfId="0" applyFont="1" applyBorder="1" applyAlignment="1" applyProtection="1">
      <alignment horizontal="center" vertical="center"/>
    </xf>
    <xf numFmtId="0" fontId="31" fillId="0" borderId="10" xfId="0" applyFont="1" applyBorder="1" applyAlignment="1">
      <alignment horizontal="center" vertical="center"/>
    </xf>
    <xf numFmtId="0" fontId="35" fillId="0" borderId="10" xfId="3" applyFont="1" applyBorder="1" applyAlignment="1" applyProtection="1">
      <alignment horizontal="center" wrapText="1"/>
    </xf>
    <xf numFmtId="0" fontId="37" fillId="0" borderId="10" xfId="0" quotePrefix="1" applyFont="1" applyBorder="1" applyAlignment="1">
      <alignment horizontal="center" vertical="center" wrapText="1"/>
    </xf>
    <xf numFmtId="0" fontId="37" fillId="0" borderId="10" xfId="0" applyFont="1" applyBorder="1" applyAlignment="1">
      <alignment horizontal="center" vertical="center" wrapText="1"/>
    </xf>
    <xf numFmtId="0" fontId="37" fillId="0" borderId="10" xfId="0" quotePrefix="1" applyFont="1" applyBorder="1" applyAlignment="1">
      <alignment horizontal="center" vertical="center"/>
    </xf>
    <xf numFmtId="0" fontId="37" fillId="0" borderId="10" xfId="0" applyFont="1" applyBorder="1" applyAlignment="1">
      <alignment horizontal="center" vertical="center"/>
    </xf>
    <xf numFmtId="10" fontId="14" fillId="0" borderId="0" xfId="0" applyNumberFormat="1" applyFont="1" applyAlignment="1">
      <alignment horizontal="left" vertical="top"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14" fillId="0" borderId="0" xfId="0" applyFont="1" applyAlignment="1">
      <alignment horizontal="center" wrapText="1"/>
    </xf>
    <xf numFmtId="0" fontId="14" fillId="11" borderId="0" xfId="0" applyFont="1" applyFill="1" applyAlignment="1">
      <alignment horizontal="center"/>
    </xf>
    <xf numFmtId="0" fontId="14" fillId="0" borderId="0" xfId="0" applyFont="1" applyAlignment="1">
      <alignment horizontal="center"/>
    </xf>
    <xf numFmtId="0" fontId="39" fillId="8" borderId="0" xfId="0" applyFont="1" applyFill="1" applyAlignment="1">
      <alignment horizontal="center"/>
    </xf>
    <xf numFmtId="0" fontId="14" fillId="11"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2" fillId="0" borderId="0" xfId="0" applyFont="1" applyAlignment="1">
      <alignment horizontal="left" vertical="top"/>
    </xf>
    <xf numFmtId="0" fontId="0" fillId="0" borderId="0" xfId="0" applyAlignment="1">
      <alignment horizontal="center" vertical="center"/>
    </xf>
  </cellXfs>
  <cellStyles count="8">
    <cellStyle name="Currency" xfId="1" builtinId="4"/>
    <cellStyle name="Currency 3" xfId="5"/>
    <cellStyle name="Hyperlink" xfId="7" builtinId="8"/>
    <cellStyle name="Normal" xfId="0" builtinId="0"/>
    <cellStyle name="Normal 6" xfId="3"/>
    <cellStyle name="Normal_Core Model Version 0.1" xfId="6"/>
    <cellStyle name="Percent" xfId="2" builtinId="5"/>
    <cellStyle name="Percent 4"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49694</xdr:colOff>
      <xdr:row>59</xdr:row>
      <xdr:rowOff>57964</xdr:rowOff>
    </xdr:from>
    <xdr:to>
      <xdr:col>12</xdr:col>
      <xdr:colOff>124239</xdr:colOff>
      <xdr:row>65</xdr:row>
      <xdr:rowOff>8282</xdr:rowOff>
    </xdr:to>
    <xdr:sp macro="" textlink="">
      <xdr:nvSpPr>
        <xdr:cNvPr id="2" name="Text Box 50"/>
        <xdr:cNvSpPr txBox="1">
          <a:spLocks noChangeArrowheads="1"/>
        </xdr:cNvSpPr>
      </xdr:nvSpPr>
      <xdr:spPr bwMode="auto">
        <a:xfrm>
          <a:off x="49694" y="12850039"/>
          <a:ext cx="8456545"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10147436" cy="19240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xdr:cNvGrpSpPr/>
      </xdr:nvGrpSpPr>
      <xdr:grpSpPr>
        <a:xfrm>
          <a:off x="9525"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xdr:cNvGrpSpPr/>
      </xdr:nvGrpSpPr>
      <xdr:grpSpPr>
        <a:xfrm>
          <a:off x="0" y="9525"/>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xdr:cNvGrpSpPr/>
      </xdr:nvGrpSpPr>
      <xdr:grpSpPr>
        <a:xfrm>
          <a:off x="0" y="0"/>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xdr:cNvGrpSpPr/>
      </xdr:nvGrpSpPr>
      <xdr:grpSpPr>
        <a:xfrm>
          <a:off x="66675" y="28575"/>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a:rPr>
                        </m:ctrlPr>
                      </m:dPr>
                      <m:e>
                        <m:d>
                          <m:dPr>
                            <m:ctrlPr>
                              <a:rPr lang="en-CA" sz="1200" b="1" i="1">
                                <a:latin typeface="Cambria Math"/>
                              </a:rPr>
                            </m:ctrlPr>
                          </m:dPr>
                          <m:e>
                            <m:f>
                              <m:fPr>
                                <m:ctrlPr>
                                  <a:rPr lang="en-CA" sz="1200" b="1" i="1">
                                    <a:latin typeface="Cambria Math"/>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a:ea typeface="Cambria Math"/>
                          </a:rPr>
                        </m:ctrlPr>
                      </m:dPr>
                      <m:e>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58</xdr:row>
      <xdr:rowOff>161926</xdr:rowOff>
    </xdr:from>
    <xdr:ext cx="1671638" cy="294492"/>
    <mc:AlternateContent xmlns:mc="http://schemas.openxmlformats.org/markup-compatibility/2006" xmlns:a14="http://schemas.microsoft.com/office/drawing/2010/main">
      <mc:Choice Requires="a14">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xdr:cNvGrpSpPr/>
      </xdr:nvGrpSpPr>
      <xdr:grpSpPr>
        <a:xfrm>
          <a:off x="0" y="0"/>
          <a:ext cx="8813936" cy="1657350"/>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xdr:cNvGrpSpPr/>
      </xdr:nvGrpSpPr>
      <xdr:grpSpPr>
        <a:xfrm>
          <a:off x="0"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xdr:cNvGrpSpPr/>
      </xdr:nvGrpSpPr>
      <xdr:grpSpPr>
        <a:xfrm>
          <a:off x="0" y="0"/>
          <a:ext cx="8816737"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absolute">
    <xdr:from>
      <xdr:col>0</xdr:col>
      <xdr:colOff>56030</xdr:colOff>
      <xdr:row>13</xdr:row>
      <xdr:rowOff>31937</xdr:rowOff>
    </xdr:from>
    <xdr:to>
      <xdr:col>0</xdr:col>
      <xdr:colOff>2122955</xdr:colOff>
      <xdr:row>13</xdr:row>
      <xdr:rowOff>470087</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3"/>
        <a:stretch>
          <a:fillRect/>
        </a:stretch>
      </xdr:blipFill>
      <xdr:spPr>
        <a:xfrm>
          <a:off x="56030" y="2586878"/>
          <a:ext cx="2066925" cy="438150"/>
        </a:xfrm>
        <a:prstGeom prst="rect">
          <a:avLst/>
        </a:prstGeom>
      </xdr:spPr>
    </xdr:pic>
    <xdr:clientData fLocksWithSheet="0"/>
  </xdr:twoCellAnchor>
  <xdr:twoCellAnchor editAs="absolute">
    <xdr:from>
      <xdr:col>0</xdr:col>
      <xdr:colOff>2269671</xdr:colOff>
      <xdr:row>13</xdr:row>
      <xdr:rowOff>88446</xdr:rowOff>
    </xdr:from>
    <xdr:to>
      <xdr:col>2</xdr:col>
      <xdr:colOff>593271</xdr:colOff>
      <xdr:row>13</xdr:row>
      <xdr:rowOff>450396</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4"/>
        <a:stretch>
          <a:fillRect/>
        </a:stretch>
      </xdr:blipFill>
      <xdr:spPr>
        <a:xfrm>
          <a:off x="2269671" y="2646589"/>
          <a:ext cx="1888671" cy="361950"/>
        </a:xfrm>
        <a:prstGeom prst="rect">
          <a:avLst/>
        </a:prstGeom>
      </xdr:spPr>
    </xdr:pic>
    <xdr:clientData fLocksWithSheet="0"/>
  </xdr:twoCellAnchor>
  <xdr:twoCellAnchor editAs="absolute">
    <xdr:from>
      <xdr:col>2</xdr:col>
      <xdr:colOff>676275</xdr:colOff>
      <xdr:row>13</xdr:row>
      <xdr:rowOff>57150</xdr:rowOff>
    </xdr:from>
    <xdr:to>
      <xdr:col>3</xdr:col>
      <xdr:colOff>1057275</xdr:colOff>
      <xdr:row>13</xdr:row>
      <xdr:rowOff>514350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5"/>
        <a:stretch>
          <a:fillRect/>
        </a:stretch>
      </xdr:blipFill>
      <xdr:spPr>
        <a:xfrm>
          <a:off x="4238625" y="2609850"/>
          <a:ext cx="1704975"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_Capital_Module_ACM_Model_Enersourc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M%20Application_Capital%20Tables_Enersour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pporting%20Schedules/2018%20ICM%20Depreciation%20Forecast%20(2017-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ow r="26">
          <cell r="F26" t="str">
            <v>Price-Cap IR</v>
          </cell>
          <cell r="K26">
            <v>2018</v>
          </cell>
        </row>
        <row r="38">
          <cell r="F38">
            <v>2016</v>
          </cell>
        </row>
        <row r="48">
          <cell r="F48" t="str">
            <v>2016 Actual Distribution Revenues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0">
          <cell r="C10">
            <v>541300088</v>
          </cell>
        </row>
        <row r="36">
          <cell r="C36">
            <v>0.04</v>
          </cell>
        </row>
        <row r="37">
          <cell r="C37">
            <v>0.56000000000000005</v>
          </cell>
        </row>
        <row r="38">
          <cell r="C38">
            <v>0.39999999999999991</v>
          </cell>
        </row>
        <row r="40">
          <cell r="C40">
            <v>2.0799999999999999E-2</v>
          </cell>
        </row>
        <row r="41">
          <cell r="C41">
            <v>5.0900000000000001E-2</v>
          </cell>
        </row>
        <row r="42">
          <cell r="C42">
            <v>8.9300000000000004E-2</v>
          </cell>
        </row>
      </sheetData>
      <sheetData sheetId="9" refreshError="1"/>
      <sheetData sheetId="10" refreshError="1"/>
      <sheetData sheetId="11" refreshError="1"/>
      <sheetData sheetId="12" refreshError="1"/>
      <sheetData sheetId="13" refreshError="1"/>
      <sheetData sheetId="14" refreshError="1"/>
      <sheetData sheetId="15">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Table 1 - EHM Capex"/>
      <sheetName val="ICM Table 1 - EHM Capex (2)"/>
      <sheetName val="ICM Table 2 - EHM Capex"/>
      <sheetName val="Table 2 - PS Capex"/>
      <sheetName val="ICM Table 2 Backup (EHM)"/>
      <sheetName val="ICM Table 3 - Elig Cap (EHM)"/>
      <sheetName val="ICM Table 4 - EligProjects(EHM)"/>
      <sheetName val="ICM Table 4 - Elig Projects(PS)"/>
    </sheetNames>
    <sheetDataSet>
      <sheetData sheetId="0"/>
      <sheetData sheetId="1"/>
      <sheetData sheetId="2"/>
      <sheetData sheetId="3"/>
      <sheetData sheetId="4"/>
      <sheetData sheetId="5">
        <row r="4">
          <cell r="C4">
            <v>72682772</v>
          </cell>
        </row>
      </sheetData>
      <sheetData sheetId="6">
        <row r="4">
          <cell r="C4">
            <v>1294220.0084717046</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Projects - Prioritized"/>
      <sheetName val="Components"/>
      <sheetName val="Other assets"/>
      <sheetName val="2018 depr for ICM"/>
      <sheetName val="Summary for Application"/>
      <sheetName val="ICM Revenue by Project"/>
      <sheetName val="Bill Impacts"/>
      <sheetName val="Business Case Analysis"/>
      <sheetName val="Board Pres"/>
    </sheetNames>
    <sheetDataSet>
      <sheetData sheetId="0"/>
      <sheetData sheetId="1"/>
      <sheetData sheetId="2"/>
      <sheetData sheetId="3"/>
      <sheetData sheetId="4">
        <row r="9">
          <cell r="C9" t="str">
            <v>Substation Upgrade - York MS</v>
          </cell>
        </row>
        <row r="13">
          <cell r="C13" t="str">
            <v>Leaking Transformer Replacement Project - Padmount/Vault</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dy.butany@alectrautiliti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0"/>
  <sheetViews>
    <sheetView showGridLines="0" topLeftCell="A24" workbookViewId="0">
      <selection activeCell="R15" sqref="R15"/>
    </sheetView>
  </sheetViews>
  <sheetFormatPr defaultColWidth="9.140625" defaultRowHeight="15" x14ac:dyDescent="0.25"/>
  <cols>
    <col min="1" max="1" width="13.28515625" style="35" customWidth="1"/>
    <col min="2" max="2" width="13.5703125" style="35" customWidth="1"/>
    <col min="3" max="3" width="9.140625" style="35"/>
    <col min="4" max="4" width="10.28515625" style="35" customWidth="1"/>
    <col min="5" max="5" width="9.140625" style="35" customWidth="1"/>
    <col min="6" max="6" width="9.140625" style="35"/>
    <col min="7" max="7" width="13.28515625" style="35" customWidth="1"/>
    <col min="8" max="8" width="11.28515625" style="35" customWidth="1"/>
    <col min="9" max="9" width="9.140625" style="35"/>
    <col min="10" max="10" width="13" style="35" customWidth="1"/>
    <col min="11" max="12" width="9.140625" style="35"/>
    <col min="13" max="13" width="13.42578125" style="35" customWidth="1"/>
    <col min="14" max="26" width="9.140625" style="35"/>
    <col min="27" max="27" width="0" style="35" hidden="1" customWidth="1"/>
    <col min="28" max="16384" width="9.140625" style="35"/>
  </cols>
  <sheetData>
    <row r="1" spans="1:27" x14ac:dyDescent="0.25">
      <c r="U1" s="36" t="s">
        <v>51</v>
      </c>
      <c r="AA1" s="35" t="str">
        <f>IF(OR(F16="", F16="(if applicable)"), F14, F14 &amp; " - " &amp; F16)</f>
        <v>Alectra Utilities - Enersource Rate Zone - Mississauga</v>
      </c>
    </row>
    <row r="11" spans="1:27" x14ac:dyDescent="0.25">
      <c r="G11" s="37"/>
    </row>
    <row r="12" spans="1:27" x14ac:dyDescent="0.25">
      <c r="A12" s="38" t="s">
        <v>52</v>
      </c>
      <c r="B12" s="39"/>
      <c r="C12" s="39"/>
      <c r="D12" s="39"/>
      <c r="E12" s="39"/>
      <c r="F12" s="39"/>
      <c r="G12" s="37"/>
      <c r="M12" s="40" t="s">
        <v>53</v>
      </c>
      <c r="N12" s="41">
        <v>3.01</v>
      </c>
    </row>
    <row r="13" spans="1:27" ht="15.75" thickBot="1" x14ac:dyDescent="0.3">
      <c r="G13" s="37"/>
    </row>
    <row r="14" spans="1:27" ht="16.5" customHeight="1" thickTop="1" thickBot="1" x14ac:dyDescent="0.3">
      <c r="E14" s="42" t="s">
        <v>54</v>
      </c>
      <c r="F14" s="330" t="s">
        <v>339</v>
      </c>
      <c r="G14" s="331"/>
      <c r="H14" s="331"/>
      <c r="I14" s="331"/>
      <c r="J14" s="331"/>
      <c r="K14" s="331"/>
      <c r="L14" s="332"/>
    </row>
    <row r="15" spans="1:27" ht="15.75" thickBot="1" x14ac:dyDescent="0.3">
      <c r="E15" s="43"/>
      <c r="F15" s="44"/>
      <c r="G15" s="45"/>
      <c r="H15" s="44"/>
      <c r="I15" s="44"/>
      <c r="J15" s="44"/>
    </row>
    <row r="16" spans="1:27" ht="16.5" thickTop="1" thickBot="1" x14ac:dyDescent="0.3">
      <c r="E16" s="46" t="s">
        <v>55</v>
      </c>
      <c r="F16" s="333" t="s">
        <v>331</v>
      </c>
      <c r="G16" s="334"/>
      <c r="H16" s="334"/>
      <c r="I16" s="334"/>
      <c r="J16" s="335"/>
    </row>
    <row r="17" spans="1:13" ht="15.75" thickBot="1" x14ac:dyDescent="0.3">
      <c r="E17" s="47"/>
    </row>
    <row r="18" spans="1:13" ht="16.5" thickTop="1" thickBot="1" x14ac:dyDescent="0.3">
      <c r="E18" s="46" t="s">
        <v>56</v>
      </c>
      <c r="F18" s="336" t="s">
        <v>327</v>
      </c>
      <c r="G18" s="337"/>
      <c r="H18" s="337"/>
      <c r="I18" s="337"/>
      <c r="J18" s="338"/>
    </row>
    <row r="19" spans="1:13" ht="15.75" thickBot="1" x14ac:dyDescent="0.3">
      <c r="E19" s="47"/>
    </row>
    <row r="20" spans="1:13" ht="16.5" thickTop="1" thickBot="1" x14ac:dyDescent="0.3">
      <c r="E20" s="46" t="s">
        <v>57</v>
      </c>
      <c r="F20" s="336" t="s">
        <v>340</v>
      </c>
      <c r="G20" s="337"/>
      <c r="H20" s="337"/>
      <c r="I20" s="337"/>
      <c r="J20" s="338"/>
      <c r="M20" s="48"/>
    </row>
    <row r="21" spans="1:13" ht="15.75" thickBot="1" x14ac:dyDescent="0.3">
      <c r="E21" s="49"/>
      <c r="F21" s="44"/>
      <c r="G21" s="45"/>
      <c r="H21" s="44"/>
      <c r="I21" s="44"/>
      <c r="J21" s="44"/>
    </row>
    <row r="22" spans="1:13" ht="16.5" thickTop="1" thickBot="1" x14ac:dyDescent="0.3">
      <c r="E22" s="42" t="s">
        <v>58</v>
      </c>
      <c r="F22" s="336" t="s">
        <v>341</v>
      </c>
      <c r="G22" s="337"/>
      <c r="H22" s="337"/>
      <c r="I22" s="337"/>
      <c r="J22" s="338"/>
    </row>
    <row r="23" spans="1:13" ht="15.75" thickBot="1" x14ac:dyDescent="0.3">
      <c r="E23" s="49"/>
      <c r="F23" s="44"/>
      <c r="G23" s="45"/>
      <c r="H23" s="44"/>
      <c r="I23" s="44"/>
      <c r="J23" s="44"/>
    </row>
    <row r="24" spans="1:13" ht="16.5" thickTop="1" thickBot="1" x14ac:dyDescent="0.3">
      <c r="E24" s="42" t="s">
        <v>59</v>
      </c>
      <c r="F24" s="327" t="s">
        <v>342</v>
      </c>
      <c r="G24" s="328"/>
      <c r="H24" s="328"/>
      <c r="I24" s="328"/>
      <c r="J24" s="329"/>
    </row>
    <row r="25" spans="1:13" ht="15.75" thickBot="1" x14ac:dyDescent="0.3">
      <c r="E25" s="49"/>
      <c r="F25" s="44"/>
      <c r="G25" s="45"/>
      <c r="H25" s="44"/>
      <c r="I25" s="44"/>
      <c r="J25" s="44"/>
    </row>
    <row r="26" spans="1:13" ht="31.5" thickTop="1" thickBot="1" x14ac:dyDescent="0.3">
      <c r="A26" s="312" t="s">
        <v>60</v>
      </c>
      <c r="B26" s="312"/>
      <c r="C26" s="312"/>
      <c r="D26" s="312"/>
      <c r="E26" s="313"/>
      <c r="F26" s="317" t="s">
        <v>61</v>
      </c>
      <c r="G26" s="318"/>
      <c r="H26" s="319"/>
      <c r="I26" s="44"/>
      <c r="J26" s="50" t="s">
        <v>62</v>
      </c>
      <c r="K26" s="51">
        <v>2018</v>
      </c>
    </row>
    <row r="27" spans="1:13" ht="15.75" thickBot="1" x14ac:dyDescent="0.3">
      <c r="E27" s="49"/>
      <c r="F27" s="44"/>
      <c r="G27" s="45"/>
      <c r="H27" s="44"/>
      <c r="I27" s="44"/>
      <c r="J27" s="44"/>
    </row>
    <row r="28" spans="1:13" ht="30" customHeight="1" thickTop="1" thickBot="1" x14ac:dyDescent="0.3">
      <c r="A28" s="312" t="str">
        <f>"Indicate the Price-Cap IR Year (1, 2, 3, 4, etc) in which " &amp;F14 &amp; " is applying:"</f>
        <v>Indicate the Price-Cap IR Year (1, 2, 3, 4, etc) in which Alectra Utilities - Enersource Rate Zone is applying:</v>
      </c>
      <c r="B28" s="312"/>
      <c r="C28" s="312"/>
      <c r="D28" s="312"/>
      <c r="E28" s="313"/>
      <c r="F28" s="317">
        <v>5</v>
      </c>
      <c r="G28" s="318"/>
      <c r="H28" s="319"/>
      <c r="I28" s="44"/>
    </row>
    <row r="29" spans="1:13" ht="15.75" thickBot="1" x14ac:dyDescent="0.3">
      <c r="E29" s="49"/>
      <c r="F29" s="44"/>
      <c r="G29" s="45"/>
      <c r="H29" s="44"/>
      <c r="I29" s="44"/>
      <c r="J29" s="44"/>
    </row>
    <row r="30" spans="1:13" ht="42" customHeight="1" thickTop="1" thickBot="1" x14ac:dyDescent="0.3">
      <c r="A30" s="312" t="str">
        <f>"For which Rate Year is " &amp;F14 &amp; " seeking approval for its CoS application?"</f>
        <v>For which Rate Year is Alectra Utilities - Enersource Rate Zone seeking approval for its CoS application?</v>
      </c>
      <c r="B30" s="312"/>
      <c r="C30" s="312"/>
      <c r="D30" s="312"/>
      <c r="E30" s="313"/>
      <c r="F30" s="320"/>
      <c r="G30" s="321"/>
      <c r="H30" s="322"/>
      <c r="I30" s="44"/>
      <c r="J30" s="44"/>
    </row>
    <row r="31" spans="1:13" ht="15.75" thickBot="1" x14ac:dyDescent="0.3">
      <c r="E31" s="49"/>
      <c r="F31" s="44"/>
      <c r="G31" s="45"/>
      <c r="H31" s="44"/>
      <c r="I31" s="44"/>
      <c r="J31" s="44"/>
    </row>
    <row r="32" spans="1:13" ht="16.5" thickTop="1" thickBot="1" x14ac:dyDescent="0.3">
      <c r="E32" s="52" t="str">
        <f>F14 &amp; " is applying for:"</f>
        <v>Alectra Utilities - Enersource Rate Zone is applying for:</v>
      </c>
      <c r="F32" s="317" t="s">
        <v>328</v>
      </c>
      <c r="G32" s="318"/>
      <c r="H32" s="319"/>
      <c r="I32" s="44"/>
      <c r="J32" s="44"/>
    </row>
    <row r="33" spans="1:23" ht="15.75" thickBot="1" x14ac:dyDescent="0.3">
      <c r="E33" s="49"/>
      <c r="F33" s="44"/>
      <c r="G33" s="45"/>
      <c r="H33" s="44"/>
      <c r="I33" s="44"/>
      <c r="J33" s="44"/>
    </row>
    <row r="34" spans="1:23" ht="16.5" thickTop="1" thickBot="1" x14ac:dyDescent="0.3">
      <c r="A34" s="312" t="s">
        <v>63</v>
      </c>
      <c r="B34" s="312"/>
      <c r="C34" s="312"/>
      <c r="D34" s="312"/>
      <c r="E34" s="323"/>
      <c r="F34" s="324">
        <f>IF(F26="COS", K26-F28, VLOOKUP(F28, D109:E117,2,FALSE))</f>
        <v>2013</v>
      </c>
      <c r="G34" s="325"/>
      <c r="H34" s="326"/>
      <c r="I34" s="44"/>
      <c r="J34" s="44"/>
    </row>
    <row r="35" spans="1:23" ht="15.75" thickBot="1" x14ac:dyDescent="0.3">
      <c r="E35" s="49"/>
      <c r="F35" s="44"/>
      <c r="G35" s="45"/>
      <c r="H35" s="44"/>
      <c r="I35" s="44"/>
      <c r="J35" s="44"/>
    </row>
    <row r="36" spans="1:23" ht="16.5" thickTop="1" thickBot="1" x14ac:dyDescent="0.3">
      <c r="A36" s="312" t="s">
        <v>64</v>
      </c>
      <c r="B36" s="312"/>
      <c r="C36" s="312"/>
      <c r="D36" s="312"/>
      <c r="E36" s="313"/>
      <c r="F36" s="320" t="s">
        <v>329</v>
      </c>
      <c r="G36" s="321"/>
      <c r="H36" s="322"/>
      <c r="I36" s="44"/>
    </row>
    <row r="37" spans="1:23" ht="15.75" thickBot="1" x14ac:dyDescent="0.3">
      <c r="A37" s="291"/>
      <c r="B37" s="291"/>
      <c r="C37" s="291"/>
      <c r="D37" s="291"/>
      <c r="E37" s="291"/>
      <c r="F37" s="291"/>
      <c r="G37" s="291"/>
      <c r="H37" s="291"/>
      <c r="I37" s="291"/>
      <c r="J37" s="291"/>
      <c r="K37" s="291"/>
      <c r="L37" s="291"/>
      <c r="M37" s="291"/>
      <c r="N37" s="291"/>
      <c r="O37" s="291"/>
      <c r="P37" s="291"/>
      <c r="Q37" s="291"/>
      <c r="R37" s="291"/>
      <c r="S37" s="291"/>
      <c r="T37" s="291"/>
      <c r="U37" s="291"/>
      <c r="V37" s="291"/>
      <c r="W37" s="291"/>
    </row>
    <row r="38" spans="1:23" ht="30" customHeight="1" thickTop="1" thickBot="1" x14ac:dyDescent="0.3">
      <c r="A38" s="312" t="s">
        <v>65</v>
      </c>
      <c r="B38" s="312"/>
      <c r="C38" s="312"/>
      <c r="D38" s="312"/>
      <c r="E38" s="313"/>
      <c r="F38" s="314">
        <f>K26-2</f>
        <v>2016</v>
      </c>
      <c r="G38" s="315"/>
      <c r="H38" s="316"/>
      <c r="I38" s="44"/>
    </row>
    <row r="39" spans="1:23" ht="15.75" thickBot="1" x14ac:dyDescent="0.3">
      <c r="A39" s="291"/>
      <c r="B39" s="291"/>
      <c r="C39" s="291"/>
      <c r="D39" s="291"/>
      <c r="E39" s="291"/>
      <c r="F39" s="291"/>
      <c r="G39" s="291"/>
      <c r="H39" s="291"/>
      <c r="I39" s="291"/>
    </row>
    <row r="40" spans="1:23" ht="16.5" thickTop="1" thickBot="1" x14ac:dyDescent="0.3">
      <c r="E40" s="52" t="s">
        <v>66</v>
      </c>
      <c r="F40" s="297">
        <v>1.2E-2</v>
      </c>
      <c r="G40" s="298"/>
      <c r="H40" s="299"/>
      <c r="I40" s="44"/>
    </row>
    <row r="41" spans="1:23" ht="15.75" thickBot="1" x14ac:dyDescent="0.3"/>
    <row r="42" spans="1:23" ht="16.5" thickTop="1" thickBot="1" x14ac:dyDescent="0.3">
      <c r="E42" s="52" t="s">
        <v>67</v>
      </c>
      <c r="F42" s="300" t="s">
        <v>68</v>
      </c>
      <c r="G42" s="301"/>
      <c r="H42" s="302"/>
      <c r="I42" s="44"/>
    </row>
    <row r="43" spans="1:23" ht="15.75" thickBot="1" x14ac:dyDescent="0.3"/>
    <row r="44" spans="1:23" ht="16.5" thickTop="1" thickBot="1" x14ac:dyDescent="0.3">
      <c r="E44" s="52" t="s">
        <v>69</v>
      </c>
      <c r="F44" s="300">
        <v>3.0000000000000001E-3</v>
      </c>
      <c r="G44" s="301"/>
      <c r="H44" s="302"/>
      <c r="I44" s="44"/>
    </row>
    <row r="45" spans="1:23" ht="15.75" thickBot="1" x14ac:dyDescent="0.3"/>
    <row r="46" spans="1:23" ht="16.5" thickTop="1" thickBot="1" x14ac:dyDescent="0.3">
      <c r="E46" s="52" t="s">
        <v>3</v>
      </c>
      <c r="F46" s="300">
        <f>F40-F44</f>
        <v>9.0000000000000011E-3</v>
      </c>
      <c r="G46" s="301"/>
      <c r="H46" s="302"/>
      <c r="I46" s="44"/>
    </row>
    <row r="47" spans="1:23" x14ac:dyDescent="0.25">
      <c r="I47" s="53"/>
      <c r="J47" s="53"/>
      <c r="K47" s="53"/>
      <c r="L47" s="53"/>
      <c r="M47" s="53"/>
    </row>
    <row r="48" spans="1:23" ht="26.25" customHeight="1" thickBot="1" x14ac:dyDescent="0.3">
      <c r="A48" s="303" t="s">
        <v>70</v>
      </c>
      <c r="B48" s="303"/>
      <c r="C48" s="303"/>
      <c r="D48" s="303"/>
      <c r="E48" s="303"/>
      <c r="F48" s="304" t="s">
        <v>330</v>
      </c>
      <c r="G48" s="304"/>
      <c r="H48" s="304"/>
      <c r="I48" s="54" t="str">
        <f>LEFT(F48,4)</f>
        <v>2016</v>
      </c>
      <c r="J48" s="305" t="s">
        <v>71</v>
      </c>
      <c r="K48" s="305"/>
      <c r="L48" s="305"/>
      <c r="M48" s="305"/>
      <c r="N48" s="55"/>
    </row>
    <row r="49" spans="1:14" ht="25.5" customHeight="1" x14ac:dyDescent="0.25">
      <c r="A49" s="303"/>
      <c r="B49" s="303"/>
      <c r="C49" s="303"/>
      <c r="D49" s="303"/>
      <c r="E49" s="303"/>
      <c r="F49" s="306" t="s">
        <v>45</v>
      </c>
      <c r="G49" s="306"/>
      <c r="H49" s="306"/>
      <c r="I49" s="54" t="str">
        <f>LEFT(F49,4)</f>
        <v>2013</v>
      </c>
      <c r="J49" s="305"/>
      <c r="K49" s="305"/>
      <c r="L49" s="305"/>
      <c r="M49" s="305"/>
      <c r="N49" s="55"/>
    </row>
    <row r="50" spans="1:14" x14ac:dyDescent="0.25">
      <c r="A50" s="55"/>
      <c r="B50" s="55"/>
      <c r="C50" s="55"/>
      <c r="D50" s="55"/>
      <c r="E50" s="55"/>
      <c r="F50" s="55"/>
      <c r="G50" s="55"/>
      <c r="H50" s="55"/>
      <c r="I50" s="54"/>
      <c r="J50" s="305"/>
      <c r="K50" s="305"/>
      <c r="L50" s="305"/>
      <c r="M50" s="305"/>
      <c r="N50" s="55"/>
    </row>
    <row r="51" spans="1:14" x14ac:dyDescent="0.25">
      <c r="B51" s="56" t="s">
        <v>72</v>
      </c>
      <c r="I51" s="53"/>
      <c r="J51" s="305"/>
      <c r="K51" s="305"/>
      <c r="L51" s="305"/>
      <c r="M51" s="305"/>
    </row>
    <row r="52" spans="1:14" ht="15.75" thickBot="1" x14ac:dyDescent="0.3">
      <c r="I52" s="53"/>
      <c r="J52" s="305"/>
      <c r="K52" s="305"/>
      <c r="L52" s="305"/>
      <c r="M52" s="305"/>
    </row>
    <row r="53" spans="1:14" ht="15.75" thickBot="1" x14ac:dyDescent="0.3">
      <c r="B53" s="57"/>
      <c r="C53" s="307" t="s">
        <v>73</v>
      </c>
      <c r="D53" s="307"/>
      <c r="E53" s="307"/>
      <c r="F53" s="307"/>
      <c r="G53" s="307"/>
      <c r="H53" s="307"/>
      <c r="I53" s="307"/>
      <c r="J53" s="307"/>
      <c r="K53" s="307"/>
      <c r="L53" s="307"/>
    </row>
    <row r="54" spans="1:14" ht="15.75" thickBot="1" x14ac:dyDescent="0.3"/>
    <row r="55" spans="1:14" ht="15.75" thickBot="1" x14ac:dyDescent="0.3">
      <c r="B55" s="58"/>
      <c r="C55" s="308" t="s">
        <v>74</v>
      </c>
      <c r="D55" s="309"/>
      <c r="E55" s="309"/>
      <c r="F55" s="309"/>
      <c r="G55" s="309"/>
      <c r="H55" s="309"/>
      <c r="I55" s="309"/>
      <c r="J55" s="309"/>
      <c r="K55" s="309"/>
      <c r="L55" s="309"/>
      <c r="M55" s="309"/>
      <c r="N55" s="309"/>
    </row>
    <row r="56" spans="1:14" ht="15.75" thickBot="1" x14ac:dyDescent="0.3">
      <c r="B56" s="59"/>
    </row>
    <row r="57" spans="1:14" ht="15.75" thickBot="1" x14ac:dyDescent="0.3">
      <c r="B57" s="60"/>
      <c r="C57" s="310" t="s">
        <v>75</v>
      </c>
      <c r="D57" s="311"/>
      <c r="E57" s="311"/>
      <c r="F57" s="311"/>
      <c r="G57" s="311"/>
      <c r="H57" s="311"/>
      <c r="I57" s="311"/>
      <c r="J57" s="311"/>
      <c r="K57" s="311"/>
      <c r="L57" s="311"/>
      <c r="M57" s="311"/>
    </row>
    <row r="66" spans="1:13" x14ac:dyDescent="0.25">
      <c r="A66" s="296" t="s">
        <v>76</v>
      </c>
      <c r="B66" s="296"/>
      <c r="C66" s="296"/>
      <c r="D66" s="296"/>
      <c r="E66" s="296"/>
      <c r="F66" s="296"/>
      <c r="G66" s="296"/>
      <c r="H66" s="296"/>
      <c r="I66" s="296"/>
      <c r="J66" s="296"/>
      <c r="K66" s="296"/>
      <c r="L66" s="296"/>
      <c r="M66" s="296"/>
    </row>
    <row r="85" spans="1:11" hidden="1" x14ac:dyDescent="0.25"/>
    <row r="86" spans="1:11" hidden="1" x14ac:dyDescent="0.25"/>
    <row r="87" spans="1:11" hidden="1" x14ac:dyDescent="0.25"/>
    <row r="88" spans="1:11" hidden="1" x14ac:dyDescent="0.25"/>
    <row r="89" spans="1:11" hidden="1" x14ac:dyDescent="0.25"/>
    <row r="90" spans="1:11" hidden="1" x14ac:dyDescent="0.25"/>
    <row r="91" spans="1:11" hidden="1" x14ac:dyDescent="0.25"/>
    <row r="92" spans="1:11" hidden="1" x14ac:dyDescent="0.25"/>
    <row r="93" spans="1:11" hidden="1" x14ac:dyDescent="0.25">
      <c r="A93" s="61"/>
      <c r="B93" s="62" t="s">
        <v>77</v>
      </c>
      <c r="C93" s="61"/>
      <c r="D93" s="63" t="s">
        <v>78</v>
      </c>
      <c r="E93" s="63"/>
      <c r="F93" s="63"/>
      <c r="G93" s="63"/>
      <c r="H93" s="64" t="s">
        <v>79</v>
      </c>
      <c r="I93" s="64"/>
      <c r="J93" s="64"/>
      <c r="K93" s="64"/>
    </row>
    <row r="94" spans="1:11" hidden="1" x14ac:dyDescent="0.25">
      <c r="A94" s="61"/>
      <c r="B94" s="62"/>
      <c r="C94" s="61" t="s">
        <v>1</v>
      </c>
      <c r="D94" s="63">
        <v>1</v>
      </c>
      <c r="E94" s="63">
        <v>2</v>
      </c>
      <c r="F94" s="63">
        <v>3</v>
      </c>
      <c r="G94" s="63">
        <v>4</v>
      </c>
      <c r="H94" s="64">
        <v>5</v>
      </c>
      <c r="I94" s="64">
        <v>6</v>
      </c>
      <c r="J94" s="64">
        <v>7</v>
      </c>
      <c r="K94" s="64">
        <v>8</v>
      </c>
    </row>
    <row r="95" spans="1:11" hidden="1" x14ac:dyDescent="0.25">
      <c r="A95" s="61" t="s">
        <v>80</v>
      </c>
      <c r="B95" s="65">
        <f>K26</f>
        <v>2018</v>
      </c>
      <c r="C95" s="66" t="s">
        <v>81</v>
      </c>
      <c r="D95" s="67">
        <f>K26</f>
        <v>2018</v>
      </c>
      <c r="E95" s="67">
        <f>D95</f>
        <v>2018</v>
      </c>
      <c r="F95" s="67">
        <f>D95</f>
        <v>2018</v>
      </c>
      <c r="G95" s="67">
        <f>F95</f>
        <v>2018</v>
      </c>
      <c r="H95" s="68">
        <v>2016</v>
      </c>
      <c r="I95" s="68">
        <v>2016</v>
      </c>
      <c r="J95" s="68">
        <v>2016</v>
      </c>
      <c r="K95" s="68">
        <v>2016</v>
      </c>
    </row>
    <row r="96" spans="1:11" hidden="1" x14ac:dyDescent="0.25">
      <c r="A96" s="61" t="s">
        <v>82</v>
      </c>
      <c r="B96" s="65">
        <f>B95-2</f>
        <v>2016</v>
      </c>
      <c r="C96" s="66" t="s">
        <v>83</v>
      </c>
      <c r="D96" s="65">
        <f>D95-2</f>
        <v>2016</v>
      </c>
      <c r="E96" s="65">
        <f t="shared" ref="E96:G96" si="0">E95-2</f>
        <v>2016</v>
      </c>
      <c r="F96" s="65">
        <f t="shared" si="0"/>
        <v>2016</v>
      </c>
      <c r="G96" s="65">
        <f t="shared" si="0"/>
        <v>2016</v>
      </c>
      <c r="H96" s="65">
        <f>H95-2</f>
        <v>2014</v>
      </c>
      <c r="I96" s="65">
        <f>I95-2</f>
        <v>2014</v>
      </c>
      <c r="J96" s="65">
        <f>J95-2</f>
        <v>2014</v>
      </c>
      <c r="K96" s="65">
        <f>K95-2</f>
        <v>2014</v>
      </c>
    </row>
    <row r="97" spans="1:14" hidden="1" x14ac:dyDescent="0.25">
      <c r="A97" s="61" t="s">
        <v>84</v>
      </c>
      <c r="B97" s="65"/>
      <c r="C97" s="66"/>
      <c r="D97" s="67">
        <f>D95-1</f>
        <v>2017</v>
      </c>
      <c r="E97" s="67">
        <f>E95-2</f>
        <v>2016</v>
      </c>
      <c r="F97" s="67">
        <f>F95-3</f>
        <v>2015</v>
      </c>
      <c r="G97" s="67">
        <f>G95-G94</f>
        <v>2014</v>
      </c>
      <c r="H97" s="68">
        <f>H95-5</f>
        <v>2011</v>
      </c>
      <c r="I97" s="68">
        <f>I95-6</f>
        <v>2010</v>
      </c>
      <c r="J97" s="68">
        <f>J95-7</f>
        <v>2009</v>
      </c>
      <c r="K97" s="68">
        <f>K95-8</f>
        <v>2008</v>
      </c>
    </row>
    <row r="98" spans="1:14" hidden="1" x14ac:dyDescent="0.25">
      <c r="A98" s="61"/>
      <c r="B98" s="65"/>
      <c r="C98" s="66"/>
      <c r="D98" s="67"/>
      <c r="E98" s="67"/>
      <c r="F98" s="67"/>
      <c r="G98" s="67"/>
      <c r="H98" s="68"/>
      <c r="I98" s="68"/>
      <c r="J98" s="68"/>
      <c r="K98" s="68"/>
    </row>
    <row r="99" spans="1:14" hidden="1" x14ac:dyDescent="0.25">
      <c r="A99" s="61" t="s">
        <v>85</v>
      </c>
      <c r="B99" s="65"/>
      <c r="C99" s="66"/>
      <c r="D99" s="67"/>
      <c r="E99" s="67"/>
      <c r="F99" s="67"/>
      <c r="G99" s="67"/>
      <c r="H99" s="68"/>
      <c r="I99" s="68"/>
      <c r="J99" s="68"/>
      <c r="K99" s="68"/>
    </row>
    <row r="100" spans="1:14" hidden="1" x14ac:dyDescent="0.25">
      <c r="A100" s="61" t="s">
        <v>86</v>
      </c>
      <c r="B100" s="69" t="str">
        <f>B95&amp;" Test Year Distribution Revenues"</f>
        <v>2018 Test Year Distribution Revenues</v>
      </c>
      <c r="C100" s="70" t="s">
        <v>87</v>
      </c>
      <c r="D100" s="71" t="str">
        <f>D97&amp;" Board-Approved Distribution Revenues"</f>
        <v>2017 Board-Approved Distribution Revenues</v>
      </c>
      <c r="E100" s="71" t="str">
        <f>E97&amp;" Board-Approved Distribution Revenues"</f>
        <v>2016 Board-Approved Distribution Revenues</v>
      </c>
      <c r="F100" s="71" t="str">
        <f>F97+1&amp;" Actual Distribution Revenues"</f>
        <v>2016 Actual Distribution Revenues</v>
      </c>
      <c r="G100" s="71" t="str">
        <f>G97+2&amp;" Actual Distribution Revenues"</f>
        <v>2016 Actual Distribution Revenues</v>
      </c>
      <c r="H100" s="71" t="str">
        <f>H97+3&amp;" Actual Distribution Revenues"</f>
        <v>2014 Actual Distribution Revenues</v>
      </c>
      <c r="I100" s="71" t="str">
        <f>I97+4&amp;" Actual Distribution Revenues"</f>
        <v>2014 Actual Distribution Revenues</v>
      </c>
      <c r="J100" s="71" t="str">
        <f>J97+5&amp;" Actual Distribution Revenues"</f>
        <v>2014 Actual Distribution Revenues</v>
      </c>
      <c r="K100" s="71" t="str">
        <f>K97+6&amp;" Actual Distribution Revenues"</f>
        <v>2014 Actual Distribution Revenues</v>
      </c>
    </row>
    <row r="101" spans="1:14" hidden="1" x14ac:dyDescent="0.25">
      <c r="A101" s="61" t="s">
        <v>88</v>
      </c>
      <c r="B101" s="69" t="str">
        <f>B96&amp;" Actual Distribution Revenues"</f>
        <v>2016 Actual Distribution Revenues</v>
      </c>
      <c r="C101" s="70" t="s">
        <v>87</v>
      </c>
      <c r="D101" s="71" t="str">
        <f>D96&amp;" Actual Distribution Revenues"</f>
        <v>2016 Actual Distribution Revenues</v>
      </c>
      <c r="E101" s="71" t="str">
        <f>E96-1&amp;" Actual Distribution Revenues"</f>
        <v>2015 Actual Distribution Revenues</v>
      </c>
      <c r="F101" s="71" t="str">
        <f t="shared" ref="F101:G101" si="1">F97&amp;" Board-Approved Distribution Revenues"</f>
        <v>2015 Board-Approved Distribution Revenues</v>
      </c>
      <c r="G101" s="71" t="str">
        <f t="shared" si="1"/>
        <v>2014 Board-Approved Distribution Revenues</v>
      </c>
      <c r="H101" s="72" t="str">
        <f>H97&amp;" Board-Approved Distribution Revenues"</f>
        <v>2011 Board-Approved Distribution Revenues</v>
      </c>
      <c r="I101" s="72" t="str">
        <f>I97&amp;" Board-Approved Distribution Revenues"</f>
        <v>2010 Board-Approved Distribution Revenues</v>
      </c>
      <c r="J101" s="72" t="str">
        <f>J97&amp;" Board-Approved Distribution Revenues"</f>
        <v>2009 Board-Approved Distribution Revenues</v>
      </c>
      <c r="K101" s="72" t="str">
        <f>K97&amp;" Board-Approved Distribution Revenues"</f>
        <v>2008 Board-Approved Distribution Revenues</v>
      </c>
    </row>
    <row r="102" spans="1:14" hidden="1" x14ac:dyDescent="0.25">
      <c r="A102" s="61" t="s">
        <v>89</v>
      </c>
      <c r="B102" s="65" t="s">
        <v>90</v>
      </c>
      <c r="C102" s="66"/>
      <c r="D102" s="67" t="s">
        <v>91</v>
      </c>
      <c r="E102" s="67" t="s">
        <v>91</v>
      </c>
      <c r="F102" s="67" t="s">
        <v>91</v>
      </c>
      <c r="G102" s="67" t="s">
        <v>90</v>
      </c>
      <c r="H102" s="68" t="s">
        <v>90</v>
      </c>
      <c r="I102" s="68" t="s">
        <v>90</v>
      </c>
      <c r="J102" s="68" t="s">
        <v>90</v>
      </c>
      <c r="K102" s="68" t="s">
        <v>90</v>
      </c>
    </row>
    <row r="103" spans="1:14" hidden="1" x14ac:dyDescent="0.25">
      <c r="A103" s="61" t="s">
        <v>92</v>
      </c>
      <c r="B103" s="65">
        <f>B106</f>
        <v>2</v>
      </c>
      <c r="C103" s="66"/>
      <c r="D103" s="67">
        <v>1</v>
      </c>
      <c r="E103" s="67">
        <v>1</v>
      </c>
      <c r="F103" s="67">
        <v>1</v>
      </c>
      <c r="G103" s="67">
        <v>2</v>
      </c>
      <c r="H103" s="68">
        <v>3</v>
      </c>
      <c r="I103" s="68">
        <v>4</v>
      </c>
      <c r="J103" s="68">
        <v>5</v>
      </c>
      <c r="K103" s="68">
        <v>6</v>
      </c>
    </row>
    <row r="104" spans="1:14" hidden="1" x14ac:dyDescent="0.25">
      <c r="A104" s="61"/>
      <c r="B104" s="65" t="str">
        <f>LEFT(B100,4)</f>
        <v>2018</v>
      </c>
      <c r="C104" s="66"/>
      <c r="D104" s="67" t="str">
        <f t="shared" ref="D104:G105" si="2">LEFT(D100,4)</f>
        <v>2017</v>
      </c>
      <c r="E104" s="67" t="str">
        <f t="shared" si="2"/>
        <v>2016</v>
      </c>
      <c r="F104" s="67" t="str">
        <f t="shared" si="2"/>
        <v>2016</v>
      </c>
      <c r="G104" s="67" t="str">
        <f t="shared" si="2"/>
        <v>2016</v>
      </c>
      <c r="H104" s="68" t="str">
        <f t="shared" ref="H104:K105" si="3">LEFT(H100,4)</f>
        <v>2014</v>
      </c>
      <c r="I104" s="68" t="str">
        <f t="shared" si="3"/>
        <v>2014</v>
      </c>
      <c r="J104" s="68" t="str">
        <f t="shared" si="3"/>
        <v>2014</v>
      </c>
      <c r="K104" s="68" t="str">
        <f t="shared" si="3"/>
        <v>2014</v>
      </c>
    </row>
    <row r="105" spans="1:14" hidden="1" x14ac:dyDescent="0.25">
      <c r="A105" s="61"/>
      <c r="B105" s="65" t="str">
        <f>LEFT(B101,4)</f>
        <v>2016</v>
      </c>
      <c r="C105" s="66"/>
      <c r="D105" s="67" t="str">
        <f t="shared" si="2"/>
        <v>2016</v>
      </c>
      <c r="E105" s="67" t="str">
        <f t="shared" si="2"/>
        <v>2015</v>
      </c>
      <c r="F105" s="67" t="str">
        <f t="shared" si="2"/>
        <v>2015</v>
      </c>
      <c r="G105" s="67" t="str">
        <f t="shared" si="2"/>
        <v>2014</v>
      </c>
      <c r="H105" s="68" t="str">
        <f t="shared" si="3"/>
        <v>2011</v>
      </c>
      <c r="I105" s="68" t="str">
        <f t="shared" si="3"/>
        <v>2010</v>
      </c>
      <c r="J105" s="68" t="str">
        <f t="shared" si="3"/>
        <v>2009</v>
      </c>
      <c r="K105" s="68" t="str">
        <f t="shared" si="3"/>
        <v>2008</v>
      </c>
    </row>
    <row r="106" spans="1:14" hidden="1" x14ac:dyDescent="0.25">
      <c r="A106" s="61"/>
      <c r="B106" s="65">
        <f>B104-B105</f>
        <v>2</v>
      </c>
      <c r="C106" s="66"/>
      <c r="D106" s="67">
        <f t="shared" ref="D106:G106" si="4">D104-D105</f>
        <v>1</v>
      </c>
      <c r="E106" s="67">
        <f t="shared" si="4"/>
        <v>1</v>
      </c>
      <c r="F106" s="67">
        <f t="shared" si="4"/>
        <v>1</v>
      </c>
      <c r="G106" s="67">
        <f t="shared" si="4"/>
        <v>2</v>
      </c>
      <c r="H106" s="68">
        <f>H104-H105</f>
        <v>3</v>
      </c>
      <c r="I106" s="68">
        <f>I104-I105</f>
        <v>4</v>
      </c>
      <c r="J106" s="68">
        <f>J104-J105</f>
        <v>5</v>
      </c>
      <c r="K106" s="68">
        <f>K104-K105</f>
        <v>6</v>
      </c>
    </row>
    <row r="107" spans="1:14" hidden="1" x14ac:dyDescent="0.25"/>
    <row r="108" spans="1:14" hidden="1" x14ac:dyDescent="0.25">
      <c r="A108" s="73"/>
      <c r="B108" s="73"/>
      <c r="C108" s="73"/>
      <c r="D108" s="73"/>
      <c r="E108" s="73"/>
      <c r="F108" s="73"/>
      <c r="G108" s="73"/>
      <c r="H108" s="73"/>
      <c r="I108" s="73"/>
      <c r="J108" s="73"/>
      <c r="K108" s="73"/>
      <c r="L108" s="73"/>
      <c r="M108" s="73"/>
      <c r="N108" s="73"/>
    </row>
    <row r="109" spans="1:14" hidden="1" x14ac:dyDescent="0.25">
      <c r="A109" s="73"/>
      <c r="B109" s="73"/>
      <c r="C109" s="73"/>
      <c r="D109" s="73" t="s">
        <v>78</v>
      </c>
      <c r="E109" s="73" t="s">
        <v>93</v>
      </c>
      <c r="F109" s="73"/>
      <c r="G109" s="73"/>
      <c r="H109" s="73"/>
      <c r="I109" s="73"/>
      <c r="J109" s="73"/>
      <c r="K109" s="73"/>
      <c r="L109" s="73"/>
      <c r="M109" s="73"/>
      <c r="N109" s="73"/>
    </row>
    <row r="110" spans="1:14" hidden="1" x14ac:dyDescent="0.25">
      <c r="A110" s="73"/>
      <c r="B110" s="73"/>
      <c r="C110" s="73"/>
      <c r="D110" s="63">
        <v>1</v>
      </c>
      <c r="E110" s="67">
        <f>D97</f>
        <v>2017</v>
      </c>
      <c r="F110" s="74" t="str">
        <f>D100</f>
        <v>2017 Board-Approved Distribution Revenues</v>
      </c>
      <c r="G110" s="74" t="str">
        <f>D101</f>
        <v>2016 Actual Distribution Revenues</v>
      </c>
      <c r="H110" s="73"/>
      <c r="I110" s="73"/>
      <c r="J110" s="73"/>
      <c r="K110" s="73"/>
      <c r="L110" s="73"/>
      <c r="M110" s="73"/>
      <c r="N110" s="73"/>
    </row>
    <row r="111" spans="1:14" hidden="1" x14ac:dyDescent="0.25">
      <c r="A111" s="73"/>
      <c r="B111" s="73"/>
      <c r="C111" s="73"/>
      <c r="D111" s="63">
        <v>2</v>
      </c>
      <c r="E111" s="67">
        <f>E97</f>
        <v>2016</v>
      </c>
      <c r="F111" s="74" t="str">
        <f>E100</f>
        <v>2016 Board-Approved Distribution Revenues</v>
      </c>
      <c r="G111" s="74" t="str">
        <f>E101</f>
        <v>2015 Actual Distribution Revenues</v>
      </c>
      <c r="H111" s="73"/>
      <c r="I111" s="73"/>
      <c r="J111" s="73"/>
      <c r="K111" s="73"/>
      <c r="L111" s="73"/>
      <c r="M111" s="73"/>
      <c r="N111" s="73"/>
    </row>
    <row r="112" spans="1:14" hidden="1" x14ac:dyDescent="0.25">
      <c r="A112" s="73"/>
      <c r="B112" s="73"/>
      <c r="C112" s="73"/>
      <c r="D112" s="63">
        <v>3</v>
      </c>
      <c r="E112" s="67">
        <f>F97</f>
        <v>2015</v>
      </c>
      <c r="F112" s="74" t="str">
        <f>F100</f>
        <v>2016 Actual Distribution Revenues</v>
      </c>
      <c r="G112" s="74" t="str">
        <f>F101</f>
        <v>2015 Board-Approved Distribution Revenues</v>
      </c>
      <c r="H112" s="73"/>
      <c r="I112" s="73"/>
      <c r="J112" s="73"/>
      <c r="K112" s="73"/>
      <c r="L112" s="73"/>
      <c r="M112" s="73"/>
      <c r="N112" s="73"/>
    </row>
    <row r="113" spans="1:14" hidden="1" x14ac:dyDescent="0.25">
      <c r="A113" s="73"/>
      <c r="B113" s="73"/>
      <c r="C113" s="73"/>
      <c r="D113" s="63">
        <v>4</v>
      </c>
      <c r="E113" s="67">
        <f>G97</f>
        <v>2014</v>
      </c>
      <c r="F113" s="74" t="str">
        <f>G100</f>
        <v>2016 Actual Distribution Revenues</v>
      </c>
      <c r="G113" s="74" t="str">
        <f>G101</f>
        <v>2014 Board-Approved Distribution Revenues</v>
      </c>
      <c r="H113" s="73"/>
      <c r="I113" s="73"/>
      <c r="J113" s="73"/>
      <c r="K113" s="73"/>
      <c r="L113" s="73"/>
      <c r="M113" s="73"/>
      <c r="N113" s="73"/>
    </row>
    <row r="114" spans="1:14" hidden="1" x14ac:dyDescent="0.25">
      <c r="A114" s="73"/>
      <c r="B114" s="73"/>
      <c r="C114" s="73"/>
      <c r="D114" s="64">
        <v>5</v>
      </c>
      <c r="E114" s="68">
        <f>H97*0+2013</f>
        <v>2013</v>
      </c>
      <c r="F114" s="74" t="str">
        <f>H100</f>
        <v>2014 Actual Distribution Revenues</v>
      </c>
      <c r="G114" s="74" t="str">
        <f>H101</f>
        <v>2011 Board-Approved Distribution Revenues</v>
      </c>
      <c r="H114" s="73"/>
      <c r="I114" s="73"/>
      <c r="J114" s="73"/>
      <c r="K114" s="73"/>
      <c r="L114" s="73"/>
      <c r="M114" s="73"/>
      <c r="N114" s="73"/>
    </row>
    <row r="115" spans="1:14" hidden="1" x14ac:dyDescent="0.25">
      <c r="A115" s="73"/>
      <c r="B115" s="73"/>
      <c r="C115" s="73"/>
      <c r="D115" s="64">
        <v>6</v>
      </c>
      <c r="E115" s="68">
        <f>I97</f>
        <v>2010</v>
      </c>
      <c r="F115" s="74" t="str">
        <f>I100</f>
        <v>2014 Actual Distribution Revenues</v>
      </c>
      <c r="G115" s="74" t="str">
        <f>I101</f>
        <v>2010 Board-Approved Distribution Revenues</v>
      </c>
      <c r="H115" s="73"/>
      <c r="I115" s="73"/>
      <c r="J115" s="73"/>
      <c r="K115" s="73"/>
      <c r="L115" s="73"/>
      <c r="M115" s="73"/>
      <c r="N115" s="73"/>
    </row>
    <row r="116" spans="1:14" hidden="1" x14ac:dyDescent="0.25">
      <c r="A116" s="73"/>
      <c r="B116" s="73"/>
      <c r="C116" s="73"/>
      <c r="D116" s="64">
        <v>7</v>
      </c>
      <c r="E116" s="68">
        <f>J97</f>
        <v>2009</v>
      </c>
      <c r="F116" s="74" t="str">
        <f>J100</f>
        <v>2014 Actual Distribution Revenues</v>
      </c>
      <c r="G116" s="74" t="str">
        <f>J101</f>
        <v>2009 Board-Approved Distribution Revenues</v>
      </c>
      <c r="H116" s="73"/>
      <c r="I116" s="73"/>
      <c r="J116" s="73"/>
      <c r="K116" s="73"/>
      <c r="L116" s="73"/>
      <c r="M116" s="73"/>
      <c r="N116" s="73"/>
    </row>
    <row r="117" spans="1:14" hidden="1" x14ac:dyDescent="0.25">
      <c r="A117" s="73"/>
      <c r="B117" s="73"/>
      <c r="C117" s="73"/>
      <c r="D117" s="64">
        <v>8</v>
      </c>
      <c r="E117" s="68">
        <f>K97</f>
        <v>2008</v>
      </c>
      <c r="F117" s="74" t="str">
        <f>K100</f>
        <v>2014 Actual Distribution Revenues</v>
      </c>
      <c r="G117" s="74" t="str">
        <f>K101</f>
        <v>2008 Board-Approved Distribution Revenues</v>
      </c>
      <c r="H117" s="73"/>
      <c r="I117" s="73"/>
      <c r="J117" s="73"/>
      <c r="K117" s="73"/>
      <c r="L117" s="73"/>
      <c r="M117" s="73"/>
      <c r="N117" s="73"/>
    </row>
    <row r="118" spans="1:14" hidden="1" x14ac:dyDescent="0.25">
      <c r="A118" s="73"/>
      <c r="B118" s="73"/>
      <c r="C118" s="73"/>
      <c r="D118" s="73"/>
      <c r="E118" s="73"/>
      <c r="F118" s="73"/>
      <c r="G118" s="73"/>
      <c r="H118" s="73"/>
      <c r="I118" s="73"/>
      <c r="J118" s="73"/>
      <c r="K118" s="73"/>
      <c r="L118" s="73"/>
      <c r="M118" s="73"/>
      <c r="N118" s="73"/>
    </row>
    <row r="119" spans="1:14" hidden="1" x14ac:dyDescent="0.25">
      <c r="A119" s="73"/>
      <c r="B119" s="73"/>
      <c r="C119" s="73"/>
      <c r="D119" s="73"/>
      <c r="E119" s="73"/>
      <c r="F119" s="73"/>
      <c r="G119" s="73"/>
      <c r="H119" s="73"/>
      <c r="I119" s="73"/>
      <c r="J119" s="73"/>
      <c r="K119" s="73"/>
      <c r="L119" s="73"/>
      <c r="M119" s="73"/>
      <c r="N119" s="73"/>
    </row>
    <row r="120" spans="1:14" hidden="1" x14ac:dyDescent="0.25"/>
  </sheetData>
  <mergeCells count="31">
    <mergeCell ref="F24:J24"/>
    <mergeCell ref="F14:L14"/>
    <mergeCell ref="F16:J16"/>
    <mergeCell ref="F18:J18"/>
    <mergeCell ref="F20:J20"/>
    <mergeCell ref="F22:J22"/>
    <mergeCell ref="A38:E38"/>
    <mergeCell ref="F38:H38"/>
    <mergeCell ref="A26:E26"/>
    <mergeCell ref="F26:H26"/>
    <mergeCell ref="A28:E28"/>
    <mergeCell ref="F28:H28"/>
    <mergeCell ref="A30:E30"/>
    <mergeCell ref="F30:H30"/>
    <mergeCell ref="F32:H32"/>
    <mergeCell ref="A34:E34"/>
    <mergeCell ref="F34:H34"/>
    <mergeCell ref="A36:E36"/>
    <mergeCell ref="F36:H36"/>
    <mergeCell ref="A66:M66"/>
    <mergeCell ref="F40:H40"/>
    <mergeCell ref="F42:H42"/>
    <mergeCell ref="F44:H44"/>
    <mergeCell ref="F46:H46"/>
    <mergeCell ref="A48:E49"/>
    <mergeCell ref="F48:H48"/>
    <mergeCell ref="J48:M52"/>
    <mergeCell ref="F49:H49"/>
    <mergeCell ref="C53:L53"/>
    <mergeCell ref="C55:N55"/>
    <mergeCell ref="C57:M57"/>
  </mergeCells>
  <dataValidations count="9">
    <dataValidation type="list" allowBlank="1" showInputMessage="1" showErrorMessage="1" sqref="F14:L14">
      <formula1>LDCNAMES</formula1>
    </dataValidation>
    <dataValidation allowBlank="1" showInputMessage="1" showErrorMessage="1" prompt="First and last name, title" sqref="F20:J20"/>
    <dataValidation showErrorMessage="1" errorTitle="Selection Needed" error="Please select an option from the drop-down list." prompt="Use the following format eg: January 1, 2013" sqref="F44:H44 F36:H36 F40:H40 F46:H46 F42:H42"/>
    <dataValidation type="whole" showErrorMessage="1" errorTitle="Incorrect Input" error="Please re-enter your last cost of service rebasing YEAR and ensure that it is in the following format: 20XX" prompt="Use the following format eg: January 1, 2013" sqref="F38:H38 F34:H34">
      <formula1>2000</formula1>
      <formula2>2100</formula2>
    </dataValidation>
    <dataValidation type="list" showErrorMessage="1" errorTitle="Selection Needed" error="Please select an option from the drop-down list." prompt="Use the following format eg: January 1, 2013" sqref="F26:H26">
      <formula1>"COS, Price-Cap IR"</formula1>
    </dataValidation>
    <dataValidation type="list" showErrorMessage="1" errorTitle="Incorrect Input" error="Please enter a number between 1 and 4." prompt="Use the following format eg: January 1, 2013" sqref="F28:H28">
      <formula1>"1, 2, 3,4,5,6,7,8,9,10"</formula1>
    </dataValidation>
    <dataValidation type="whole" showErrorMessage="1" errorTitle="Incorrect Input" error="Please ensure that the year is in the following format: 20XX" prompt="Use the following format eg: January 1, 2013" sqref="F30:H30">
      <formula1>2000</formula1>
      <formula2>2100</formula2>
    </dataValidation>
    <dataValidation type="list" allowBlank="1" showInputMessage="1" showErrorMessage="1" sqref="K26">
      <formula1>"2016, 2017, 2018"</formula1>
    </dataValidation>
    <dataValidation type="list" showErrorMessage="1" sqref="F32:H32">
      <formula1>"ICM Approval, ACM and ICM Approval"</formula1>
    </dataValidation>
  </dataValidations>
  <hyperlinks>
    <hyperlink ref="F24" r:id="rId1"/>
  </hyperlinks>
  <pageMargins left="0.70866141732283472" right="0.70866141732283472" top="0.74803149606299213" bottom="0.74803149606299213" header="0.31496062992125984" footer="0.31496062992125984"/>
  <pageSetup scale="50" orientation="portrait" r:id="rId2"/>
  <headerFoot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50"/>
  <sheetViews>
    <sheetView showGridLines="0" workbookViewId="0">
      <selection activeCell="J30" sqref="J30"/>
    </sheetView>
  </sheetViews>
  <sheetFormatPr defaultRowHeight="15" x14ac:dyDescent="0.25"/>
  <cols>
    <col min="1" max="1" width="13.28515625" customWidth="1"/>
    <col min="5" max="5" width="9.140625" customWidth="1"/>
    <col min="16" max="18" width="0" hidden="1" customWidth="1"/>
  </cols>
  <sheetData>
    <row r="11" spans="1:14" x14ac:dyDescent="0.25">
      <c r="G11" s="75"/>
    </row>
    <row r="12" spans="1:14" x14ac:dyDescent="0.25">
      <c r="A12" s="345" t="s">
        <v>94</v>
      </c>
      <c r="B12" s="345"/>
      <c r="C12" s="345"/>
      <c r="D12" s="345"/>
      <c r="E12" s="345"/>
      <c r="F12" s="345"/>
      <c r="G12" s="345"/>
      <c r="H12" s="345"/>
      <c r="I12" s="345"/>
      <c r="J12" s="345"/>
      <c r="K12" s="345"/>
      <c r="L12" s="345"/>
      <c r="M12" s="345"/>
      <c r="N12" s="345"/>
    </row>
    <row r="13" spans="1:14" x14ac:dyDescent="0.25">
      <c r="A13" s="76"/>
      <c r="B13" s="76"/>
      <c r="C13" s="76"/>
      <c r="D13" s="76"/>
      <c r="E13" s="76"/>
      <c r="F13" s="76"/>
      <c r="G13" s="77"/>
      <c r="H13" s="76"/>
      <c r="I13" s="76"/>
      <c r="J13" s="76"/>
      <c r="K13" s="76"/>
      <c r="L13" s="76"/>
      <c r="M13" s="76"/>
      <c r="N13" s="76"/>
    </row>
    <row r="14" spans="1:14" x14ac:dyDescent="0.25">
      <c r="A14" s="76" t="s">
        <v>95</v>
      </c>
      <c r="B14" s="76"/>
      <c r="C14" s="78"/>
      <c r="D14" s="78"/>
      <c r="E14" s="78"/>
      <c r="F14" s="78"/>
      <c r="G14" s="78"/>
      <c r="H14" s="78"/>
      <c r="I14" s="78"/>
      <c r="J14" s="79">
        <v>7</v>
      </c>
      <c r="K14" s="78"/>
      <c r="L14" s="78"/>
      <c r="M14" s="76"/>
      <c r="N14" s="76"/>
    </row>
    <row r="15" spans="1:14" x14ac:dyDescent="0.25">
      <c r="A15" s="76"/>
      <c r="B15" s="76"/>
      <c r="C15" s="78"/>
      <c r="D15" s="78"/>
      <c r="E15" s="78"/>
      <c r="F15" s="78"/>
      <c r="G15" s="78"/>
      <c r="H15" s="78"/>
      <c r="I15" s="78"/>
      <c r="J15" s="78"/>
      <c r="K15" s="78"/>
      <c r="L15" s="78"/>
      <c r="M15" s="76"/>
      <c r="N15" s="76"/>
    </row>
    <row r="16" spans="1:14" x14ac:dyDescent="0.25">
      <c r="A16" s="76" t="s">
        <v>96</v>
      </c>
      <c r="B16" s="76"/>
      <c r="C16" s="78"/>
      <c r="D16" s="78"/>
      <c r="E16" s="80"/>
      <c r="F16" s="81"/>
      <c r="G16" s="81"/>
      <c r="H16" s="81"/>
      <c r="I16" s="81"/>
      <c r="J16" s="81"/>
      <c r="K16" s="78"/>
      <c r="L16" s="78"/>
      <c r="M16" s="76"/>
      <c r="N16" s="76"/>
    </row>
    <row r="17" spans="1:17" x14ac:dyDescent="0.25">
      <c r="A17" s="75"/>
      <c r="B17" s="82"/>
      <c r="C17" s="82"/>
      <c r="D17" s="82"/>
      <c r="E17" s="83"/>
      <c r="F17" s="84"/>
      <c r="G17" s="84"/>
      <c r="I17" s="84"/>
      <c r="J17" s="84"/>
      <c r="K17" s="82"/>
      <c r="L17" s="82"/>
    </row>
    <row r="18" spans="1:17" x14ac:dyDescent="0.25">
      <c r="A18" s="75"/>
      <c r="B18" s="346" t="s">
        <v>97</v>
      </c>
      <c r="C18" s="346"/>
      <c r="D18" s="346"/>
      <c r="E18" s="346"/>
      <c r="F18" s="346"/>
      <c r="G18" s="346"/>
      <c r="H18" s="346"/>
      <c r="I18" s="346"/>
      <c r="J18" s="346"/>
      <c r="K18" s="82"/>
      <c r="L18" s="82"/>
      <c r="Q18" t="s">
        <v>98</v>
      </c>
    </row>
    <row r="19" spans="1:17" x14ac:dyDescent="0.25">
      <c r="A19" s="85">
        <v>1</v>
      </c>
      <c r="B19" s="342" t="s">
        <v>99</v>
      </c>
      <c r="C19" s="343"/>
      <c r="D19" s="343"/>
      <c r="E19" s="343"/>
      <c r="F19" s="343"/>
      <c r="G19" s="343"/>
      <c r="H19" s="343"/>
      <c r="I19" s="343"/>
      <c r="J19" s="344"/>
      <c r="K19" s="82"/>
      <c r="L19" s="82"/>
      <c r="P19">
        <f>COUNTIF($B$19:$J$40, B19)</f>
        <v>1</v>
      </c>
      <c r="Q19">
        <f>COUNTIF(P19:P40, 2)/2</f>
        <v>0</v>
      </c>
    </row>
    <row r="20" spans="1:17" x14ac:dyDescent="0.25">
      <c r="A20" s="85">
        <v>2</v>
      </c>
      <c r="B20" s="339" t="s">
        <v>100</v>
      </c>
      <c r="C20" s="340"/>
      <c r="D20" s="340"/>
      <c r="E20" s="340"/>
      <c r="F20" s="340"/>
      <c r="G20" s="340"/>
      <c r="H20" s="340"/>
      <c r="I20" s="340"/>
      <c r="J20" s="341"/>
      <c r="K20" s="82"/>
      <c r="L20" s="82"/>
      <c r="P20">
        <f t="shared" ref="P20:P33" si="0">COUNTIF($B$19:$J$40, B20)</f>
        <v>1</v>
      </c>
    </row>
    <row r="21" spans="1:17" x14ac:dyDescent="0.25">
      <c r="A21" s="85">
        <v>3</v>
      </c>
      <c r="B21" s="339" t="s">
        <v>333</v>
      </c>
      <c r="C21" s="340"/>
      <c r="D21" s="340"/>
      <c r="E21" s="340"/>
      <c r="F21" s="340"/>
      <c r="G21" s="340"/>
      <c r="H21" s="340"/>
      <c r="I21" s="340"/>
      <c r="J21" s="341"/>
      <c r="K21" s="82"/>
      <c r="L21" s="82"/>
      <c r="P21">
        <f t="shared" si="0"/>
        <v>1</v>
      </c>
    </row>
    <row r="22" spans="1:17" x14ac:dyDescent="0.25">
      <c r="A22" s="85">
        <v>4</v>
      </c>
      <c r="B22" s="342" t="s">
        <v>102</v>
      </c>
      <c r="C22" s="343"/>
      <c r="D22" s="343"/>
      <c r="E22" s="343"/>
      <c r="F22" s="343"/>
      <c r="G22" s="343"/>
      <c r="H22" s="343"/>
      <c r="I22" s="343"/>
      <c r="J22" s="344"/>
      <c r="K22" s="82"/>
      <c r="L22" s="82"/>
      <c r="P22">
        <f t="shared" si="0"/>
        <v>1</v>
      </c>
    </row>
    <row r="23" spans="1:17" x14ac:dyDescent="0.25">
      <c r="A23" s="85">
        <v>5</v>
      </c>
      <c r="B23" s="339" t="s">
        <v>103</v>
      </c>
      <c r="C23" s="340"/>
      <c r="D23" s="340"/>
      <c r="E23" s="340"/>
      <c r="F23" s="340"/>
      <c r="G23" s="340"/>
      <c r="H23" s="340"/>
      <c r="I23" s="340"/>
      <c r="J23" s="341"/>
      <c r="K23" s="82"/>
      <c r="L23" s="82"/>
      <c r="P23">
        <f t="shared" si="0"/>
        <v>1</v>
      </c>
    </row>
    <row r="24" spans="1:17" x14ac:dyDescent="0.25">
      <c r="A24" s="85">
        <v>6</v>
      </c>
      <c r="B24" s="339" t="s">
        <v>104</v>
      </c>
      <c r="C24" s="340"/>
      <c r="D24" s="340"/>
      <c r="E24" s="340"/>
      <c r="F24" s="340"/>
      <c r="G24" s="340"/>
      <c r="H24" s="340"/>
      <c r="I24" s="340"/>
      <c r="J24" s="341"/>
      <c r="K24" s="82"/>
      <c r="L24" s="82"/>
      <c r="P24">
        <f t="shared" si="0"/>
        <v>1</v>
      </c>
    </row>
    <row r="25" spans="1:17" x14ac:dyDescent="0.25">
      <c r="A25" s="86">
        <v>7</v>
      </c>
      <c r="B25" s="342" t="s">
        <v>105</v>
      </c>
      <c r="C25" s="343"/>
      <c r="D25" s="343"/>
      <c r="E25" s="343"/>
      <c r="F25" s="343"/>
      <c r="G25" s="343"/>
      <c r="H25" s="343"/>
      <c r="I25" s="343"/>
      <c r="J25" s="344"/>
      <c r="K25" s="82"/>
      <c r="L25" s="82"/>
      <c r="P25">
        <f t="shared" si="0"/>
        <v>1</v>
      </c>
    </row>
    <row r="26" spans="1:17" x14ac:dyDescent="0.25">
      <c r="A26" s="86"/>
      <c r="B26" s="87"/>
      <c r="C26" s="88"/>
      <c r="D26" s="88"/>
      <c r="E26" s="88"/>
      <c r="F26" s="88"/>
      <c r="G26" s="88"/>
      <c r="H26" s="88"/>
      <c r="I26" s="88"/>
      <c r="J26" s="89"/>
      <c r="K26" s="82"/>
      <c r="L26" s="82"/>
      <c r="P26">
        <f t="shared" si="0"/>
        <v>0</v>
      </c>
    </row>
    <row r="27" spans="1:17" x14ac:dyDescent="0.25">
      <c r="A27" s="86"/>
      <c r="B27" s="87"/>
      <c r="C27" s="88"/>
      <c r="D27" s="88"/>
      <c r="E27" s="88"/>
      <c r="F27" s="88"/>
      <c r="G27" s="88"/>
      <c r="H27" s="88"/>
      <c r="I27" s="88"/>
      <c r="J27" s="89"/>
      <c r="K27" s="82"/>
      <c r="L27" s="82"/>
      <c r="P27">
        <f t="shared" si="0"/>
        <v>0</v>
      </c>
    </row>
    <row r="28" spans="1:17" x14ac:dyDescent="0.25">
      <c r="A28" s="86"/>
      <c r="B28" s="90"/>
      <c r="C28" s="91"/>
      <c r="D28" s="91"/>
      <c r="E28" s="91"/>
      <c r="F28" s="91"/>
      <c r="G28" s="91"/>
      <c r="H28" s="91"/>
      <c r="I28" s="91"/>
      <c r="J28" s="92"/>
      <c r="P28">
        <f t="shared" si="0"/>
        <v>0</v>
      </c>
    </row>
    <row r="29" spans="1:17" x14ac:dyDescent="0.25">
      <c r="A29" s="86"/>
      <c r="B29" s="93"/>
      <c r="C29" s="94"/>
      <c r="D29" s="94"/>
      <c r="E29" s="94"/>
      <c r="F29" s="94"/>
      <c r="G29" s="94"/>
      <c r="H29" s="94"/>
      <c r="I29" s="94"/>
      <c r="J29" s="95"/>
      <c r="P29">
        <f t="shared" si="0"/>
        <v>0</v>
      </c>
    </row>
    <row r="30" spans="1:17" x14ac:dyDescent="0.25">
      <c r="A30" s="86"/>
      <c r="B30" s="93"/>
      <c r="C30" s="94"/>
      <c r="D30" s="94"/>
      <c r="E30" s="94"/>
      <c r="F30" s="94"/>
      <c r="G30" s="94"/>
      <c r="H30" s="94"/>
      <c r="I30" s="94"/>
      <c r="J30" s="95"/>
      <c r="P30">
        <f t="shared" si="0"/>
        <v>0</v>
      </c>
    </row>
    <row r="31" spans="1:17" x14ac:dyDescent="0.25">
      <c r="A31" s="86"/>
      <c r="B31" s="90"/>
      <c r="C31" s="91"/>
      <c r="D31" s="91"/>
      <c r="E31" s="91"/>
      <c r="F31" s="91"/>
      <c r="G31" s="91"/>
      <c r="H31" s="91"/>
      <c r="I31" s="91"/>
      <c r="J31" s="92"/>
      <c r="P31">
        <f t="shared" si="0"/>
        <v>0</v>
      </c>
    </row>
    <row r="32" spans="1:17" x14ac:dyDescent="0.25">
      <c r="A32" s="86"/>
      <c r="B32" s="93"/>
      <c r="C32" s="94"/>
      <c r="D32" s="94"/>
      <c r="E32" s="94"/>
      <c r="F32" s="94"/>
      <c r="G32" s="94"/>
      <c r="H32" s="94"/>
      <c r="I32" s="94"/>
      <c r="J32" s="95"/>
      <c r="P32">
        <f t="shared" si="0"/>
        <v>0</v>
      </c>
    </row>
    <row r="33" spans="1:16" x14ac:dyDescent="0.25">
      <c r="A33" s="86"/>
      <c r="B33" s="93"/>
      <c r="C33" s="94"/>
      <c r="D33" s="94"/>
      <c r="E33" s="94"/>
      <c r="F33" s="94"/>
      <c r="G33" s="94"/>
      <c r="H33" s="94"/>
      <c r="I33" s="94"/>
      <c r="J33" s="95"/>
      <c r="P33">
        <f t="shared" si="0"/>
        <v>0</v>
      </c>
    </row>
    <row r="34" spans="1:16" x14ac:dyDescent="0.25">
      <c r="A34" s="96"/>
      <c r="B34" s="97"/>
      <c r="C34" s="97"/>
      <c r="D34" s="97"/>
      <c r="E34" s="97"/>
      <c r="F34" s="97"/>
      <c r="G34" s="97"/>
      <c r="H34" s="97"/>
      <c r="I34" s="97"/>
      <c r="J34" s="97"/>
    </row>
    <row r="35" spans="1:16" x14ac:dyDescent="0.25">
      <c r="A35" s="96"/>
      <c r="B35" s="98"/>
      <c r="C35" s="98"/>
      <c r="D35" s="98"/>
      <c r="E35" s="98"/>
      <c r="F35" s="99"/>
      <c r="G35" s="99"/>
      <c r="H35" s="99"/>
      <c r="I35" s="99"/>
      <c r="J35" s="99"/>
    </row>
    <row r="36" spans="1:16" x14ac:dyDescent="0.25">
      <c r="A36" s="96"/>
      <c r="B36" s="100"/>
      <c r="C36" s="100"/>
      <c r="D36" s="100"/>
      <c r="E36" s="100"/>
      <c r="F36" s="96"/>
      <c r="G36" s="96"/>
      <c r="H36" s="96"/>
      <c r="I36" s="96"/>
      <c r="J36" s="96"/>
    </row>
    <row r="37" spans="1:16" x14ac:dyDescent="0.25">
      <c r="A37" s="96"/>
      <c r="B37" s="100"/>
      <c r="C37" s="100"/>
      <c r="D37" s="100"/>
      <c r="E37" s="100"/>
      <c r="F37" s="96"/>
      <c r="G37" s="96"/>
      <c r="H37" s="96"/>
      <c r="I37" s="96"/>
      <c r="J37" s="96"/>
    </row>
    <row r="38" spans="1:16" x14ac:dyDescent="0.25">
      <c r="A38" s="96"/>
      <c r="B38" s="100"/>
      <c r="C38" s="100"/>
      <c r="D38" s="100"/>
      <c r="E38" s="100"/>
      <c r="F38" s="96"/>
      <c r="G38" s="96"/>
      <c r="H38" s="96"/>
      <c r="I38" s="96"/>
      <c r="J38" s="96"/>
    </row>
    <row r="39" spans="1:16" x14ac:dyDescent="0.25">
      <c r="A39" s="96"/>
      <c r="B39" s="100"/>
      <c r="C39" s="100"/>
      <c r="D39" s="100"/>
      <c r="E39" s="100"/>
      <c r="F39" s="96"/>
      <c r="G39" s="96"/>
      <c r="H39" s="96"/>
      <c r="I39" s="96"/>
      <c r="J39" s="96"/>
    </row>
    <row r="40" spans="1:16" x14ac:dyDescent="0.25">
      <c r="A40" s="96"/>
      <c r="B40" s="96"/>
      <c r="C40" s="96"/>
      <c r="D40" s="96"/>
      <c r="E40" s="96"/>
      <c r="F40" s="96"/>
      <c r="G40" s="96"/>
      <c r="H40" s="96"/>
      <c r="I40" s="96"/>
      <c r="J40" s="96"/>
    </row>
    <row r="41" spans="1:16" x14ac:dyDescent="0.25">
      <c r="A41" s="96"/>
      <c r="B41" s="96"/>
      <c r="C41" s="96"/>
      <c r="D41" s="96"/>
      <c r="E41" s="96"/>
      <c r="F41" s="96"/>
      <c r="G41" s="96"/>
      <c r="H41" s="96"/>
      <c r="I41" s="96"/>
      <c r="J41" s="96"/>
    </row>
    <row r="42" spans="1:16" x14ac:dyDescent="0.25">
      <c r="A42" s="96"/>
      <c r="B42" s="96"/>
      <c r="C42" s="96"/>
      <c r="D42" s="96"/>
      <c r="E42" s="96"/>
      <c r="F42" s="96"/>
      <c r="G42" s="96"/>
      <c r="H42" s="96"/>
      <c r="I42" s="96"/>
      <c r="J42" s="96"/>
    </row>
    <row r="43" spans="1:16" x14ac:dyDescent="0.25">
      <c r="A43" s="96"/>
      <c r="B43" s="96"/>
      <c r="C43" s="96"/>
      <c r="D43" s="96"/>
      <c r="E43" s="96"/>
      <c r="F43" s="96"/>
      <c r="G43" s="96"/>
      <c r="H43" s="96"/>
      <c r="I43" s="96"/>
      <c r="J43" s="96"/>
    </row>
    <row r="44" spans="1:16" x14ac:dyDescent="0.25">
      <c r="A44" s="96"/>
      <c r="B44" s="96"/>
      <c r="C44" s="96"/>
      <c r="D44" s="96"/>
      <c r="E44" s="96"/>
      <c r="F44" s="96"/>
      <c r="G44" s="96"/>
      <c r="H44" s="96"/>
      <c r="I44" s="96"/>
      <c r="J44" s="96"/>
    </row>
    <row r="45" spans="1:16" x14ac:dyDescent="0.25">
      <c r="A45" s="96"/>
      <c r="B45" s="96"/>
      <c r="C45" s="96"/>
      <c r="D45" s="96"/>
      <c r="E45" s="96"/>
      <c r="F45" s="96"/>
      <c r="G45" s="96"/>
      <c r="H45" s="96"/>
      <c r="I45" s="96"/>
      <c r="J45" s="96"/>
    </row>
    <row r="46" spans="1:16" x14ac:dyDescent="0.25">
      <c r="A46" s="96"/>
      <c r="B46" s="96"/>
      <c r="C46" s="96"/>
      <c r="D46" s="96"/>
      <c r="E46" s="96"/>
      <c r="F46" s="96"/>
      <c r="G46" s="96"/>
      <c r="H46" s="96"/>
      <c r="I46" s="96"/>
      <c r="J46" s="96"/>
    </row>
    <row r="47" spans="1:16" x14ac:dyDescent="0.25">
      <c r="A47" s="96"/>
      <c r="B47" s="96"/>
      <c r="C47" s="96"/>
      <c r="D47" s="96"/>
      <c r="E47" s="96"/>
      <c r="F47" s="96"/>
      <c r="G47" s="96"/>
      <c r="H47" s="96"/>
      <c r="I47" s="96"/>
      <c r="J47" s="96"/>
    </row>
    <row r="48" spans="1:16" x14ac:dyDescent="0.25">
      <c r="A48" s="96"/>
      <c r="B48" s="96"/>
      <c r="C48" s="96"/>
      <c r="D48" s="96"/>
      <c r="E48" s="96"/>
      <c r="F48" s="96"/>
      <c r="G48" s="96"/>
      <c r="H48" s="96"/>
      <c r="I48" s="96"/>
      <c r="J48" s="96"/>
    </row>
    <row r="49" spans="1:10" x14ac:dyDescent="0.25">
      <c r="A49" s="96"/>
      <c r="B49" s="96"/>
      <c r="C49" s="96"/>
      <c r="D49" s="96"/>
      <c r="E49" s="96"/>
      <c r="F49" s="96"/>
      <c r="G49" s="96"/>
      <c r="H49" s="96"/>
      <c r="I49" s="96"/>
      <c r="J49" s="96"/>
    </row>
    <row r="50" spans="1:10" x14ac:dyDescent="0.25">
      <c r="A50" s="96"/>
      <c r="B50" s="96"/>
      <c r="C50" s="96"/>
      <c r="D50" s="96"/>
      <c r="E50" s="96"/>
      <c r="F50" s="96"/>
      <c r="G50" s="96"/>
      <c r="H50" s="96"/>
      <c r="I50" s="96"/>
      <c r="J50" s="96"/>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formula1>Rate_Class</formula1>
    </dataValidation>
    <dataValidation allowBlank="1" showInputMessage="1" showErrorMessage="1" sqref="B26:J34"/>
    <dataValidation type="list" allowBlank="1" showInputMessage="1" showErrorMessage="1" sqref="J14">
      <formula1>"1,2,3,4,5,6,7,8, 9, 10,11,12,13,14,15"</formula1>
    </dataValidation>
  </dataValidation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election activeCell="J30" sqref="J30"/>
    </sheetView>
  </sheetViews>
  <sheetFormatPr defaultColWidth="9.140625" defaultRowHeight="15" x14ac:dyDescent="0.25"/>
  <cols>
    <col min="1" max="1" width="65.85546875" style="35" customWidth="1"/>
    <col min="2" max="2" width="21.85546875" style="35" customWidth="1"/>
    <col min="3" max="4" width="21.85546875" style="96" customWidth="1"/>
    <col min="5" max="5" width="20.85546875" style="96" customWidth="1"/>
    <col min="6" max="6" width="3.28515625" style="96" customWidth="1"/>
    <col min="7" max="7" width="15.42578125" style="96" bestFit="1" customWidth="1"/>
    <col min="8" max="9" width="18.140625" style="96" bestFit="1" customWidth="1"/>
    <col min="10" max="11" width="28" style="35" customWidth="1"/>
    <col min="12" max="16384" width="9.140625" style="35"/>
  </cols>
  <sheetData>
    <row r="1" spans="1:9" x14ac:dyDescent="0.25">
      <c r="A1" s="101"/>
      <c r="C1" s="35"/>
      <c r="D1" s="35"/>
      <c r="E1" s="35"/>
      <c r="F1" s="35"/>
      <c r="G1" s="35"/>
      <c r="H1" s="35"/>
      <c r="I1" s="35"/>
    </row>
    <row r="2" spans="1:9" x14ac:dyDescent="0.25">
      <c r="C2" s="35"/>
      <c r="D2" s="35"/>
      <c r="E2" s="35"/>
      <c r="F2" s="35"/>
      <c r="G2" s="35"/>
      <c r="H2" s="35"/>
      <c r="I2" s="35"/>
    </row>
    <row r="3" spans="1:9" x14ac:dyDescent="0.25">
      <c r="C3" s="35"/>
      <c r="D3" s="35"/>
      <c r="E3" s="35"/>
      <c r="F3" s="35"/>
      <c r="G3" s="35"/>
      <c r="H3" s="35"/>
      <c r="I3" s="35"/>
    </row>
    <row r="4" spans="1:9" x14ac:dyDescent="0.25">
      <c r="C4" s="35"/>
      <c r="D4" s="35"/>
      <c r="E4" s="35"/>
      <c r="F4" s="35"/>
      <c r="G4" s="35"/>
      <c r="H4" s="35"/>
      <c r="I4" s="35"/>
    </row>
    <row r="5" spans="1:9" ht="15.75" x14ac:dyDescent="0.25">
      <c r="C5" s="35"/>
      <c r="D5" s="35"/>
      <c r="E5" s="35"/>
      <c r="F5" s="35"/>
      <c r="G5" s="35"/>
      <c r="H5" s="102"/>
      <c r="I5" s="35"/>
    </row>
    <row r="6" spans="1:9" x14ac:dyDescent="0.25">
      <c r="C6" s="35"/>
      <c r="D6" s="35"/>
      <c r="E6" s="35"/>
      <c r="F6" s="35"/>
      <c r="G6" s="35"/>
      <c r="H6" s="35"/>
      <c r="I6" s="35"/>
    </row>
    <row r="7" spans="1:9" x14ac:dyDescent="0.25">
      <c r="C7" s="35"/>
      <c r="D7" s="35"/>
      <c r="E7" s="35"/>
      <c r="F7" s="35"/>
      <c r="G7" s="35"/>
      <c r="H7" s="35"/>
      <c r="I7" s="35"/>
    </row>
    <row r="8" spans="1:9" x14ac:dyDescent="0.25">
      <c r="C8" s="35"/>
      <c r="D8" s="35"/>
      <c r="E8" s="35"/>
      <c r="F8" s="35"/>
      <c r="G8" s="35"/>
      <c r="H8" s="35"/>
      <c r="I8" s="35"/>
    </row>
    <row r="9" spans="1:9" x14ac:dyDescent="0.25">
      <c r="C9" s="35"/>
      <c r="D9" s="35"/>
      <c r="E9" s="35"/>
      <c r="F9" s="35"/>
      <c r="G9" s="35"/>
      <c r="H9" s="35"/>
      <c r="I9" s="35"/>
    </row>
    <row r="10" spans="1:9" x14ac:dyDescent="0.25">
      <c r="C10" s="35"/>
      <c r="D10" s="35"/>
      <c r="E10" s="35"/>
      <c r="F10" s="35"/>
      <c r="G10" s="35"/>
      <c r="H10" s="35"/>
      <c r="I10" s="35"/>
    </row>
    <row r="11" spans="1:9" ht="15.75" x14ac:dyDescent="0.25">
      <c r="A11" s="103"/>
      <c r="C11" s="35"/>
      <c r="D11" s="35"/>
      <c r="E11" s="35"/>
      <c r="F11" s="35"/>
      <c r="G11" s="35"/>
      <c r="H11" s="35"/>
      <c r="I11" s="35"/>
    </row>
    <row r="12" spans="1:9" x14ac:dyDescent="0.25">
      <c r="C12" s="35"/>
      <c r="D12" s="35"/>
      <c r="E12" s="35"/>
      <c r="F12" s="35"/>
      <c r="G12" s="35"/>
      <c r="H12" s="35"/>
      <c r="I12" s="35"/>
    </row>
    <row r="13" spans="1:9" ht="15.75" x14ac:dyDescent="0.25">
      <c r="A13" s="347" t="str">
        <f>"Input the billing determinants and base distribution rates associated with " &amp; '[1]1. Information Sheet'!F14 &amp; "'s " &amp; '[1]1. Information Sheet'!F48 &amp; ".  Sheets 4 &amp; 5 calculate the NUMERATOR portion of the growth factor calculation."</f>
        <v>Input the billing determinants and base distribution rates associated with 's 2016 Actual Distribution Revenues.  Sheets 4 &amp; 5 calculate the NUMERATOR portion of the growth factor calculation.</v>
      </c>
      <c r="B13" s="347"/>
      <c r="C13" s="347"/>
      <c r="D13" s="347"/>
      <c r="E13" s="347"/>
      <c r="F13" s="35"/>
      <c r="G13" s="35"/>
      <c r="H13" s="35"/>
      <c r="I13" s="35"/>
    </row>
    <row r="14" spans="1:9" ht="15.75" x14ac:dyDescent="0.25">
      <c r="A14" s="103"/>
      <c r="C14" s="35"/>
      <c r="D14" s="35"/>
      <c r="E14" s="35"/>
      <c r="F14" s="35"/>
      <c r="G14" s="35"/>
      <c r="H14" s="35"/>
      <c r="I14" s="35"/>
    </row>
    <row r="15" spans="1:9" ht="19.5" thickBot="1" x14ac:dyDescent="0.3">
      <c r="A15" s="103"/>
      <c r="C15" s="348" t="s">
        <v>330</v>
      </c>
      <c r="D15" s="348"/>
      <c r="E15" s="348"/>
      <c r="F15" s="104"/>
      <c r="G15" s="348" t="s">
        <v>330</v>
      </c>
      <c r="H15" s="348"/>
      <c r="I15" s="348"/>
    </row>
    <row r="16" spans="1:9" ht="47.25" x14ac:dyDescent="0.25">
      <c r="A16" s="105" t="s">
        <v>106</v>
      </c>
      <c r="B16" s="106" t="s">
        <v>107</v>
      </c>
      <c r="C16" s="102" t="s">
        <v>108</v>
      </c>
      <c r="D16" s="102" t="s">
        <v>109</v>
      </c>
      <c r="E16" s="102" t="s">
        <v>110</v>
      </c>
      <c r="F16" s="102"/>
      <c r="G16" s="102" t="s">
        <v>111</v>
      </c>
      <c r="H16" s="102" t="s">
        <v>112</v>
      </c>
      <c r="I16" s="102" t="s">
        <v>113</v>
      </c>
    </row>
    <row r="17" spans="1:9" ht="15.75" thickBot="1" x14ac:dyDescent="0.3">
      <c r="A17" s="35" t="s">
        <v>99</v>
      </c>
      <c r="B17" s="107" t="s">
        <v>114</v>
      </c>
      <c r="C17" s="108">
        <v>182224</v>
      </c>
      <c r="D17" s="109">
        <v>1532961311.1325612</v>
      </c>
      <c r="E17" s="109">
        <v>0</v>
      </c>
      <c r="F17" s="110"/>
      <c r="G17" s="111">
        <v>15.75</v>
      </c>
      <c r="H17" s="112">
        <v>1.0200000000000001E-2</v>
      </c>
      <c r="I17" s="113">
        <v>0</v>
      </c>
    </row>
    <row r="18" spans="1:9" ht="15.75" thickBot="1" x14ac:dyDescent="0.3">
      <c r="A18" s="35" t="s">
        <v>100</v>
      </c>
      <c r="B18" s="114" t="s">
        <v>114</v>
      </c>
      <c r="C18" s="115">
        <v>18025</v>
      </c>
      <c r="D18" s="116">
        <v>665390670.84942079</v>
      </c>
      <c r="E18" s="116">
        <v>0</v>
      </c>
      <c r="F18" s="117"/>
      <c r="G18" s="118">
        <v>41.47</v>
      </c>
      <c r="H18" s="119">
        <v>1.21E-2</v>
      </c>
      <c r="I18" s="120">
        <v>0</v>
      </c>
    </row>
    <row r="19" spans="1:9" ht="15.75" thickBot="1" x14ac:dyDescent="0.3">
      <c r="A19" s="35" t="s">
        <v>101</v>
      </c>
      <c r="B19" s="114" t="s">
        <v>115</v>
      </c>
      <c r="C19" s="115">
        <v>4011</v>
      </c>
      <c r="D19" s="116">
        <v>2095056256.4350061</v>
      </c>
      <c r="E19" s="116">
        <v>6021478.1251599872</v>
      </c>
      <c r="F19" s="117"/>
      <c r="G19" s="118">
        <v>73.040000000000006</v>
      </c>
      <c r="H19" s="119">
        <v>0</v>
      </c>
      <c r="I19" s="120">
        <v>4.3959000000000001</v>
      </c>
    </row>
    <row r="20" spans="1:9" ht="15.75" thickBot="1" x14ac:dyDescent="0.3">
      <c r="A20" s="35" t="s">
        <v>102</v>
      </c>
      <c r="B20" s="114" t="s">
        <v>115</v>
      </c>
      <c r="C20" s="115">
        <v>459</v>
      </c>
      <c r="D20" s="116">
        <v>2017241544.5164552</v>
      </c>
      <c r="E20" s="116">
        <v>4578124.5264787124</v>
      </c>
      <c r="F20" s="117"/>
      <c r="G20" s="118">
        <v>1663.38</v>
      </c>
      <c r="H20" s="119">
        <v>0</v>
      </c>
      <c r="I20" s="120">
        <v>2.262</v>
      </c>
    </row>
    <row r="21" spans="1:9" ht="15.75" thickBot="1" x14ac:dyDescent="0.3">
      <c r="A21" s="35" t="s">
        <v>103</v>
      </c>
      <c r="B21" s="114" t="s">
        <v>115</v>
      </c>
      <c r="C21" s="115">
        <v>9</v>
      </c>
      <c r="D21" s="116">
        <v>989946990.6592505</v>
      </c>
      <c r="E21" s="116">
        <v>1770337.0458183149</v>
      </c>
      <c r="F21" s="117"/>
      <c r="G21" s="118">
        <v>13115.07</v>
      </c>
      <c r="H21" s="119">
        <v>0</v>
      </c>
      <c r="I21" s="120">
        <v>2.8075999999999999</v>
      </c>
    </row>
    <row r="22" spans="1:9" ht="15.75" thickBot="1" x14ac:dyDescent="0.3">
      <c r="A22" s="35" t="s">
        <v>104</v>
      </c>
      <c r="B22" s="114" t="s">
        <v>114</v>
      </c>
      <c r="C22" s="115">
        <v>3098</v>
      </c>
      <c r="D22" s="116">
        <v>11246373.873873873</v>
      </c>
      <c r="E22" s="116">
        <v>0</v>
      </c>
      <c r="F22" s="117"/>
      <c r="G22" s="118">
        <v>8.56</v>
      </c>
      <c r="H22" s="119">
        <v>1.5599999999999999E-2</v>
      </c>
      <c r="I22" s="120">
        <v>0</v>
      </c>
    </row>
    <row r="23" spans="1:9" ht="15.75" thickBot="1" x14ac:dyDescent="0.3">
      <c r="A23" s="35" t="s">
        <v>105</v>
      </c>
      <c r="B23" s="114" t="s">
        <v>115</v>
      </c>
      <c r="C23" s="121">
        <v>50555</v>
      </c>
      <c r="D23" s="122">
        <v>16413627.734877734</v>
      </c>
      <c r="E23" s="122">
        <v>45704.178987063518</v>
      </c>
      <c r="F23" s="123"/>
      <c r="G23" s="124">
        <v>1.44</v>
      </c>
      <c r="H23" s="125">
        <v>0</v>
      </c>
      <c r="I23" s="126">
        <v>10.9833</v>
      </c>
    </row>
    <row r="24" spans="1:9" x14ac:dyDescent="0.25">
      <c r="G24" s="127"/>
      <c r="H24" s="127"/>
      <c r="I24" s="127"/>
    </row>
  </sheetData>
  <mergeCells count="3">
    <mergeCell ref="A13:E13"/>
    <mergeCell ref="C15:E15"/>
    <mergeCell ref="G15:I15"/>
  </mergeCells>
  <dataValidations count="1">
    <dataValidation type="list" allowBlank="1" showInputMessage="1" showErrorMessage="1" sqref="B17:B23">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4" width="16" bestFit="1" customWidth="1"/>
    <col min="5" max="5" width="18.85546875"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tr">
        <f>IF('[1]1. Information Sheet'!F26="COS", "Calculation of " &amp; '[1]1. Information Sheet'!K26 &amp; " Revenue Requirement.  No input required.", "Calculation of " &amp; '[1]1. Information Sheet'!F38 &amp; " Revenue Requirement.  No input required.")</f>
        <v>Calculation of 2016 Revenue Requirement.  No input required.</v>
      </c>
    </row>
    <row r="14" spans="1:19" ht="21.75" thickBot="1" x14ac:dyDescent="0.3">
      <c r="C14" s="349" t="s">
        <v>330</v>
      </c>
      <c r="D14" s="349"/>
      <c r="E14" s="349"/>
      <c r="F14" s="349"/>
      <c r="G14" s="349"/>
      <c r="H14" s="349"/>
      <c r="I14" s="349"/>
    </row>
    <row r="15" spans="1:19" s="131" customFormat="1" ht="63" x14ac:dyDescent="0.25">
      <c r="A15" s="129" t="s">
        <v>106</v>
      </c>
      <c r="B15" s="130"/>
      <c r="C15" s="106" t="s">
        <v>108</v>
      </c>
      <c r="D15" s="106" t="s">
        <v>109</v>
      </c>
      <c r="E15" s="106" t="s">
        <v>110</v>
      </c>
      <c r="F15" s="106"/>
      <c r="G15" s="106" t="s">
        <v>111</v>
      </c>
      <c r="H15" s="106" t="s">
        <v>112</v>
      </c>
      <c r="I15" s="106" t="s">
        <v>113</v>
      </c>
      <c r="J15" s="106"/>
      <c r="K15" s="106" t="s">
        <v>116</v>
      </c>
      <c r="L15" s="106" t="s">
        <v>117</v>
      </c>
      <c r="M15" s="106" t="s">
        <v>118</v>
      </c>
      <c r="N15" s="106" t="s">
        <v>119</v>
      </c>
      <c r="O15" s="106"/>
      <c r="P15" s="106" t="s">
        <v>120</v>
      </c>
      <c r="Q15" s="106" t="s">
        <v>121</v>
      </c>
      <c r="R15" s="106" t="s">
        <v>122</v>
      </c>
      <c r="S15" s="106" t="s">
        <v>123</v>
      </c>
    </row>
    <row r="16" spans="1:19" s="133" customFormat="1" ht="15.75" x14ac:dyDescent="0.2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134</v>
      </c>
      <c r="Q16" s="130" t="s">
        <v>135</v>
      </c>
      <c r="R16" s="130" t="s">
        <v>136</v>
      </c>
      <c r="S16" s="130" t="s">
        <v>137</v>
      </c>
    </row>
    <row r="17" spans="1:26" x14ac:dyDescent="0.25">
      <c r="A17" s="134" t="s">
        <v>99</v>
      </c>
      <c r="B17" s="134"/>
      <c r="C17" s="135">
        <v>182224</v>
      </c>
      <c r="D17" s="135">
        <v>1532961311.1325612</v>
      </c>
      <c r="E17" s="135">
        <v>0</v>
      </c>
      <c r="F17" s="136"/>
      <c r="G17" s="137">
        <v>15.75</v>
      </c>
      <c r="H17" s="138">
        <v>1.0200000000000001E-2</v>
      </c>
      <c r="I17" s="138">
        <v>0</v>
      </c>
      <c r="J17" s="134"/>
      <c r="K17" s="139">
        <f t="shared" ref="K17:K23" si="0">G17*C17*12</f>
        <v>34440336</v>
      </c>
      <c r="L17" s="139">
        <f>H17*D17</f>
        <v>15636205.373552125</v>
      </c>
      <c r="M17" s="139">
        <v>0</v>
      </c>
      <c r="N17" s="139">
        <f t="shared" ref="N17:N23" si="1">SUM(K17,L17,M17)</f>
        <v>50076541.373552129</v>
      </c>
      <c r="O17" s="134"/>
      <c r="P17" s="140">
        <f t="shared" ref="P17:P23" si="2">IF(ISERROR(K17/N17),0,ROUND(K17/N17,3))</f>
        <v>0.68799999999999994</v>
      </c>
      <c r="Q17" s="140">
        <f t="shared" ref="Q17:Q23" si="3">IF(ISERROR(L17/N17),0,ROUND(L17/N17,3))</f>
        <v>0.312</v>
      </c>
      <c r="R17" s="140">
        <f t="shared" ref="R17:R23" si="4">IF(ISERROR(M17/N17),0,ROUND(M17/N17,3))</f>
        <v>0</v>
      </c>
      <c r="S17" s="140">
        <f>N17/N24</f>
        <v>0.40107183054144435</v>
      </c>
    </row>
    <row r="18" spans="1:26" x14ac:dyDescent="0.25">
      <c r="A18" s="141" t="s">
        <v>100</v>
      </c>
      <c r="B18" s="141"/>
      <c r="C18" s="142">
        <v>18025</v>
      </c>
      <c r="D18" s="142">
        <v>665390670.84942079</v>
      </c>
      <c r="E18" s="142">
        <v>0</v>
      </c>
      <c r="F18" s="143"/>
      <c r="G18" s="144">
        <v>41.47</v>
      </c>
      <c r="H18" s="145">
        <v>1.21E-2</v>
      </c>
      <c r="I18" s="145">
        <v>0</v>
      </c>
      <c r="J18" s="141"/>
      <c r="K18" s="146">
        <f t="shared" si="0"/>
        <v>8969961</v>
      </c>
      <c r="L18" s="146">
        <f>H18*D18</f>
        <v>8051227.117277991</v>
      </c>
      <c r="M18" s="146">
        <v>0</v>
      </c>
      <c r="N18" s="146">
        <f t="shared" si="1"/>
        <v>17021188.117277991</v>
      </c>
      <c r="O18" s="141"/>
      <c r="P18" s="147">
        <f t="shared" si="2"/>
        <v>0.52700000000000002</v>
      </c>
      <c r="Q18" s="147">
        <f t="shared" si="3"/>
        <v>0.47299999999999998</v>
      </c>
      <c r="R18" s="147">
        <f t="shared" si="4"/>
        <v>0</v>
      </c>
      <c r="S18" s="147">
        <f>N18/N24</f>
        <v>0.136325690411848</v>
      </c>
    </row>
    <row r="19" spans="1:26" x14ac:dyDescent="0.25">
      <c r="A19" s="141" t="s">
        <v>101</v>
      </c>
      <c r="B19" s="141"/>
      <c r="C19" s="142">
        <v>4011</v>
      </c>
      <c r="D19" s="142">
        <v>2095056256.4350061</v>
      </c>
      <c r="E19" s="142">
        <v>6021478.1251599872</v>
      </c>
      <c r="F19" s="143"/>
      <c r="G19" s="144">
        <v>73.040000000000006</v>
      </c>
      <c r="H19" s="145">
        <v>0</v>
      </c>
      <c r="I19" s="145">
        <v>4.3959000000000001</v>
      </c>
      <c r="J19" s="141"/>
      <c r="K19" s="146">
        <f t="shared" si="0"/>
        <v>3515561.2800000003</v>
      </c>
      <c r="L19" s="146">
        <v>0</v>
      </c>
      <c r="M19" s="146">
        <f>I19*E19</f>
        <v>26469815.690390788</v>
      </c>
      <c r="N19" s="146">
        <f t="shared" si="1"/>
        <v>29985376.970390789</v>
      </c>
      <c r="O19" s="141"/>
      <c r="P19" s="147">
        <f t="shared" si="2"/>
        <v>0.11700000000000001</v>
      </c>
      <c r="Q19" s="147">
        <f t="shared" si="3"/>
        <v>0</v>
      </c>
      <c r="R19" s="147">
        <f t="shared" si="4"/>
        <v>0.88300000000000001</v>
      </c>
      <c r="S19" s="147">
        <f>N19/N24</f>
        <v>0.24015815991121092</v>
      </c>
    </row>
    <row r="20" spans="1:26" x14ac:dyDescent="0.25">
      <c r="A20" s="141" t="s">
        <v>102</v>
      </c>
      <c r="B20" s="141"/>
      <c r="C20" s="142">
        <v>459</v>
      </c>
      <c r="D20" s="142">
        <v>2017241544.5164552</v>
      </c>
      <c r="E20" s="142">
        <v>4578124.5264787124</v>
      </c>
      <c r="F20" s="143"/>
      <c r="G20" s="144">
        <v>1663.38</v>
      </c>
      <c r="H20" s="145">
        <v>0</v>
      </c>
      <c r="I20" s="145">
        <v>2.262</v>
      </c>
      <c r="J20" s="141"/>
      <c r="K20" s="146">
        <f t="shared" si="0"/>
        <v>9161897.040000001</v>
      </c>
      <c r="L20" s="146">
        <v>0</v>
      </c>
      <c r="M20" s="146">
        <f>I20*E20</f>
        <v>10355717.678894848</v>
      </c>
      <c r="N20" s="146">
        <f t="shared" si="1"/>
        <v>19517614.718894847</v>
      </c>
      <c r="O20" s="141"/>
      <c r="P20" s="147">
        <f t="shared" si="2"/>
        <v>0.46899999999999997</v>
      </c>
      <c r="Q20" s="147">
        <f t="shared" si="3"/>
        <v>0</v>
      </c>
      <c r="R20" s="147">
        <f t="shared" si="4"/>
        <v>0.53100000000000003</v>
      </c>
      <c r="S20" s="147">
        <f>N20/N24</f>
        <v>0.15632001029616086</v>
      </c>
    </row>
    <row r="21" spans="1:26" x14ac:dyDescent="0.25">
      <c r="A21" s="141" t="s">
        <v>103</v>
      </c>
      <c r="B21" s="141"/>
      <c r="C21" s="142">
        <v>9</v>
      </c>
      <c r="D21" s="142">
        <v>989946990.6592505</v>
      </c>
      <c r="E21" s="142">
        <v>1770337.0458183149</v>
      </c>
      <c r="F21" s="143"/>
      <c r="G21" s="144">
        <v>13115.07</v>
      </c>
      <c r="H21" s="145">
        <v>0</v>
      </c>
      <c r="I21" s="145">
        <v>2.8075999999999999</v>
      </c>
      <c r="J21" s="141"/>
      <c r="K21" s="146">
        <f t="shared" si="0"/>
        <v>1416427.56</v>
      </c>
      <c r="L21" s="146">
        <v>0</v>
      </c>
      <c r="M21" s="146">
        <f>I21*E21</f>
        <v>4970398.2898395006</v>
      </c>
      <c r="N21" s="146">
        <f t="shared" si="1"/>
        <v>6386825.8498395011</v>
      </c>
      <c r="O21" s="141"/>
      <c r="P21" s="147">
        <f t="shared" si="2"/>
        <v>0.222</v>
      </c>
      <c r="Q21" s="147">
        <f t="shared" si="3"/>
        <v>0</v>
      </c>
      <c r="R21" s="147">
        <f t="shared" si="4"/>
        <v>0.77800000000000002</v>
      </c>
      <c r="S21" s="147">
        <f>N21/N24</f>
        <v>5.1153211956795369E-2</v>
      </c>
    </row>
    <row r="22" spans="1:26" x14ac:dyDescent="0.25">
      <c r="A22" s="141" t="s">
        <v>104</v>
      </c>
      <c r="B22" s="141"/>
      <c r="C22" s="142">
        <v>3098</v>
      </c>
      <c r="D22" s="142">
        <v>11246373.873873873</v>
      </c>
      <c r="E22" s="142">
        <v>0</v>
      </c>
      <c r="F22" s="143"/>
      <c r="G22" s="144">
        <v>8.56</v>
      </c>
      <c r="H22" s="145">
        <v>1.5599999999999999E-2</v>
      </c>
      <c r="I22" s="145">
        <v>0</v>
      </c>
      <c r="J22" s="141"/>
      <c r="K22" s="146">
        <f t="shared" si="0"/>
        <v>318226.56</v>
      </c>
      <c r="L22" s="146">
        <f>H22*D22</f>
        <v>175443.4324324324</v>
      </c>
      <c r="M22" s="146">
        <v>0</v>
      </c>
      <c r="N22" s="146">
        <f t="shared" si="1"/>
        <v>493669.99243243237</v>
      </c>
      <c r="O22" s="141"/>
      <c r="P22" s="147">
        <f t="shared" si="2"/>
        <v>0.64500000000000002</v>
      </c>
      <c r="Q22" s="147">
        <f t="shared" si="3"/>
        <v>0.35499999999999998</v>
      </c>
      <c r="R22" s="147">
        <f t="shared" si="4"/>
        <v>0</v>
      </c>
      <c r="S22" s="147">
        <f>N22/N24</f>
        <v>3.9538898277992618E-3</v>
      </c>
    </row>
    <row r="23" spans="1:26" x14ac:dyDescent="0.25">
      <c r="A23" s="141" t="s">
        <v>105</v>
      </c>
      <c r="B23" s="141"/>
      <c r="C23" s="142">
        <v>50555</v>
      </c>
      <c r="D23" s="142">
        <v>16413627.734877734</v>
      </c>
      <c r="E23" s="142">
        <v>45704.178987063518</v>
      </c>
      <c r="F23" s="143"/>
      <c r="G23" s="144">
        <v>1.44</v>
      </c>
      <c r="H23" s="145">
        <v>0</v>
      </c>
      <c r="I23" s="145">
        <v>10.9833</v>
      </c>
      <c r="J23" s="141"/>
      <c r="K23" s="146">
        <f t="shared" si="0"/>
        <v>873590.39999999991</v>
      </c>
      <c r="L23" s="146">
        <v>0</v>
      </c>
      <c r="M23" s="146">
        <f>I23*E23</f>
        <v>501982.70906861476</v>
      </c>
      <c r="N23" s="146">
        <f t="shared" si="1"/>
        <v>1375573.1090686147</v>
      </c>
      <c r="O23" s="141"/>
      <c r="P23" s="147">
        <f t="shared" si="2"/>
        <v>0.63500000000000001</v>
      </c>
      <c r="Q23" s="147">
        <f t="shared" si="3"/>
        <v>0</v>
      </c>
      <c r="R23" s="147">
        <f t="shared" si="4"/>
        <v>0.36499999999999999</v>
      </c>
      <c r="S23" s="147">
        <f>N23/N24</f>
        <v>1.1017207054741142E-2</v>
      </c>
    </row>
    <row r="24" spans="1:26" x14ac:dyDescent="0.25">
      <c r="A24" s="148" t="s">
        <v>138</v>
      </c>
      <c r="B24" s="148"/>
      <c r="C24" s="149">
        <f>SUM(C17:C23)</f>
        <v>258381</v>
      </c>
      <c r="D24" s="149">
        <f>SUM(D17:D23)</f>
        <v>7328256775.2014446</v>
      </c>
      <c r="E24" s="149">
        <f>SUM(E17:E23)</f>
        <v>12415643.876444079</v>
      </c>
      <c r="F24" s="150"/>
      <c r="G24" s="150"/>
      <c r="H24" s="150"/>
      <c r="I24" s="150"/>
      <c r="J24" s="148"/>
      <c r="K24" s="151">
        <f>SUM(K17:K23)</f>
        <v>58695999.840000004</v>
      </c>
      <c r="L24" s="151">
        <f>SUM(L17:L23)</f>
        <v>23862875.923262548</v>
      </c>
      <c r="M24" s="151">
        <f>SUM(M17:M23)</f>
        <v>42297914.368193746</v>
      </c>
      <c r="N24" s="151">
        <f>SUM(N17:N23)</f>
        <v>124856790.13145632</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1">
    <mergeCell ref="C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workbookViewId="0">
      <selection activeCell="J30" sqref="J30"/>
    </sheetView>
  </sheetViews>
  <sheetFormatPr defaultColWidth="9.140625" defaultRowHeight="15" customHeight="1" zeroHeight="1" x14ac:dyDescent="0.2"/>
  <cols>
    <col min="1" max="1" width="70.140625" style="2" bestFit="1" customWidth="1"/>
    <col min="2" max="2" width="9.140625" style="2" customWidth="1"/>
    <col min="3" max="3" width="22.42578125" style="2" customWidth="1"/>
    <col min="4" max="4" width="3.5703125" style="2" customWidth="1"/>
    <col min="5" max="5" width="26.7109375" style="2" customWidth="1"/>
    <col min="6" max="6" width="23.7109375" style="184" bestFit="1" customWidth="1"/>
    <col min="7" max="7" width="26.7109375" style="2" customWidth="1"/>
    <col min="8" max="8" width="23.5703125" style="184" bestFit="1" customWidth="1"/>
    <col min="9" max="9" width="11.85546875" style="184" customWidth="1"/>
    <col min="10" max="11" width="11.42578125" style="2" customWidth="1"/>
    <col min="12" max="16384" width="9.140625" style="2"/>
  </cols>
  <sheetData>
    <row r="1" spans="1:11" ht="33.75" customHeight="1" x14ac:dyDescent="0.2">
      <c r="A1" s="1"/>
      <c r="B1" s="1"/>
      <c r="C1" s="1"/>
      <c r="D1" s="1"/>
      <c r="E1" s="1"/>
      <c r="F1" s="1"/>
      <c r="G1" s="1"/>
      <c r="H1" s="1"/>
      <c r="I1" s="155"/>
      <c r="J1" s="1"/>
      <c r="K1" s="1"/>
    </row>
    <row r="2" spans="1:11" s="1" customFormat="1" ht="33.75" customHeight="1" x14ac:dyDescent="0.25">
      <c r="C2" s="3"/>
      <c r="F2" s="155"/>
      <c r="H2" s="155"/>
      <c r="I2" s="155"/>
    </row>
    <row r="3" spans="1:11" s="1" customFormat="1" ht="33.75" customHeight="1" x14ac:dyDescent="0.25">
      <c r="C3" s="3"/>
      <c r="F3" s="155"/>
      <c r="H3" s="155"/>
      <c r="I3" s="155"/>
    </row>
    <row r="4" spans="1:11" s="1" customFormat="1" ht="33.75" customHeight="1" x14ac:dyDescent="0.25">
      <c r="C4" s="3"/>
      <c r="F4" s="155"/>
      <c r="H4" s="155"/>
      <c r="I4" s="155"/>
    </row>
    <row r="5" spans="1:11" s="1" customFormat="1" ht="18" x14ac:dyDescent="0.25">
      <c r="C5" s="3"/>
      <c r="F5" s="155"/>
      <c r="H5" s="155"/>
      <c r="I5" s="155"/>
    </row>
    <row r="6" spans="1:11" s="1" customFormat="1" ht="15.75" x14ac:dyDescent="0.25">
      <c r="A6" s="6"/>
      <c r="F6" s="155"/>
      <c r="H6" s="155"/>
      <c r="I6" s="155"/>
    </row>
    <row r="7" spans="1:11" s="1" customFormat="1" x14ac:dyDescent="0.2">
      <c r="F7" s="155"/>
      <c r="H7" s="155"/>
      <c r="I7" s="155"/>
    </row>
    <row r="8" spans="1:11" s="1" customFormat="1" ht="21" thickBot="1" x14ac:dyDescent="0.35">
      <c r="A8" s="156" t="s">
        <v>139</v>
      </c>
      <c r="B8" s="157"/>
      <c r="C8" s="350" t="s">
        <v>330</v>
      </c>
      <c r="D8" s="350"/>
      <c r="E8" s="350"/>
      <c r="F8" s="350"/>
      <c r="G8" s="155"/>
    </row>
    <row r="9" spans="1:11" s="1" customFormat="1" ht="18" x14ac:dyDescent="0.25">
      <c r="A9" s="158" t="s">
        <v>7</v>
      </c>
      <c r="B9" s="157"/>
      <c r="C9" s="159"/>
      <c r="D9" s="159"/>
      <c r="E9" s="159"/>
      <c r="F9" s="159"/>
      <c r="G9" s="155"/>
    </row>
    <row r="10" spans="1:11" s="1" customFormat="1" x14ac:dyDescent="0.2">
      <c r="A10" s="15" t="s">
        <v>140</v>
      </c>
      <c r="B10" s="157"/>
      <c r="C10" s="160">
        <v>541300088</v>
      </c>
      <c r="D10" s="161" t="s">
        <v>124</v>
      </c>
      <c r="E10" s="162"/>
      <c r="F10" s="163"/>
      <c r="G10" s="155"/>
    </row>
    <row r="11" spans="1:11" s="1" customFormat="1" x14ac:dyDescent="0.2">
      <c r="A11" s="15" t="s">
        <v>141</v>
      </c>
      <c r="B11" s="157"/>
      <c r="C11" s="160">
        <v>4371726</v>
      </c>
      <c r="D11" s="161" t="s">
        <v>125</v>
      </c>
      <c r="E11" s="162"/>
      <c r="F11" s="163"/>
      <c r="G11" s="155"/>
    </row>
    <row r="12" spans="1:11" s="1" customFormat="1" x14ac:dyDescent="0.2">
      <c r="A12" s="15" t="s">
        <v>142</v>
      </c>
      <c r="B12" s="157"/>
      <c r="C12" s="160">
        <v>46257875</v>
      </c>
      <c r="D12" s="161" t="s">
        <v>126</v>
      </c>
      <c r="E12" s="162"/>
      <c r="F12" s="163"/>
      <c r="G12" s="155"/>
    </row>
    <row r="13" spans="1:11" s="1" customFormat="1" x14ac:dyDescent="0.2">
      <c r="A13" s="15" t="s">
        <v>143</v>
      </c>
      <c r="B13" s="157"/>
      <c r="C13" s="160">
        <v>-1026755</v>
      </c>
      <c r="D13" s="161" t="s">
        <v>127</v>
      </c>
      <c r="E13" s="162"/>
      <c r="F13" s="163"/>
      <c r="G13" s="155"/>
    </row>
    <row r="14" spans="1:11" s="1" customFormat="1" x14ac:dyDescent="0.2">
      <c r="A14" s="15" t="s">
        <v>144</v>
      </c>
      <c r="B14" s="157"/>
      <c r="C14" s="160"/>
      <c r="D14" s="164" t="s">
        <v>128</v>
      </c>
      <c r="E14" s="162"/>
      <c r="F14" s="163"/>
      <c r="G14" s="155"/>
    </row>
    <row r="15" spans="1:11" s="1" customFormat="1" x14ac:dyDescent="0.2">
      <c r="A15" s="15" t="s">
        <v>145</v>
      </c>
      <c r="B15" s="157"/>
      <c r="C15" s="160">
        <v>-4371726</v>
      </c>
      <c r="D15" s="161" t="s">
        <v>129</v>
      </c>
      <c r="E15" s="162"/>
      <c r="F15" s="163"/>
      <c r="G15" s="155"/>
    </row>
    <row r="16" spans="1:11" s="1" customFormat="1" x14ac:dyDescent="0.2">
      <c r="A16" s="15" t="s">
        <v>146</v>
      </c>
      <c r="B16" s="157"/>
      <c r="C16" s="165">
        <f>SUM(C10:C15)</f>
        <v>586531208</v>
      </c>
      <c r="D16" s="166" t="s">
        <v>147</v>
      </c>
      <c r="E16" s="162"/>
      <c r="F16" s="161"/>
      <c r="G16" s="155"/>
    </row>
    <row r="17" spans="1:9" s="1" customFormat="1" x14ac:dyDescent="0.2">
      <c r="A17" s="15" t="s">
        <v>15</v>
      </c>
      <c r="B17" s="157"/>
      <c r="C17" s="24"/>
      <c r="D17" s="163"/>
      <c r="E17" s="165">
        <f>(C10+C16)/2</f>
        <v>563915648</v>
      </c>
      <c r="F17" s="167" t="s">
        <v>148</v>
      </c>
      <c r="G17" s="155"/>
    </row>
    <row r="18" spans="1:9" s="1" customFormat="1" x14ac:dyDescent="0.2">
      <c r="B18" s="157"/>
      <c r="C18" s="24"/>
      <c r="D18" s="163"/>
      <c r="E18" s="24"/>
      <c r="F18" s="161"/>
      <c r="G18" s="155"/>
    </row>
    <row r="19" spans="1:9" s="1" customFormat="1" x14ac:dyDescent="0.2">
      <c r="A19" s="15" t="s">
        <v>149</v>
      </c>
      <c r="B19" s="157"/>
      <c r="C19" s="160">
        <v>45750490</v>
      </c>
      <c r="D19" s="167" t="s">
        <v>150</v>
      </c>
      <c r="E19" s="24"/>
      <c r="F19" s="161"/>
      <c r="G19" s="155"/>
    </row>
    <row r="20" spans="1:9" s="1" customFormat="1" x14ac:dyDescent="0.2">
      <c r="A20" s="15" t="s">
        <v>151</v>
      </c>
      <c r="B20" s="157"/>
      <c r="C20" s="160">
        <v>28721695</v>
      </c>
      <c r="D20" s="167" t="s">
        <v>152</v>
      </c>
      <c r="E20" s="24"/>
      <c r="F20" s="161"/>
      <c r="G20" s="155"/>
      <c r="I20" s="168"/>
    </row>
    <row r="21" spans="1:9" s="1" customFormat="1" x14ac:dyDescent="0.2">
      <c r="A21" s="15" t="s">
        <v>153</v>
      </c>
      <c r="B21" s="157"/>
      <c r="C21" s="160"/>
      <c r="D21" s="169" t="s">
        <v>154</v>
      </c>
      <c r="E21" s="24"/>
      <c r="F21" s="161"/>
      <c r="G21" s="155"/>
    </row>
    <row r="22" spans="1:9" s="1" customFormat="1" x14ac:dyDescent="0.2">
      <c r="A22" s="15" t="s">
        <v>155</v>
      </c>
      <c r="B22" s="157"/>
      <c r="C22" s="160">
        <v>-1026755</v>
      </c>
      <c r="D22" s="161" t="s">
        <v>156</v>
      </c>
      <c r="E22" s="24"/>
      <c r="F22" s="161"/>
      <c r="G22" s="155"/>
    </row>
    <row r="23" spans="1:9" s="1" customFormat="1" x14ac:dyDescent="0.2">
      <c r="A23" s="15" t="s">
        <v>157</v>
      </c>
      <c r="B23" s="157"/>
      <c r="C23" s="165">
        <f>SUM(C19:C22)</f>
        <v>73445430</v>
      </c>
      <c r="D23" s="161" t="s">
        <v>158</v>
      </c>
      <c r="E23" s="24"/>
      <c r="F23" s="161"/>
      <c r="G23" s="155"/>
    </row>
    <row r="24" spans="1:9" s="1" customFormat="1" x14ac:dyDescent="0.2">
      <c r="A24" s="15" t="s">
        <v>21</v>
      </c>
      <c r="B24" s="157"/>
      <c r="C24" s="24"/>
      <c r="D24" s="163"/>
      <c r="E24" s="165">
        <f>SUM(C19,C23)/2</f>
        <v>59597960</v>
      </c>
      <c r="F24" s="161" t="s">
        <v>159</v>
      </c>
      <c r="G24" s="155"/>
    </row>
    <row r="25" spans="1:9" s="1" customFormat="1" x14ac:dyDescent="0.2">
      <c r="B25" s="157"/>
      <c r="C25" s="24"/>
      <c r="D25" s="163"/>
      <c r="E25" s="24"/>
      <c r="F25" s="163"/>
      <c r="G25" s="155"/>
    </row>
    <row r="26" spans="1:9" s="1" customFormat="1" ht="15.75" x14ac:dyDescent="0.25">
      <c r="A26" s="6" t="s">
        <v>22</v>
      </c>
      <c r="B26" s="157"/>
      <c r="C26" s="24"/>
      <c r="D26" s="163"/>
      <c r="E26" s="21">
        <f>E17-E24</f>
        <v>504317688</v>
      </c>
      <c r="F26" s="169" t="s">
        <v>160</v>
      </c>
      <c r="G26" s="155"/>
    </row>
    <row r="27" spans="1:9" s="1" customFormat="1" x14ac:dyDescent="0.2">
      <c r="B27" s="157"/>
      <c r="C27" s="24"/>
      <c r="D27" s="163"/>
      <c r="E27" s="24"/>
      <c r="F27" s="163"/>
      <c r="G27" s="155"/>
    </row>
    <row r="28" spans="1:9" s="1" customFormat="1" ht="15.75" x14ac:dyDescent="0.25">
      <c r="A28" s="6" t="s">
        <v>23</v>
      </c>
      <c r="B28" s="157"/>
      <c r="C28" s="24"/>
      <c r="D28" s="163"/>
      <c r="E28" s="162"/>
      <c r="F28" s="161"/>
      <c r="G28" s="155"/>
    </row>
    <row r="29" spans="1:9" s="1" customFormat="1" x14ac:dyDescent="0.2">
      <c r="A29" s="15" t="s">
        <v>24</v>
      </c>
      <c r="B29" s="157"/>
      <c r="C29" s="160">
        <v>786215891</v>
      </c>
      <c r="D29" s="170" t="s">
        <v>161</v>
      </c>
      <c r="E29" s="24"/>
      <c r="F29" s="163"/>
      <c r="G29" s="155"/>
    </row>
    <row r="30" spans="1:9" s="1" customFormat="1" x14ac:dyDescent="0.2">
      <c r="A30" s="15" t="s">
        <v>25</v>
      </c>
      <c r="B30" s="157"/>
      <c r="C30" s="171">
        <v>0.13500000000000001</v>
      </c>
      <c r="D30" s="169" t="s">
        <v>162</v>
      </c>
      <c r="E30" s="24"/>
      <c r="F30" s="163"/>
      <c r="G30" s="155"/>
    </row>
    <row r="31" spans="1:9" s="1" customFormat="1" ht="15.75" x14ac:dyDescent="0.25">
      <c r="A31" s="6" t="s">
        <v>23</v>
      </c>
      <c r="B31" s="157"/>
      <c r="C31" s="24"/>
      <c r="D31" s="169"/>
      <c r="E31" s="21">
        <f>C29*C30</f>
        <v>106139145.28500001</v>
      </c>
      <c r="F31" s="161" t="s">
        <v>163</v>
      </c>
      <c r="G31" s="155"/>
    </row>
    <row r="32" spans="1:9" s="1" customFormat="1" x14ac:dyDescent="0.2">
      <c r="B32" s="157"/>
      <c r="C32" s="24"/>
      <c r="D32" s="163"/>
      <c r="E32" s="24"/>
      <c r="F32" s="163"/>
      <c r="G32" s="155"/>
    </row>
    <row r="33" spans="1:7" s="1" customFormat="1" ht="15.75" x14ac:dyDescent="0.25">
      <c r="A33" s="6" t="s">
        <v>26</v>
      </c>
      <c r="B33" s="157"/>
      <c r="C33" s="24"/>
      <c r="D33" s="163"/>
      <c r="E33" s="172">
        <f>SUM(E26,E31)</f>
        <v>610456833.28499997</v>
      </c>
      <c r="F33" s="161" t="s">
        <v>164</v>
      </c>
      <c r="G33" s="155"/>
    </row>
    <row r="34" spans="1:7" s="1" customFormat="1" ht="15.75" x14ac:dyDescent="0.25">
      <c r="A34" s="6"/>
      <c r="B34" s="157"/>
      <c r="C34" s="24"/>
      <c r="D34" s="163"/>
      <c r="E34" s="173"/>
      <c r="F34" s="163"/>
      <c r="G34" s="155"/>
    </row>
    <row r="35" spans="1:7" s="1" customFormat="1" ht="18" x14ac:dyDescent="0.25">
      <c r="A35" s="158" t="s">
        <v>165</v>
      </c>
      <c r="B35" s="157"/>
      <c r="C35" s="24"/>
      <c r="D35" s="163"/>
      <c r="E35" s="24"/>
      <c r="F35" s="163"/>
      <c r="G35" s="155"/>
    </row>
    <row r="36" spans="1:7" s="1" customFormat="1" x14ac:dyDescent="0.2">
      <c r="A36" s="1" t="s">
        <v>166</v>
      </c>
      <c r="B36" s="157"/>
      <c r="C36" s="174">
        <v>0.04</v>
      </c>
      <c r="D36" s="163" t="s">
        <v>167</v>
      </c>
      <c r="E36" s="165">
        <f>E33*C36</f>
        <v>24418273.3314</v>
      </c>
      <c r="F36" s="161" t="s">
        <v>168</v>
      </c>
      <c r="G36" s="155"/>
    </row>
    <row r="37" spans="1:7" s="1" customFormat="1" x14ac:dyDescent="0.2">
      <c r="A37" s="1" t="s">
        <v>169</v>
      </c>
      <c r="B37" s="157"/>
      <c r="C37" s="175">
        <v>0.56000000000000005</v>
      </c>
      <c r="D37" s="161" t="s">
        <v>170</v>
      </c>
      <c r="E37" s="165">
        <f>E33*C37</f>
        <v>341855826.63960004</v>
      </c>
      <c r="F37" s="163" t="s">
        <v>171</v>
      </c>
      <c r="G37" s="155"/>
    </row>
    <row r="38" spans="1:7" s="1" customFormat="1" x14ac:dyDescent="0.2">
      <c r="A38" s="1" t="s">
        <v>172</v>
      </c>
      <c r="B38" s="157"/>
      <c r="C38" s="174">
        <f>1-C36-C37</f>
        <v>0.39999999999999991</v>
      </c>
      <c r="D38" s="176" t="s">
        <v>173</v>
      </c>
      <c r="E38" s="165">
        <f>E33*C38</f>
        <v>244182733.31399992</v>
      </c>
      <c r="F38" s="161" t="s">
        <v>174</v>
      </c>
      <c r="G38" s="155"/>
    </row>
    <row r="39" spans="1:7" s="1" customFormat="1" x14ac:dyDescent="0.2">
      <c r="B39" s="157"/>
      <c r="C39" s="163"/>
      <c r="D39" s="163"/>
      <c r="E39" s="24"/>
      <c r="F39" s="163"/>
      <c r="G39" s="155"/>
    </row>
    <row r="40" spans="1:7" s="1" customFormat="1" x14ac:dyDescent="0.2">
      <c r="A40" s="1" t="s">
        <v>175</v>
      </c>
      <c r="B40" s="157"/>
      <c r="C40" s="175">
        <v>2.0799999999999999E-2</v>
      </c>
      <c r="D40" s="166" t="s">
        <v>176</v>
      </c>
      <c r="E40" s="165">
        <f>E36*C40</f>
        <v>507900.08529311995</v>
      </c>
      <c r="F40" s="163" t="s">
        <v>177</v>
      </c>
      <c r="G40" s="155"/>
    </row>
    <row r="41" spans="1:7" s="1" customFormat="1" x14ac:dyDescent="0.2">
      <c r="A41" s="1" t="s">
        <v>178</v>
      </c>
      <c r="B41" s="157"/>
      <c r="C41" s="175">
        <v>5.0900000000000001E-2</v>
      </c>
      <c r="D41" s="163" t="s">
        <v>179</v>
      </c>
      <c r="E41" s="165">
        <f>E37*C41</f>
        <v>17400461.575955641</v>
      </c>
      <c r="F41" s="163" t="s">
        <v>180</v>
      </c>
      <c r="G41" s="155"/>
    </row>
    <row r="42" spans="1:7" s="1" customFormat="1" x14ac:dyDescent="0.2">
      <c r="A42" s="1" t="s">
        <v>181</v>
      </c>
      <c r="B42" s="157"/>
      <c r="C42" s="175">
        <v>8.9300000000000004E-2</v>
      </c>
      <c r="D42" s="163" t="s">
        <v>182</v>
      </c>
      <c r="E42" s="177">
        <f>E38*C42</f>
        <v>21805518.084940195</v>
      </c>
      <c r="F42" s="163" t="s">
        <v>183</v>
      </c>
      <c r="G42" s="155"/>
    </row>
    <row r="43" spans="1:7" s="1" customFormat="1" ht="16.5" thickBot="1" x14ac:dyDescent="0.3">
      <c r="A43" s="6" t="s">
        <v>165</v>
      </c>
      <c r="B43" s="157"/>
      <c r="C43" s="24"/>
      <c r="D43" s="163"/>
      <c r="E43" s="19">
        <f>SUM(E40:E42)</f>
        <v>39713879.746188954</v>
      </c>
      <c r="F43" s="163" t="s">
        <v>184</v>
      </c>
      <c r="G43" s="155"/>
    </row>
    <row r="44" spans="1:7" s="1" customFormat="1" x14ac:dyDescent="0.2">
      <c r="B44" s="157"/>
      <c r="C44" s="24"/>
      <c r="D44" s="163"/>
      <c r="E44" s="162"/>
      <c r="F44" s="161"/>
      <c r="G44" s="155"/>
    </row>
    <row r="45" spans="1:7" s="1" customFormat="1" ht="18" x14ac:dyDescent="0.25">
      <c r="A45" s="158" t="s">
        <v>185</v>
      </c>
      <c r="B45" s="157"/>
      <c r="C45" s="24"/>
      <c r="D45" s="163"/>
      <c r="E45" s="162"/>
      <c r="F45" s="161"/>
      <c r="G45" s="155"/>
    </row>
    <row r="46" spans="1:7" s="1" customFormat="1" x14ac:dyDescent="0.2">
      <c r="A46" s="15" t="s">
        <v>186</v>
      </c>
      <c r="B46" s="157"/>
      <c r="C46" s="160">
        <v>52564731</v>
      </c>
      <c r="D46" s="163" t="s">
        <v>187</v>
      </c>
      <c r="E46" s="24"/>
      <c r="F46" s="163"/>
      <c r="G46" s="155"/>
    </row>
    <row r="47" spans="1:7" s="1" customFormat="1" x14ac:dyDescent="0.2">
      <c r="A47" s="15" t="s">
        <v>188</v>
      </c>
      <c r="B47" s="157"/>
      <c r="C47" s="160">
        <v>25461695</v>
      </c>
      <c r="D47" s="163" t="s">
        <v>189</v>
      </c>
      <c r="E47" s="24"/>
      <c r="F47" s="163"/>
      <c r="G47" s="155"/>
    </row>
    <row r="48" spans="1:7" s="1" customFormat="1" x14ac:dyDescent="0.2">
      <c r="A48" s="15" t="s">
        <v>190</v>
      </c>
      <c r="B48" s="157"/>
      <c r="C48" s="160"/>
      <c r="D48" s="163" t="s">
        <v>191</v>
      </c>
      <c r="E48" s="24"/>
      <c r="F48" s="163"/>
      <c r="G48" s="155"/>
    </row>
    <row r="49" spans="1:7" s="1" customFormat="1" x14ac:dyDescent="0.2">
      <c r="A49" s="15" t="s">
        <v>192</v>
      </c>
      <c r="B49" s="157"/>
      <c r="C49" s="160">
        <v>3079933</v>
      </c>
      <c r="D49" s="163" t="s">
        <v>193</v>
      </c>
      <c r="E49" s="24"/>
      <c r="F49" s="163"/>
      <c r="G49" s="155"/>
    </row>
    <row r="50" spans="1:7" s="1" customFormat="1" x14ac:dyDescent="0.2">
      <c r="A50" s="15" t="s">
        <v>194</v>
      </c>
      <c r="B50" s="157"/>
      <c r="C50" s="160"/>
      <c r="D50" s="163" t="s">
        <v>195</v>
      </c>
      <c r="E50" s="24"/>
      <c r="F50" s="163"/>
      <c r="G50" s="155"/>
    </row>
    <row r="51" spans="1:7" s="1" customFormat="1" x14ac:dyDescent="0.2">
      <c r="A51" s="15" t="s">
        <v>196</v>
      </c>
      <c r="B51" s="157"/>
      <c r="C51" s="160">
        <v>2000166</v>
      </c>
      <c r="D51" s="163" t="s">
        <v>197</v>
      </c>
      <c r="E51" s="24"/>
      <c r="F51" s="163"/>
      <c r="G51" s="155"/>
    </row>
    <row r="52" spans="1:7" s="1" customFormat="1" x14ac:dyDescent="0.2">
      <c r="A52" s="178"/>
      <c r="B52" s="157"/>
      <c r="C52" s="160"/>
      <c r="D52" s="163" t="s">
        <v>198</v>
      </c>
      <c r="E52" s="24"/>
      <c r="F52" s="163"/>
      <c r="G52" s="155"/>
    </row>
    <row r="53" spans="1:7" s="1" customFormat="1" x14ac:dyDescent="0.2">
      <c r="A53" s="179"/>
      <c r="B53" s="157"/>
      <c r="C53" s="160"/>
      <c r="D53" s="163" t="s">
        <v>199</v>
      </c>
      <c r="E53" s="24"/>
      <c r="F53" s="163"/>
      <c r="G53" s="155"/>
    </row>
    <row r="54" spans="1:7" s="1" customFormat="1" x14ac:dyDescent="0.2">
      <c r="A54" s="179"/>
      <c r="B54" s="157"/>
      <c r="C54" s="160"/>
      <c r="D54" s="163" t="s">
        <v>200</v>
      </c>
      <c r="E54" s="24"/>
      <c r="F54" s="163"/>
      <c r="G54" s="155"/>
    </row>
    <row r="55" spans="1:7" s="1" customFormat="1" ht="15.75" x14ac:dyDescent="0.25">
      <c r="C55" s="24"/>
      <c r="D55" s="163"/>
      <c r="E55" s="180">
        <f>SUM(C46:C54)</f>
        <v>83106525</v>
      </c>
      <c r="F55" s="163" t="s">
        <v>201</v>
      </c>
      <c r="G55" s="155"/>
    </row>
    <row r="56" spans="1:7" s="1" customFormat="1" ht="18" x14ac:dyDescent="0.25">
      <c r="A56" s="158" t="s">
        <v>202</v>
      </c>
      <c r="B56" s="157"/>
      <c r="C56" s="24"/>
      <c r="D56" s="163"/>
      <c r="E56" s="24"/>
      <c r="F56" s="163"/>
      <c r="G56" s="155"/>
    </row>
    <row r="57" spans="1:7" s="1" customFormat="1" x14ac:dyDescent="0.2">
      <c r="A57" s="1" t="s">
        <v>203</v>
      </c>
      <c r="B57" s="157"/>
      <c r="C57" s="160">
        <v>-1236783</v>
      </c>
      <c r="D57" s="163" t="s">
        <v>204</v>
      </c>
      <c r="E57" s="24"/>
      <c r="F57" s="163"/>
      <c r="G57" s="155"/>
    </row>
    <row r="58" spans="1:7" s="1" customFormat="1" x14ac:dyDescent="0.2">
      <c r="A58" s="1" t="s">
        <v>205</v>
      </c>
      <c r="B58" s="157"/>
      <c r="C58" s="160">
        <v>-1800192</v>
      </c>
      <c r="D58" s="163" t="s">
        <v>206</v>
      </c>
      <c r="E58" s="24"/>
      <c r="F58" s="163"/>
      <c r="G58" s="155"/>
    </row>
    <row r="59" spans="1:7" s="1" customFormat="1" x14ac:dyDescent="0.2">
      <c r="A59" s="1" t="s">
        <v>207</v>
      </c>
      <c r="B59" s="157"/>
      <c r="C59" s="160">
        <v>-724731</v>
      </c>
      <c r="D59" s="163" t="s">
        <v>208</v>
      </c>
      <c r="E59" s="24"/>
      <c r="F59" s="163"/>
      <c r="G59" s="155"/>
    </row>
    <row r="60" spans="1:7" s="1" customFormat="1" ht="15.75" x14ac:dyDescent="0.25">
      <c r="A60" s="1" t="s">
        <v>209</v>
      </c>
      <c r="B60" s="157"/>
      <c r="C60" s="160">
        <v>-1068717</v>
      </c>
      <c r="D60" s="163" t="s">
        <v>210</v>
      </c>
      <c r="E60" s="21">
        <f>SUM(C57:C60)</f>
        <v>-4830423</v>
      </c>
      <c r="F60" s="163" t="s">
        <v>211</v>
      </c>
      <c r="G60" s="155"/>
    </row>
    <row r="61" spans="1:7" s="1" customFormat="1" x14ac:dyDescent="0.2">
      <c r="B61" s="157"/>
      <c r="C61" s="24"/>
      <c r="D61" s="163"/>
      <c r="E61" s="162"/>
      <c r="F61" s="161"/>
      <c r="G61" s="155"/>
    </row>
    <row r="62" spans="1:7" s="1" customFormat="1" ht="18.75" thickBot="1" x14ac:dyDescent="0.3">
      <c r="A62" s="3" t="s">
        <v>212</v>
      </c>
      <c r="B62" s="157"/>
      <c r="C62" s="24"/>
      <c r="D62" s="163"/>
      <c r="E62" s="181">
        <f>SUM(E60,E55,E43)</f>
        <v>117989981.74618895</v>
      </c>
      <c r="F62" s="163" t="s">
        <v>213</v>
      </c>
      <c r="G62" s="155"/>
    </row>
    <row r="63" spans="1:7" s="1" customFormat="1" ht="15.75" x14ac:dyDescent="0.25">
      <c r="A63" s="6"/>
      <c r="B63" s="157"/>
      <c r="C63" s="24"/>
      <c r="D63" s="163"/>
      <c r="E63" s="173"/>
      <c r="F63" s="163"/>
      <c r="G63" s="155"/>
    </row>
    <row r="64" spans="1:7" s="1" customFormat="1" ht="18" x14ac:dyDescent="0.25">
      <c r="A64" s="158" t="s">
        <v>214</v>
      </c>
      <c r="B64" s="157"/>
      <c r="C64" s="24"/>
      <c r="D64" s="163"/>
      <c r="E64" s="24"/>
      <c r="F64" s="163"/>
      <c r="G64" s="155"/>
    </row>
    <row r="65" spans="1:9" s="1" customFormat="1" ht="15.75" x14ac:dyDescent="0.25">
      <c r="A65" s="6" t="s">
        <v>215</v>
      </c>
      <c r="C65" s="24"/>
      <c r="D65" s="24"/>
      <c r="E65" s="165">
        <v>124856790.13145632</v>
      </c>
      <c r="F65" s="163" t="s">
        <v>216</v>
      </c>
      <c r="G65" s="155"/>
    </row>
    <row r="66" spans="1:9" s="1" customFormat="1" x14ac:dyDescent="0.2">
      <c r="C66" s="24"/>
      <c r="D66" s="163"/>
      <c r="E66" s="24"/>
      <c r="F66" s="163"/>
      <c r="G66" s="155"/>
    </row>
    <row r="67" spans="1:9" s="1" customFormat="1" x14ac:dyDescent="0.2">
      <c r="A67" s="1" t="s">
        <v>217</v>
      </c>
      <c r="C67" s="24"/>
      <c r="D67" s="163"/>
      <c r="E67" s="165">
        <f>E62-E65</f>
        <v>-6866808.385267362</v>
      </c>
      <c r="F67" s="163" t="s">
        <v>218</v>
      </c>
      <c r="G67" s="155"/>
    </row>
    <row r="68" spans="1:9" s="1" customFormat="1" x14ac:dyDescent="0.2">
      <c r="C68" s="24"/>
      <c r="D68" s="163"/>
      <c r="E68" s="182"/>
      <c r="F68" s="170"/>
      <c r="G68" s="155"/>
    </row>
    <row r="69" spans="1:9" s="1" customFormat="1" x14ac:dyDescent="0.2">
      <c r="A69" s="1" t="s">
        <v>219</v>
      </c>
      <c r="C69" s="24"/>
      <c r="D69" s="163"/>
      <c r="E69" s="183">
        <f>IF(ISERROR(E67/E65),0,E67/E65)</f>
        <v>-5.4997476533215343E-2</v>
      </c>
      <c r="F69" s="163" t="s">
        <v>220</v>
      </c>
      <c r="G69" s="155"/>
    </row>
    <row r="70" spans="1:9" s="1" customFormat="1" x14ac:dyDescent="0.2">
      <c r="F70" s="155"/>
      <c r="H70" s="155"/>
      <c r="I70" s="155"/>
    </row>
    <row r="71" spans="1:9" s="1" customFormat="1" x14ac:dyDescent="0.2">
      <c r="F71" s="155"/>
      <c r="H71" s="155"/>
      <c r="I71" s="155"/>
    </row>
    <row r="72" spans="1:9" s="1" customFormat="1" x14ac:dyDescent="0.2">
      <c r="F72" s="155"/>
      <c r="H72" s="155"/>
      <c r="I72" s="155"/>
    </row>
    <row r="73" spans="1:9" s="1" customFormat="1" x14ac:dyDescent="0.2">
      <c r="F73" s="155"/>
      <c r="H73" s="155"/>
      <c r="I73" s="155"/>
    </row>
    <row r="74" spans="1:9" s="1" customFormat="1" x14ac:dyDescent="0.2">
      <c r="F74" s="155"/>
      <c r="H74" s="155"/>
      <c r="I74" s="155"/>
    </row>
    <row r="75" spans="1:9" s="1" customFormat="1" x14ac:dyDescent="0.2">
      <c r="F75" s="155"/>
      <c r="H75" s="155"/>
      <c r="I75" s="155"/>
    </row>
    <row r="76" spans="1:9" s="1" customFormat="1" x14ac:dyDescent="0.2">
      <c r="F76" s="155"/>
      <c r="H76" s="155"/>
      <c r="I76" s="155"/>
    </row>
    <row r="77" spans="1:9" s="1" customFormat="1" x14ac:dyDescent="0.2">
      <c r="F77" s="155"/>
      <c r="H77" s="155"/>
      <c r="I77" s="155"/>
    </row>
    <row r="78" spans="1:9" s="1" customFormat="1" x14ac:dyDescent="0.2">
      <c r="F78" s="155"/>
      <c r="H78" s="155"/>
      <c r="I78" s="155"/>
    </row>
    <row r="79" spans="1:9" s="1" customFormat="1" x14ac:dyDescent="0.2">
      <c r="F79" s="155"/>
      <c r="H79" s="155"/>
      <c r="I79" s="155"/>
    </row>
    <row r="80" spans="1:9" s="1" customFormat="1" x14ac:dyDescent="0.2">
      <c r="F80" s="155"/>
      <c r="H80" s="155"/>
      <c r="I80" s="155"/>
    </row>
    <row r="81" spans="6:9" s="1" customFormat="1" x14ac:dyDescent="0.2">
      <c r="F81" s="155"/>
      <c r="H81" s="155"/>
      <c r="I81" s="155"/>
    </row>
    <row r="82" spans="6:9" s="1" customFormat="1" x14ac:dyDescent="0.2">
      <c r="F82" s="155"/>
      <c r="H82" s="155"/>
      <c r="I82" s="155"/>
    </row>
    <row r="83" spans="6:9" s="1" customFormat="1" x14ac:dyDescent="0.2">
      <c r="F83" s="155"/>
      <c r="H83" s="155"/>
      <c r="I83" s="155"/>
    </row>
    <row r="84" spans="6:9" s="1" customFormat="1" x14ac:dyDescent="0.2">
      <c r="F84" s="155"/>
      <c r="H84" s="155"/>
      <c r="I84" s="155"/>
    </row>
    <row r="85" spans="6:9" s="1" customFormat="1" x14ac:dyDescent="0.2">
      <c r="F85" s="155"/>
      <c r="H85" s="155"/>
      <c r="I85" s="155"/>
    </row>
    <row r="86" spans="6:9" s="1" customFormat="1" x14ac:dyDescent="0.2">
      <c r="F86" s="155"/>
      <c r="H86" s="155"/>
      <c r="I86" s="155"/>
    </row>
    <row r="87" spans="6:9" s="1" customFormat="1" x14ac:dyDescent="0.2">
      <c r="F87" s="155"/>
      <c r="H87" s="155"/>
      <c r="I87" s="155"/>
    </row>
    <row r="88" spans="6:9" s="1" customFormat="1" x14ac:dyDescent="0.2">
      <c r="F88" s="155"/>
      <c r="H88" s="155"/>
      <c r="I88" s="155"/>
    </row>
    <row r="89" spans="6:9" x14ac:dyDescent="0.2"/>
    <row r="90" spans="6:9" x14ac:dyDescent="0.2"/>
    <row r="91" spans="6:9" x14ac:dyDescent="0.2"/>
    <row r="92" spans="6:9" x14ac:dyDescent="0.2"/>
    <row r="93" spans="6:9" x14ac:dyDescent="0.2"/>
    <row r="94" spans="6:9" x14ac:dyDescent="0.2"/>
    <row r="95" spans="6:9" x14ac:dyDescent="0.2"/>
    <row r="96" spans="6:9" x14ac:dyDescent="0.2"/>
    <row r="97" s="2" customFormat="1" x14ac:dyDescent="0.2"/>
    <row r="98" s="2" customFormat="1" x14ac:dyDescent="0.2"/>
    <row r="99" s="2" customFormat="1" x14ac:dyDescent="0.2"/>
    <row r="100" s="2" customFormat="1" x14ac:dyDescent="0.2"/>
    <row r="101" s="2" customFormat="1" x14ac:dyDescent="0.2"/>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
        <v>332</v>
      </c>
    </row>
    <row r="13" spans="1:19" ht="15.75" x14ac:dyDescent="0.25">
      <c r="A13" s="128" t="s">
        <v>221</v>
      </c>
    </row>
    <row r="14" spans="1:19" ht="18" thickBot="1" x14ac:dyDescent="0.3">
      <c r="C14" s="351" t="s">
        <v>45</v>
      </c>
      <c r="D14" s="352"/>
      <c r="E14" s="352"/>
      <c r="G14" s="353" t="s">
        <v>334</v>
      </c>
      <c r="H14" s="354"/>
      <c r="I14" s="354"/>
    </row>
    <row r="15" spans="1:19" s="131" customFormat="1" ht="63" x14ac:dyDescent="0.25">
      <c r="A15" s="129" t="s">
        <v>106</v>
      </c>
      <c r="B15" s="130"/>
      <c r="C15" s="106" t="s">
        <v>108</v>
      </c>
      <c r="D15" s="106" t="s">
        <v>109</v>
      </c>
      <c r="E15" s="106" t="s">
        <v>222</v>
      </c>
      <c r="F15" s="106"/>
      <c r="G15" s="106" t="s">
        <v>111</v>
      </c>
      <c r="H15" s="106" t="s">
        <v>112</v>
      </c>
      <c r="I15" s="106" t="s">
        <v>113</v>
      </c>
      <c r="J15" s="106"/>
      <c r="K15" s="106" t="s">
        <v>116</v>
      </c>
      <c r="L15" s="106" t="s">
        <v>117</v>
      </c>
      <c r="M15" s="106" t="s">
        <v>118</v>
      </c>
      <c r="N15" s="106" t="s">
        <v>223</v>
      </c>
      <c r="O15" s="106"/>
      <c r="P15" s="106" t="s">
        <v>120</v>
      </c>
      <c r="Q15" s="106" t="s">
        <v>121</v>
      </c>
      <c r="R15" s="106" t="s">
        <v>122</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224</v>
      </c>
      <c r="Q16" s="130" t="s">
        <v>225</v>
      </c>
      <c r="R16" s="130" t="s">
        <v>226</v>
      </c>
      <c r="S16" s="130" t="s">
        <v>227</v>
      </c>
    </row>
    <row r="17" spans="1:26" x14ac:dyDescent="0.25">
      <c r="A17" s="134" t="s">
        <v>99</v>
      </c>
      <c r="B17" s="134"/>
      <c r="C17" s="185">
        <v>176865</v>
      </c>
      <c r="D17" s="185">
        <v>1423857475</v>
      </c>
      <c r="E17" s="185">
        <v>0</v>
      </c>
      <c r="F17" s="136"/>
      <c r="G17" s="137">
        <f>'5. Growth Factor - NUM_CALC2'!G17</f>
        <v>15.75</v>
      </c>
      <c r="H17" s="138">
        <f>'5. Growth Factor - NUM_CALC2'!H17</f>
        <v>1.0200000000000001E-2</v>
      </c>
      <c r="I17" s="138">
        <f>'5. Growth Factor - NUM_CALC2'!I17</f>
        <v>0</v>
      </c>
      <c r="J17" s="134"/>
      <c r="K17" s="186">
        <f t="shared" ref="K17:K23" si="0">G17*C17*12</f>
        <v>33427485</v>
      </c>
      <c r="L17" s="186">
        <f t="shared" ref="L17:M23" si="1">H17*D17</f>
        <v>14523346.245000001</v>
      </c>
      <c r="M17" s="186">
        <f t="shared" si="1"/>
        <v>0</v>
      </c>
      <c r="N17" s="186">
        <f t="shared" ref="N17:N23" si="2">SUM(K17,L17,M17)</f>
        <v>47950831.245000005</v>
      </c>
      <c r="O17" s="134"/>
      <c r="P17" s="140">
        <f>IF(ISERROR(K17/N24),0,ROUND(K17/N24,3))</f>
        <v>0.26900000000000002</v>
      </c>
      <c r="Q17" s="140">
        <f>IF(ISERROR(L17/N24),0,ROUND(L17/N24,3))</f>
        <v>0.11700000000000001</v>
      </c>
      <c r="R17" s="140">
        <f>IF(ISERROR(M17/N24),0,ROUND(M17/N24,3))</f>
        <v>0</v>
      </c>
      <c r="S17" s="140">
        <f>N17/N24</f>
        <v>0.38647527699691125</v>
      </c>
    </row>
    <row r="18" spans="1:26" x14ac:dyDescent="0.25">
      <c r="A18" s="141" t="s">
        <v>100</v>
      </c>
      <c r="B18" s="141"/>
      <c r="C18" s="187">
        <v>17703</v>
      </c>
      <c r="D18" s="187">
        <v>612188101</v>
      </c>
      <c r="E18" s="187">
        <v>0</v>
      </c>
      <c r="F18" s="143"/>
      <c r="G18" s="137">
        <f>'5. Growth Factor - NUM_CALC2'!G18</f>
        <v>41.47</v>
      </c>
      <c r="H18" s="138">
        <f>'5. Growth Factor - NUM_CALC2'!H18</f>
        <v>1.21E-2</v>
      </c>
      <c r="I18" s="138">
        <f>'5. Growth Factor - NUM_CALC2'!I18</f>
        <v>0</v>
      </c>
      <c r="J18" s="141"/>
      <c r="K18" s="188">
        <f t="shared" si="0"/>
        <v>8809720.9199999999</v>
      </c>
      <c r="L18" s="188">
        <f t="shared" si="1"/>
        <v>7407476.0220999997</v>
      </c>
      <c r="M18" s="188">
        <f t="shared" si="1"/>
        <v>0</v>
      </c>
      <c r="N18" s="188">
        <f t="shared" si="2"/>
        <v>16217196.9421</v>
      </c>
      <c r="O18" s="141"/>
      <c r="P18" s="147">
        <f>IF(ISERROR(K18/N24),0,ROUND(K18/N24,3))</f>
        <v>7.0999999999999994E-2</v>
      </c>
      <c r="Q18" s="147">
        <f>IF(ISERROR(L18/N24),0,ROUND(L18/N24,3))</f>
        <v>0.06</v>
      </c>
      <c r="R18" s="147">
        <f>IF(ISERROR(M18/N24),0,ROUND(M18/N24,3))</f>
        <v>0</v>
      </c>
      <c r="S18" s="147">
        <f>N18/N24</f>
        <v>0.13070775870992013</v>
      </c>
    </row>
    <row r="19" spans="1:26" x14ac:dyDescent="0.25">
      <c r="A19" s="141" t="s">
        <v>101</v>
      </c>
      <c r="B19" s="141"/>
      <c r="C19" s="187">
        <v>3950</v>
      </c>
      <c r="D19" s="187">
        <v>0</v>
      </c>
      <c r="E19" s="187">
        <v>6222022</v>
      </c>
      <c r="F19" s="143"/>
      <c r="G19" s="137">
        <f>'5. Growth Factor - NUM_CALC2'!G19</f>
        <v>73.040000000000006</v>
      </c>
      <c r="H19" s="138">
        <f>'5. Growth Factor - NUM_CALC2'!H19</f>
        <v>0</v>
      </c>
      <c r="I19" s="138">
        <f>'5. Growth Factor - NUM_CALC2'!I19</f>
        <v>4.3959000000000001</v>
      </c>
      <c r="J19" s="141"/>
      <c r="K19" s="188">
        <f t="shared" si="0"/>
        <v>3462096</v>
      </c>
      <c r="L19" s="188">
        <f t="shared" si="1"/>
        <v>0</v>
      </c>
      <c r="M19" s="188">
        <f t="shared" si="1"/>
        <v>27351386.509800002</v>
      </c>
      <c r="N19" s="188">
        <f t="shared" si="2"/>
        <v>30813482.509800002</v>
      </c>
      <c r="O19" s="141"/>
      <c r="P19" s="147">
        <f>IF(ISERROR(K19/N24),0,ROUND(K19/N24,3))</f>
        <v>2.8000000000000001E-2</v>
      </c>
      <c r="Q19" s="147">
        <f>IF(ISERROR(L19/N24),0,ROUND(L19/N24,3))</f>
        <v>0</v>
      </c>
      <c r="R19" s="147">
        <f>IF(ISERROR(M19/N24),0,ROUND(M19/N24,3))</f>
        <v>0.22</v>
      </c>
      <c r="S19" s="147">
        <f>N19/N24</f>
        <v>0.24835125646453085</v>
      </c>
    </row>
    <row r="20" spans="1:26" x14ac:dyDescent="0.25">
      <c r="A20" s="141" t="s">
        <v>102</v>
      </c>
      <c r="B20" s="141"/>
      <c r="C20" s="187">
        <v>464</v>
      </c>
      <c r="D20" s="187">
        <v>0</v>
      </c>
      <c r="E20" s="187">
        <v>5154338</v>
      </c>
      <c r="F20" s="143"/>
      <c r="G20" s="137">
        <f>'5. Growth Factor - NUM_CALC2'!G20</f>
        <v>1663.38</v>
      </c>
      <c r="H20" s="138">
        <f>'5. Growth Factor - NUM_CALC2'!H20</f>
        <v>0</v>
      </c>
      <c r="I20" s="138">
        <f>'5. Growth Factor - NUM_CALC2'!I20</f>
        <v>2.262</v>
      </c>
      <c r="J20" s="141"/>
      <c r="K20" s="188">
        <f t="shared" si="0"/>
        <v>9261699.8399999999</v>
      </c>
      <c r="L20" s="188">
        <f t="shared" si="1"/>
        <v>0</v>
      </c>
      <c r="M20" s="188">
        <f t="shared" si="1"/>
        <v>11659112.556</v>
      </c>
      <c r="N20" s="188">
        <f t="shared" si="2"/>
        <v>20920812.395999998</v>
      </c>
      <c r="O20" s="141"/>
      <c r="P20" s="147">
        <f>IF(ISERROR(K20/N24),0,ROUND(K20/N24,3))</f>
        <v>7.4999999999999997E-2</v>
      </c>
      <c r="Q20" s="147">
        <f>IF(ISERROR(L20/N24),0,ROUND(L20/N24,3))</f>
        <v>0</v>
      </c>
      <c r="R20" s="147">
        <f>IF(ISERROR(M20/N24),0,ROUND(M20/N24,3))</f>
        <v>9.4E-2</v>
      </c>
      <c r="S20" s="147">
        <f>N20/N24</f>
        <v>0.16861807305139476</v>
      </c>
    </row>
    <row r="21" spans="1:26" x14ac:dyDescent="0.25">
      <c r="A21" s="141" t="s">
        <v>103</v>
      </c>
      <c r="B21" s="141"/>
      <c r="C21" s="187">
        <v>9</v>
      </c>
      <c r="D21" s="187">
        <v>0</v>
      </c>
      <c r="E21" s="187">
        <v>1737267</v>
      </c>
      <c r="F21" s="143"/>
      <c r="G21" s="137">
        <f>'5. Growth Factor - NUM_CALC2'!G21</f>
        <v>13115.07</v>
      </c>
      <c r="H21" s="138">
        <f>'5. Growth Factor - NUM_CALC2'!H21</f>
        <v>0</v>
      </c>
      <c r="I21" s="138">
        <f>'5. Growth Factor - NUM_CALC2'!I21</f>
        <v>2.8075999999999999</v>
      </c>
      <c r="J21" s="141"/>
      <c r="K21" s="188">
        <f t="shared" si="0"/>
        <v>1416427.56</v>
      </c>
      <c r="L21" s="188">
        <f t="shared" si="1"/>
        <v>0</v>
      </c>
      <c r="M21" s="188">
        <f t="shared" si="1"/>
        <v>4877550.8291999996</v>
      </c>
      <c r="N21" s="188">
        <f t="shared" si="2"/>
        <v>6293978.3892000001</v>
      </c>
      <c r="O21" s="141"/>
      <c r="P21" s="147">
        <f>IF(ISERROR(K21/N24),0,ROUND(K21/N24,3))</f>
        <v>1.0999999999999999E-2</v>
      </c>
      <c r="Q21" s="147">
        <f>IF(ISERROR(L21/N24),0,ROUND(L21/N24,3))</f>
        <v>0</v>
      </c>
      <c r="R21" s="147">
        <f>IF(ISERROR(M21/N24),0,ROUND(M21/N24,3))</f>
        <v>3.9E-2</v>
      </c>
      <c r="S21" s="147">
        <f>N21/N24</f>
        <v>5.0728360243646138E-2</v>
      </c>
    </row>
    <row r="22" spans="1:26" x14ac:dyDescent="0.25">
      <c r="A22" s="141" t="s">
        <v>104</v>
      </c>
      <c r="B22" s="141"/>
      <c r="C22" s="187">
        <v>2942</v>
      </c>
      <c r="D22" s="187">
        <v>10383027</v>
      </c>
      <c r="E22" s="187">
        <v>0</v>
      </c>
      <c r="F22" s="143"/>
      <c r="G22" s="137">
        <f>'5. Growth Factor - NUM_CALC2'!G22</f>
        <v>8.56</v>
      </c>
      <c r="H22" s="138">
        <f>'5. Growth Factor - NUM_CALC2'!H22</f>
        <v>1.5599999999999999E-2</v>
      </c>
      <c r="I22" s="138">
        <f>'5. Growth Factor - NUM_CALC2'!I22</f>
        <v>0</v>
      </c>
      <c r="J22" s="141"/>
      <c r="K22" s="188">
        <f t="shared" si="0"/>
        <v>302202.23999999999</v>
      </c>
      <c r="L22" s="188">
        <f t="shared" si="1"/>
        <v>161975.2212</v>
      </c>
      <c r="M22" s="188">
        <f t="shared" si="1"/>
        <v>0</v>
      </c>
      <c r="N22" s="188">
        <f t="shared" si="2"/>
        <v>464177.46120000002</v>
      </c>
      <c r="O22" s="141"/>
      <c r="P22" s="147">
        <f>IF(ISERROR(K22/N24),0,ROUND(K22/N24,3))</f>
        <v>2E-3</v>
      </c>
      <c r="Q22" s="147">
        <f>IF(ISERROR(L22/N24),0,ROUND(L22/N24,3))</f>
        <v>1E-3</v>
      </c>
      <c r="R22" s="147">
        <f>IF(ISERROR(M22/N24),0,ROUND(M22/N24,3))</f>
        <v>0</v>
      </c>
      <c r="S22" s="147">
        <f>N22/N24</f>
        <v>3.7411888018458275E-3</v>
      </c>
    </row>
    <row r="23" spans="1:26" x14ac:dyDescent="0.25">
      <c r="A23" s="141" t="s">
        <v>105</v>
      </c>
      <c r="B23" s="141"/>
      <c r="C23" s="187">
        <v>49986</v>
      </c>
      <c r="D23" s="187">
        <v>0</v>
      </c>
      <c r="E23" s="187">
        <v>49889</v>
      </c>
      <c r="F23" s="143"/>
      <c r="G23" s="137">
        <f>'5. Growth Factor - NUM_CALC2'!G23</f>
        <v>1.44</v>
      </c>
      <c r="H23" s="138">
        <f>'5. Growth Factor - NUM_CALC2'!H23</f>
        <v>0</v>
      </c>
      <c r="I23" s="138">
        <f>'5. Growth Factor - NUM_CALC2'!I23</f>
        <v>10.9833</v>
      </c>
      <c r="J23" s="141"/>
      <c r="K23" s="188">
        <f t="shared" si="0"/>
        <v>863758.08</v>
      </c>
      <c r="L23" s="188">
        <f t="shared" si="1"/>
        <v>0</v>
      </c>
      <c r="M23" s="188">
        <f t="shared" si="1"/>
        <v>547945.85369999998</v>
      </c>
      <c r="N23" s="188">
        <f t="shared" si="2"/>
        <v>1411703.9336999999</v>
      </c>
      <c r="O23" s="141"/>
      <c r="P23" s="147">
        <f>IF(ISERROR(K23/N24),0,ROUND(K23/N24,3))</f>
        <v>7.0000000000000001E-3</v>
      </c>
      <c r="Q23" s="147">
        <f>IF(ISERROR(L23/N24),0,ROUND(L23/N24,3))</f>
        <v>0</v>
      </c>
      <c r="R23" s="147">
        <f>IF(ISERROR(M23/N24),0,ROUND(M23/N24,3))</f>
        <v>4.0000000000000001E-3</v>
      </c>
      <c r="S23" s="147">
        <f>N23/N24</f>
        <v>1.1378085731751045E-2</v>
      </c>
    </row>
    <row r="24" spans="1:26" x14ac:dyDescent="0.25">
      <c r="A24" s="148" t="s">
        <v>138</v>
      </c>
      <c r="B24" s="148"/>
      <c r="C24" s="149">
        <f>SUM(C17:C23)</f>
        <v>251919</v>
      </c>
      <c r="D24" s="149">
        <f>SUM(D17:D23)</f>
        <v>2046428603</v>
      </c>
      <c r="E24" s="149">
        <f>SUM(E17:E23)</f>
        <v>13163516</v>
      </c>
      <c r="F24" s="150"/>
      <c r="G24" s="150"/>
      <c r="H24" s="150"/>
      <c r="I24" s="150"/>
      <c r="J24" s="148"/>
      <c r="K24" s="189">
        <f>SUM(K17:K23)</f>
        <v>57543389.640000008</v>
      </c>
      <c r="L24" s="189">
        <f>SUM(L17:L23)</f>
        <v>22092797.488299999</v>
      </c>
      <c r="M24" s="189">
        <f>SUM(M17:M23)</f>
        <v>44435995.7487</v>
      </c>
      <c r="N24" s="189">
        <f>SUM(N17:N23)</f>
        <v>124072182.877</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7.28515625"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8" t="s">
        <v>228</v>
      </c>
    </row>
    <row r="13" spans="1:19" x14ac:dyDescent="0.25">
      <c r="A13" s="355" t="s">
        <v>229</v>
      </c>
      <c r="B13" s="355"/>
      <c r="C13" s="355"/>
      <c r="D13" s="355"/>
      <c r="E13" s="355"/>
      <c r="F13" s="355"/>
      <c r="G13" s="355"/>
    </row>
    <row r="14" spans="1:19" ht="18" thickBot="1" x14ac:dyDescent="0.3">
      <c r="C14" s="352" t="s">
        <v>335</v>
      </c>
      <c r="D14" s="352"/>
      <c r="E14" s="352"/>
      <c r="G14" s="352" t="s">
        <v>330</v>
      </c>
      <c r="H14" s="352"/>
      <c r="I14" s="352"/>
    </row>
    <row r="15" spans="1:19" s="131" customFormat="1" ht="63" x14ac:dyDescent="0.25">
      <c r="A15" s="129" t="s">
        <v>106</v>
      </c>
      <c r="B15" s="130"/>
      <c r="C15" s="106" t="s">
        <v>111</v>
      </c>
      <c r="D15" s="106" t="s">
        <v>112</v>
      </c>
      <c r="E15" s="106" t="s">
        <v>113</v>
      </c>
      <c r="F15" s="106"/>
      <c r="G15" s="106" t="s">
        <v>230</v>
      </c>
      <c r="H15" s="106" t="s">
        <v>231</v>
      </c>
      <c r="I15" s="106" t="s">
        <v>232</v>
      </c>
      <c r="J15" s="106"/>
      <c r="K15" s="106" t="s">
        <v>233</v>
      </c>
      <c r="L15" s="106" t="s">
        <v>234</v>
      </c>
      <c r="M15" s="106" t="s">
        <v>235</v>
      </c>
      <c r="N15" s="106" t="s">
        <v>236</v>
      </c>
      <c r="O15" s="106"/>
      <c r="P15" s="106" t="s">
        <v>237</v>
      </c>
      <c r="Q15" s="106" t="s">
        <v>238</v>
      </c>
      <c r="R15" s="106" t="s">
        <v>238</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239</v>
      </c>
      <c r="Q16" s="130" t="s">
        <v>240</v>
      </c>
      <c r="R16" s="130" t="s">
        <v>241</v>
      </c>
      <c r="S16" s="130" t="s">
        <v>242</v>
      </c>
    </row>
    <row r="17" spans="1:26" x14ac:dyDescent="0.25">
      <c r="A17" s="134" t="s">
        <v>99</v>
      </c>
      <c r="B17" s="134"/>
      <c r="C17" s="190">
        <v>19.11</v>
      </c>
      <c r="D17" s="191">
        <v>6.8999999999999999E-3</v>
      </c>
      <c r="E17" s="191">
        <v>0</v>
      </c>
      <c r="F17" s="136"/>
      <c r="G17" s="135">
        <f>'4. Growth Factor - NUM_CALC1'!C17</f>
        <v>182224</v>
      </c>
      <c r="H17" s="135">
        <f>'4. Growth Factor - NUM_CALC1'!D17</f>
        <v>1532961311.1325612</v>
      </c>
      <c r="I17" s="135">
        <v>0</v>
      </c>
      <c r="J17" s="134"/>
      <c r="K17" s="139">
        <f t="shared" ref="K17:K23" si="0">G17*C17*12</f>
        <v>41787607.679999992</v>
      </c>
      <c r="L17" s="139">
        <f t="shared" ref="L17:M23" si="1">H17*D17</f>
        <v>10577433.046814673</v>
      </c>
      <c r="M17" s="139">
        <f t="shared" si="1"/>
        <v>0</v>
      </c>
      <c r="N17" s="139">
        <f t="shared" ref="N17:N23" si="2">SUM(K17,L17,M17)</f>
        <v>52365040.726814665</v>
      </c>
      <c r="O17" s="134"/>
      <c r="P17" s="192">
        <f>IF(ISERROR(K17/N24),0,K17/N24)</f>
        <v>0.31907461730955222</v>
      </c>
      <c r="Q17" s="192">
        <f>IF(ISERROR(L17/N24),0,L17/N24)</f>
        <v>8.0765341423101142E-2</v>
      </c>
      <c r="R17" s="192">
        <f>IF(ISERROR(M17/N24),0,M17/N24)</f>
        <v>0</v>
      </c>
      <c r="S17" s="140">
        <f>N17/N24</f>
        <v>0.39983995873265338</v>
      </c>
    </row>
    <row r="18" spans="1:26" x14ac:dyDescent="0.25">
      <c r="A18" s="141" t="s">
        <v>100</v>
      </c>
      <c r="B18" s="141"/>
      <c r="C18" s="193">
        <v>43.6</v>
      </c>
      <c r="D18" s="194">
        <v>1.2699999999999999E-2</v>
      </c>
      <c r="E18" s="194">
        <v>0</v>
      </c>
      <c r="F18" s="143"/>
      <c r="G18" s="135">
        <f>'4. Growth Factor - NUM_CALC1'!C18</f>
        <v>18025</v>
      </c>
      <c r="H18" s="135">
        <f>'4. Growth Factor - NUM_CALC1'!D18</f>
        <v>665390670.84942079</v>
      </c>
      <c r="I18" s="142">
        <v>0</v>
      </c>
      <c r="J18" s="141"/>
      <c r="K18" s="146">
        <f t="shared" si="0"/>
        <v>9430680</v>
      </c>
      <c r="L18" s="146">
        <f t="shared" si="1"/>
        <v>8450461.5197876431</v>
      </c>
      <c r="M18" s="146">
        <f t="shared" si="1"/>
        <v>0</v>
      </c>
      <c r="N18" s="146">
        <f t="shared" si="2"/>
        <v>17881141.519787643</v>
      </c>
      <c r="O18" s="141"/>
      <c r="P18" s="195">
        <f>IF(ISERROR(K18/N24),0,K18/N24)</f>
        <v>7.2009162022669035E-2</v>
      </c>
      <c r="Q18" s="195">
        <f>IF(ISERROR(L18/N24),0,L18/N24)</f>
        <v>6.452457858232051E-2</v>
      </c>
      <c r="R18" s="195">
        <f>IF(ISERROR(M18/N24),0,M18/N24)</f>
        <v>0</v>
      </c>
      <c r="S18" s="147">
        <f>N18/N24</f>
        <v>0.13653374060498955</v>
      </c>
    </row>
    <row r="19" spans="1:26" x14ac:dyDescent="0.25">
      <c r="A19" s="141" t="s">
        <v>101</v>
      </c>
      <c r="B19" s="141"/>
      <c r="C19" s="193">
        <v>76.790000000000006</v>
      </c>
      <c r="D19" s="194">
        <v>0</v>
      </c>
      <c r="E19" s="194">
        <v>4.6212999999999997</v>
      </c>
      <c r="F19" s="143"/>
      <c r="G19" s="135">
        <f>'4. Growth Factor - NUM_CALC1'!C19</f>
        <v>4011</v>
      </c>
      <c r="H19" s="135">
        <f>'4. Growth Factor - NUM_CALC1'!D19</f>
        <v>2095056256.4350061</v>
      </c>
      <c r="I19" s="135">
        <f>'4. Growth Factor - NUM_CALC1'!E19</f>
        <v>6021478.1251599872</v>
      </c>
      <c r="J19" s="141"/>
      <c r="K19" s="146">
        <f t="shared" si="0"/>
        <v>3696056.2800000003</v>
      </c>
      <c r="L19" s="146">
        <f t="shared" si="1"/>
        <v>0</v>
      </c>
      <c r="M19" s="146">
        <f t="shared" si="1"/>
        <v>27827056.859801847</v>
      </c>
      <c r="N19" s="146">
        <f t="shared" si="2"/>
        <v>31523113.139801849</v>
      </c>
      <c r="O19" s="141"/>
      <c r="P19" s="195">
        <f>IF(ISERROR(K19/N24),0,K19/N24)</f>
        <v>2.8221709941533737E-2</v>
      </c>
      <c r="Q19" s="195">
        <f>IF(ISERROR(L19/N24),0,L19/N24)</f>
        <v>0</v>
      </c>
      <c r="R19" s="195">
        <f>IF(ISERROR(M19/N24),0,M19/N24)</f>
        <v>0.2124770478938417</v>
      </c>
      <c r="S19" s="147">
        <f>N19/N24</f>
        <v>0.24069875783537542</v>
      </c>
    </row>
    <row r="20" spans="1:26" x14ac:dyDescent="0.25">
      <c r="A20" s="141" t="s">
        <v>102</v>
      </c>
      <c r="B20" s="141"/>
      <c r="C20" s="193">
        <v>1748.68</v>
      </c>
      <c r="D20" s="194">
        <v>0</v>
      </c>
      <c r="E20" s="194">
        <v>2.3780000000000001</v>
      </c>
      <c r="F20" s="143"/>
      <c r="G20" s="135">
        <f>'4. Growth Factor - NUM_CALC1'!C20</f>
        <v>459</v>
      </c>
      <c r="H20" s="135">
        <f>'4. Growth Factor - NUM_CALC1'!D20</f>
        <v>2017241544.5164552</v>
      </c>
      <c r="I20" s="135">
        <f>'4. Growth Factor - NUM_CALC1'!E20</f>
        <v>4578124.5264787124</v>
      </c>
      <c r="J20" s="141"/>
      <c r="K20" s="146">
        <f t="shared" si="0"/>
        <v>9631729.4399999995</v>
      </c>
      <c r="L20" s="146">
        <f t="shared" si="1"/>
        <v>0</v>
      </c>
      <c r="M20" s="146">
        <f t="shared" si="1"/>
        <v>10886780.123966379</v>
      </c>
      <c r="N20" s="146">
        <f t="shared" si="2"/>
        <v>20518509.563966379</v>
      </c>
      <c r="O20" s="141"/>
      <c r="P20" s="195">
        <f>IF(ISERROR(K20/N24),0,K20/N24)</f>
        <v>7.3544300708270366E-2</v>
      </c>
      <c r="Q20" s="195">
        <f>IF(ISERROR(L20/N24),0,L20/N24)</f>
        <v>0</v>
      </c>
      <c r="R20" s="195">
        <f>IF(ISERROR(M20/N24),0,M20/N24)</f>
        <v>8.3127400553498557E-2</v>
      </c>
      <c r="S20" s="147">
        <f>N20/N24</f>
        <v>0.15667170126176894</v>
      </c>
    </row>
    <row r="21" spans="1:26" x14ac:dyDescent="0.25">
      <c r="A21" s="141" t="s">
        <v>103</v>
      </c>
      <c r="B21" s="141"/>
      <c r="C21" s="193">
        <v>13787.64</v>
      </c>
      <c r="D21" s="194">
        <v>0</v>
      </c>
      <c r="E21" s="194">
        <v>2.9516</v>
      </c>
      <c r="F21" s="143"/>
      <c r="G21" s="135">
        <f>'4. Growth Factor - NUM_CALC1'!C21</f>
        <v>9</v>
      </c>
      <c r="H21" s="135">
        <f>'4. Growth Factor - NUM_CALC1'!D21</f>
        <v>989946990.6592505</v>
      </c>
      <c r="I21" s="135">
        <f>'4. Growth Factor - NUM_CALC1'!E21</f>
        <v>1770337.0458183149</v>
      </c>
      <c r="J21" s="141"/>
      <c r="K21" s="146">
        <f t="shared" si="0"/>
        <v>1489065.1199999999</v>
      </c>
      <c r="L21" s="146">
        <f t="shared" si="1"/>
        <v>0</v>
      </c>
      <c r="M21" s="146">
        <f t="shared" si="1"/>
        <v>5225326.8244373379</v>
      </c>
      <c r="N21" s="146">
        <f t="shared" si="2"/>
        <v>6714391.944437338</v>
      </c>
      <c r="O21" s="141"/>
      <c r="P21" s="195">
        <f>IF(ISERROR(K21/N24),0,K21/N24)</f>
        <v>1.1369946969718525E-2</v>
      </c>
      <c r="Q21" s="195">
        <f>IF(ISERROR(L21/N24),0,L21/N24)</f>
        <v>0</v>
      </c>
      <c r="R21" s="195">
        <f>IF(ISERROR(M21/N24),0,M21/N24)</f>
        <v>3.9898650566269553E-2</v>
      </c>
      <c r="S21" s="147">
        <f>N21/N24</f>
        <v>5.1268597535988079E-2</v>
      </c>
    </row>
    <row r="22" spans="1:26" x14ac:dyDescent="0.25">
      <c r="A22" s="141" t="s">
        <v>104</v>
      </c>
      <c r="B22" s="141"/>
      <c r="C22" s="193">
        <v>9</v>
      </c>
      <c r="D22" s="194">
        <v>1.6400000000000001E-2</v>
      </c>
      <c r="E22" s="194">
        <v>0</v>
      </c>
      <c r="F22" s="143"/>
      <c r="G22" s="135">
        <f>'4. Growth Factor - NUM_CALC1'!C22</f>
        <v>3098</v>
      </c>
      <c r="H22" s="135">
        <f>'4. Growth Factor - NUM_CALC1'!D22</f>
        <v>11246373.873873873</v>
      </c>
      <c r="I22" s="142">
        <v>0</v>
      </c>
      <c r="J22" s="141"/>
      <c r="K22" s="146">
        <f t="shared" si="0"/>
        <v>334584</v>
      </c>
      <c r="L22" s="146">
        <f t="shared" si="1"/>
        <v>184440.53153153154</v>
      </c>
      <c r="M22" s="146">
        <f t="shared" si="1"/>
        <v>0</v>
      </c>
      <c r="N22" s="146">
        <f t="shared" si="2"/>
        <v>519024.53153153154</v>
      </c>
      <c r="O22" s="141"/>
      <c r="P22" s="195">
        <f>IF(ISERROR(K22/N24),0,K22/N24)</f>
        <v>2.554758879125651E-3</v>
      </c>
      <c r="Q22" s="195">
        <f>IF(ISERROR(L22/N24),0,L22/N24)</f>
        <v>1.408319243002758E-3</v>
      </c>
      <c r="R22" s="195">
        <f>IF(ISERROR(M22/N24),0,M22/N24)</f>
        <v>0</v>
      </c>
      <c r="S22" s="147">
        <f>N22/N24</f>
        <v>3.963078122128409E-3</v>
      </c>
    </row>
    <row r="23" spans="1:26" x14ac:dyDescent="0.25">
      <c r="A23" s="141" t="s">
        <v>105</v>
      </c>
      <c r="B23" s="141"/>
      <c r="C23" s="193">
        <v>1.51</v>
      </c>
      <c r="D23" s="194">
        <v>0</v>
      </c>
      <c r="E23" s="194">
        <v>11.5465</v>
      </c>
      <c r="F23" s="143"/>
      <c r="G23" s="135">
        <f>'4. Growth Factor - NUM_CALC1'!C23</f>
        <v>50555</v>
      </c>
      <c r="H23" s="135">
        <f>'4. Growth Factor - NUM_CALC1'!D23</f>
        <v>16413627.734877734</v>
      </c>
      <c r="I23" s="135">
        <f>'4. Growth Factor - NUM_CALC1'!E23</f>
        <v>45704.178987063518</v>
      </c>
      <c r="J23" s="141"/>
      <c r="K23" s="146">
        <f t="shared" si="0"/>
        <v>916056.60000000009</v>
      </c>
      <c r="L23" s="146">
        <f t="shared" si="1"/>
        <v>0</v>
      </c>
      <c r="M23" s="146">
        <f t="shared" si="1"/>
        <v>527723.30267412891</v>
      </c>
      <c r="N23" s="146">
        <f t="shared" si="2"/>
        <v>1443779.902674129</v>
      </c>
      <c r="O23" s="141"/>
      <c r="P23" s="195">
        <f>IF(ISERROR(K23/N24),0,K23/N24)</f>
        <v>6.9946672065360422E-3</v>
      </c>
      <c r="Q23" s="195">
        <f>IF(ISERROR(L23/N24),0,L23/N24)</f>
        <v>0</v>
      </c>
      <c r="R23" s="195">
        <f>IF(ISERROR(M23/N24),0,M23/N24)</f>
        <v>4.0294987005602308E-3</v>
      </c>
      <c r="S23" s="147">
        <f>N23/N24</f>
        <v>1.1024165907096274E-2</v>
      </c>
    </row>
    <row r="24" spans="1:26" x14ac:dyDescent="0.25">
      <c r="A24" s="148" t="s">
        <v>138</v>
      </c>
      <c r="B24" s="148"/>
      <c r="C24" s="150"/>
      <c r="D24" s="150"/>
      <c r="E24" s="150"/>
      <c r="F24" s="150"/>
      <c r="G24" s="150"/>
      <c r="H24" s="150"/>
      <c r="I24" s="150"/>
      <c r="J24" s="148"/>
      <c r="K24" s="151">
        <f>SUM(K17:K23)</f>
        <v>67285779.11999999</v>
      </c>
      <c r="L24" s="151">
        <f>SUM(L17:L23)</f>
        <v>19212335.098133847</v>
      </c>
      <c r="M24" s="151">
        <f>SUM(M17:M23)</f>
        <v>44466887.110879689</v>
      </c>
      <c r="N24" s="151">
        <f>SUM(N17:N23)</f>
        <v>130965001.32901353</v>
      </c>
      <c r="O24" s="148"/>
      <c r="P24" s="152"/>
      <c r="Q24" s="152"/>
      <c r="R24" s="152"/>
      <c r="S24" s="152">
        <f>SUM(S17:S23)</f>
        <v>1</v>
      </c>
      <c r="T24" s="153"/>
      <c r="U24" s="153"/>
      <c r="V24" s="153"/>
      <c r="W24" s="153"/>
      <c r="X24" s="153"/>
      <c r="Y24" s="153"/>
      <c r="Z24" s="153"/>
    </row>
    <row r="25" spans="1:26" x14ac:dyDescent="0.25">
      <c r="C25" s="154"/>
      <c r="D25" s="154"/>
      <c r="E25" s="154"/>
      <c r="F25" s="154"/>
      <c r="G25" s="154"/>
      <c r="H25" s="154"/>
      <c r="I25" s="154"/>
    </row>
    <row r="26" spans="1:26" x14ac:dyDescent="0.25">
      <c r="C26" s="154"/>
      <c r="D26" s="154"/>
      <c r="E26" s="154"/>
      <c r="F26" s="154"/>
      <c r="G26" s="154"/>
      <c r="H26" s="154"/>
      <c r="I26" s="154"/>
    </row>
    <row r="27" spans="1:26" x14ac:dyDescent="0.25">
      <c r="C27" s="154"/>
      <c r="D27" s="154"/>
      <c r="E27" s="154"/>
      <c r="F27" s="154"/>
      <c r="G27" s="154"/>
      <c r="H27" s="154"/>
      <c r="I27" s="154"/>
    </row>
    <row r="28" spans="1:26" x14ac:dyDescent="0.25">
      <c r="C28" s="154"/>
      <c r="D28" s="154"/>
      <c r="E28" s="154"/>
      <c r="F28" s="154"/>
      <c r="G28" s="154"/>
      <c r="H28" s="154"/>
      <c r="I28" s="154"/>
    </row>
    <row r="29" spans="1:26" x14ac:dyDescent="0.25">
      <c r="C29" s="154"/>
      <c r="D29" s="154"/>
      <c r="E29" s="154"/>
      <c r="F29" s="154"/>
      <c r="G29" s="154"/>
      <c r="H29" s="154"/>
      <c r="I29" s="154"/>
    </row>
    <row r="30" spans="1:26" x14ac:dyDescent="0.25">
      <c r="C30" s="154"/>
      <c r="D30" s="154"/>
      <c r="E30" s="154"/>
      <c r="F30" s="154"/>
      <c r="G30" s="154"/>
      <c r="H30" s="154"/>
      <c r="I30" s="154"/>
    </row>
    <row r="31" spans="1:26" x14ac:dyDescent="0.25">
      <c r="C31" s="154"/>
      <c r="D31" s="154"/>
      <c r="E31" s="154"/>
      <c r="F31" s="154"/>
      <c r="G31" s="154"/>
      <c r="H31" s="154"/>
      <c r="I31" s="154"/>
    </row>
    <row r="32" spans="1:26" x14ac:dyDescent="0.25">
      <c r="C32" s="154"/>
      <c r="D32" s="154"/>
      <c r="E32" s="154"/>
      <c r="F32" s="154"/>
      <c r="G32" s="154"/>
      <c r="H32" s="154"/>
      <c r="I32" s="154"/>
    </row>
    <row r="33" spans="3:9" x14ac:dyDescent="0.25">
      <c r="C33" s="154"/>
      <c r="D33" s="154"/>
      <c r="E33" s="154"/>
      <c r="F33" s="154"/>
      <c r="G33" s="154"/>
      <c r="H33" s="154"/>
      <c r="I33" s="154"/>
    </row>
    <row r="34" spans="3:9" x14ac:dyDescent="0.25">
      <c r="C34" s="154"/>
      <c r="D34" s="154"/>
      <c r="E34" s="154"/>
      <c r="F34" s="154"/>
      <c r="G34" s="154"/>
      <c r="H34" s="154"/>
      <c r="I34" s="154"/>
    </row>
    <row r="35" spans="3:9" x14ac:dyDescent="0.25">
      <c r="C35" s="154"/>
      <c r="D35" s="154"/>
      <c r="E35" s="154"/>
      <c r="F35" s="154"/>
      <c r="G35" s="154"/>
      <c r="H35" s="154"/>
      <c r="I35" s="154"/>
    </row>
    <row r="36" spans="3:9" x14ac:dyDescent="0.25">
      <c r="C36" s="154"/>
      <c r="D36" s="154"/>
      <c r="E36" s="154"/>
      <c r="F36" s="154"/>
      <c r="G36" s="154"/>
      <c r="H36" s="154"/>
      <c r="I36" s="154"/>
    </row>
    <row r="37" spans="3:9" x14ac:dyDescent="0.25">
      <c r="C37" s="154"/>
      <c r="D37" s="154"/>
      <c r="E37" s="154"/>
      <c r="F37" s="154"/>
      <c r="G37" s="154"/>
      <c r="H37" s="154"/>
      <c r="I37" s="154"/>
    </row>
    <row r="38" spans="3:9" x14ac:dyDescent="0.25">
      <c r="C38" s="154"/>
      <c r="D38" s="154"/>
      <c r="E38" s="154"/>
      <c r="F38" s="154"/>
      <c r="G38" s="154"/>
      <c r="H38" s="154"/>
      <c r="I38" s="154"/>
    </row>
    <row r="39" spans="3:9" x14ac:dyDescent="0.25">
      <c r="C39" s="154"/>
      <c r="D39" s="154"/>
      <c r="E39" s="154"/>
      <c r="F39" s="154"/>
      <c r="G39" s="154"/>
      <c r="H39" s="154"/>
      <c r="I39" s="154"/>
    </row>
    <row r="40" spans="3:9" x14ac:dyDescent="0.25">
      <c r="C40" s="154"/>
      <c r="D40" s="154"/>
      <c r="E40" s="154"/>
      <c r="F40" s="154"/>
      <c r="G40" s="154"/>
      <c r="H40" s="154"/>
      <c r="I40" s="154"/>
    </row>
    <row r="41" spans="3:9" x14ac:dyDescent="0.25">
      <c r="C41" s="154"/>
      <c r="D41" s="154"/>
      <c r="E41" s="154"/>
      <c r="F41" s="154"/>
      <c r="G41" s="154"/>
      <c r="H41" s="154"/>
      <c r="I41" s="154"/>
    </row>
    <row r="42" spans="3:9" x14ac:dyDescent="0.25">
      <c r="C42" s="154"/>
      <c r="D42" s="154"/>
      <c r="E42" s="154"/>
      <c r="F42" s="154"/>
      <c r="G42" s="154"/>
      <c r="H42" s="154"/>
      <c r="I42" s="154"/>
    </row>
    <row r="43" spans="3:9" x14ac:dyDescent="0.25">
      <c r="C43" s="154"/>
      <c r="D43" s="154"/>
      <c r="E43" s="154"/>
      <c r="F43" s="154"/>
      <c r="G43" s="154"/>
      <c r="H43" s="154"/>
      <c r="I43" s="154"/>
    </row>
    <row r="44" spans="3:9" x14ac:dyDescent="0.25">
      <c r="C44" s="154"/>
      <c r="D44" s="154"/>
      <c r="E44" s="154"/>
      <c r="F44" s="154"/>
      <c r="G44" s="154"/>
      <c r="H44" s="154"/>
      <c r="I44" s="154"/>
    </row>
    <row r="45" spans="3:9" x14ac:dyDescent="0.25">
      <c r="C45" s="154"/>
      <c r="D45" s="154"/>
      <c r="E45" s="154"/>
      <c r="F45" s="154"/>
      <c r="G45" s="154"/>
      <c r="H45" s="154"/>
      <c r="I45" s="154"/>
    </row>
    <row r="46" spans="3:9" x14ac:dyDescent="0.25">
      <c r="C46" s="154"/>
      <c r="D46" s="154"/>
      <c r="E46" s="154"/>
      <c r="F46" s="154"/>
      <c r="G46" s="154"/>
      <c r="H46" s="154"/>
      <c r="I46" s="154"/>
    </row>
    <row r="47" spans="3:9" x14ac:dyDescent="0.25">
      <c r="C47" s="154"/>
      <c r="D47" s="154"/>
      <c r="E47" s="154"/>
      <c r="F47" s="154"/>
      <c r="G47" s="154"/>
      <c r="H47" s="154"/>
      <c r="I47" s="154"/>
    </row>
    <row r="48" spans="3:9" x14ac:dyDescent="0.25">
      <c r="C48" s="154"/>
      <c r="D48" s="154"/>
      <c r="E48" s="154"/>
      <c r="F48" s="154"/>
      <c r="G48" s="154"/>
      <c r="H48" s="154"/>
      <c r="I48" s="154"/>
    </row>
    <row r="49" spans="3:9" x14ac:dyDescent="0.25">
      <c r="C49" s="154"/>
      <c r="D49" s="154"/>
      <c r="E49" s="154"/>
      <c r="F49" s="154"/>
      <c r="G49" s="154"/>
      <c r="H49" s="154"/>
      <c r="I49" s="154"/>
    </row>
    <row r="50" spans="3:9" x14ac:dyDescent="0.25">
      <c r="C50" s="154"/>
      <c r="D50" s="154"/>
      <c r="E50" s="154"/>
      <c r="F50" s="154"/>
      <c r="G50" s="154"/>
      <c r="H50" s="154"/>
      <c r="I50" s="154"/>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tabSelected="1" workbookViewId="0">
      <selection activeCell="H6" sqref="H6"/>
    </sheetView>
  </sheetViews>
  <sheetFormatPr defaultColWidth="9.140625" defaultRowHeight="15" x14ac:dyDescent="0.2"/>
  <cols>
    <col min="1" max="1" width="10.7109375" style="2" customWidth="1"/>
    <col min="2" max="2" width="13.7109375" style="2" customWidth="1"/>
    <col min="3" max="3" width="46.42578125" style="2" customWidth="1"/>
    <col min="4" max="4" width="3.5703125" style="2" customWidth="1"/>
    <col min="5" max="5" width="27.5703125" style="2" customWidth="1"/>
    <col min="6" max="6" width="39.140625" style="2" bestFit="1" customWidth="1"/>
    <col min="7" max="7" width="6.42578125" style="2" bestFit="1" customWidth="1"/>
    <col min="8" max="8" width="15.5703125" style="2" bestFit="1" customWidth="1"/>
    <col min="9" max="15" width="9.140625" style="2" customWidth="1"/>
    <col min="16" max="16" width="3.5703125" style="2" customWidth="1"/>
    <col min="17" max="16384" width="9.140625" style="2"/>
  </cols>
  <sheetData>
    <row r="1" spans="1:13" x14ac:dyDescent="0.2">
      <c r="A1" s="1"/>
      <c r="B1" s="1"/>
      <c r="C1" s="1"/>
      <c r="D1" s="1"/>
      <c r="E1" s="1"/>
      <c r="F1" s="1"/>
    </row>
    <row r="2" spans="1:13" s="1" customFormat="1" ht="18" x14ac:dyDescent="0.25">
      <c r="C2" s="3"/>
    </row>
    <row r="3" spans="1:13" s="1" customFormat="1" ht="18" x14ac:dyDescent="0.25">
      <c r="C3" s="3"/>
    </row>
    <row r="4" spans="1:13" s="1" customFormat="1" ht="18" x14ac:dyDescent="0.25">
      <c r="C4" s="3"/>
    </row>
    <row r="5" spans="1:13" s="1" customFormat="1" ht="18" x14ac:dyDescent="0.25">
      <c r="C5" s="3"/>
    </row>
    <row r="6" spans="1:13" s="1" customFormat="1" x14ac:dyDescent="0.2"/>
    <row r="7" spans="1:13" s="1" customFormat="1" x14ac:dyDescent="0.2"/>
    <row r="8" spans="1:13" s="1" customFormat="1" ht="27.75" customHeight="1" x14ac:dyDescent="0.25">
      <c r="A8" s="4" t="s">
        <v>0</v>
      </c>
    </row>
    <row r="9" spans="1:13" s="1" customFormat="1" ht="23.25" x14ac:dyDescent="0.2">
      <c r="C9" s="356" t="str">
        <f>IF('[1]1. Information Sheet'!F26 = "COS", "Preliminary Threshold Calculation", "Final Threshold Calculation")</f>
        <v>Final Threshold Calculation</v>
      </c>
      <c r="D9" s="356"/>
      <c r="E9" s="356"/>
    </row>
    <row r="10" spans="1:13" s="1" customFormat="1" ht="26.25" x14ac:dyDescent="0.4">
      <c r="C10" s="5"/>
    </row>
    <row r="11" spans="1:13" s="1" customFormat="1" x14ac:dyDescent="0.2"/>
    <row r="12" spans="1:13" s="1" customFormat="1" x14ac:dyDescent="0.2">
      <c r="I12" s="1" t="s">
        <v>32</v>
      </c>
      <c r="J12" s="1">
        <v>2013</v>
      </c>
    </row>
    <row r="13" spans="1:13" s="1" customFormat="1" ht="15.75" x14ac:dyDescent="0.25">
      <c r="C13" s="6" t="s">
        <v>1</v>
      </c>
      <c r="E13" s="293">
        <v>2018</v>
      </c>
      <c r="I13" s="1" t="s">
        <v>33</v>
      </c>
      <c r="J13" s="1">
        <v>2014</v>
      </c>
      <c r="K13" s="1" t="s">
        <v>35</v>
      </c>
      <c r="L13" s="1" t="s">
        <v>40</v>
      </c>
    </row>
    <row r="14" spans="1:13" s="1" customFormat="1" ht="15.75" x14ac:dyDescent="0.25">
      <c r="C14" s="6" t="s">
        <v>2</v>
      </c>
      <c r="E14" s="293">
        <v>5</v>
      </c>
      <c r="F14" s="4"/>
      <c r="I14" s="1" t="s">
        <v>33</v>
      </c>
      <c r="J14" s="1">
        <v>2015</v>
      </c>
      <c r="K14" s="1" t="s">
        <v>36</v>
      </c>
      <c r="L14" s="1" t="s">
        <v>41</v>
      </c>
    </row>
    <row r="15" spans="1:13" s="1" customFormat="1" x14ac:dyDescent="0.2">
      <c r="E15" s="7"/>
      <c r="I15" s="1" t="s">
        <v>33</v>
      </c>
      <c r="J15" s="1">
        <v>2016</v>
      </c>
      <c r="K15" s="1" t="s">
        <v>37</v>
      </c>
      <c r="L15" s="1" t="s">
        <v>42</v>
      </c>
    </row>
    <row r="16" spans="1:13" s="1" customFormat="1" ht="15.75" x14ac:dyDescent="0.25">
      <c r="C16" s="8" t="s">
        <v>3</v>
      </c>
      <c r="D16" s="9"/>
      <c r="E16" s="10">
        <f>1.2%-0.3%</f>
        <v>9.0000000000000011E-3</v>
      </c>
      <c r="F16" s="4"/>
      <c r="I16" s="1" t="s">
        <v>33</v>
      </c>
      <c r="J16" s="1">
        <v>2017</v>
      </c>
      <c r="K16" s="1" t="s">
        <v>38</v>
      </c>
      <c r="L16" s="1" t="s">
        <v>43</v>
      </c>
      <c r="M16" s="1" t="s">
        <v>34</v>
      </c>
    </row>
    <row r="17" spans="3:13" s="1" customFormat="1" ht="15.75" x14ac:dyDescent="0.25">
      <c r="C17" s="6" t="s">
        <v>4</v>
      </c>
      <c r="I17" s="1" t="s">
        <v>33</v>
      </c>
      <c r="J17" s="29">
        <v>2018</v>
      </c>
      <c r="K17" s="1" t="s">
        <v>39</v>
      </c>
      <c r="L17" s="1" t="s">
        <v>44</v>
      </c>
      <c r="M17" s="1" t="s">
        <v>34</v>
      </c>
    </row>
    <row r="18" spans="3:13" s="1" customFormat="1" ht="15.75" x14ac:dyDescent="0.25">
      <c r="C18" s="11" t="str">
        <f>'[1]1. Information Sheet'!F48</f>
        <v>2016 Actual Distribution Revenues</v>
      </c>
      <c r="E18" s="12">
        <f>'5. Growth Factor - NUM_CALC2'!N24</f>
        <v>124856790.13145632</v>
      </c>
      <c r="F18" s="6"/>
      <c r="G18" s="1">
        <v>2016</v>
      </c>
    </row>
    <row r="19" spans="3:13" s="1" customFormat="1" ht="15.75" x14ac:dyDescent="0.25">
      <c r="C19" s="292" t="s">
        <v>45</v>
      </c>
      <c r="E19" s="12">
        <f>'7. Growth Factor - DEN_CALC1'!N24</f>
        <v>124072182.877</v>
      </c>
      <c r="F19" s="6"/>
      <c r="G19" s="1">
        <v>2013</v>
      </c>
    </row>
    <row r="20" spans="3:13" s="1" customFormat="1" ht="15.75" x14ac:dyDescent="0.25">
      <c r="C20" s="8" t="s">
        <v>5</v>
      </c>
      <c r="D20" s="9"/>
      <c r="E20" s="294">
        <f>IF(ISERROR(E18/E19-1),0,(E18/E19-1)/(G18-G19))</f>
        <v>2.1079322167218972E-3</v>
      </c>
      <c r="F20" s="4"/>
    </row>
    <row r="21" spans="3:13" s="1" customFormat="1" ht="15.75" x14ac:dyDescent="0.25">
      <c r="C21" s="8" t="s">
        <v>6</v>
      </c>
      <c r="D21" s="9"/>
      <c r="E21" s="13">
        <v>0.1</v>
      </c>
      <c r="F21" s="6"/>
    </row>
    <row r="22" spans="3:13" s="1" customFormat="1" ht="15.75" x14ac:dyDescent="0.25">
      <c r="C22" s="6" t="s">
        <v>7</v>
      </c>
      <c r="E22" s="7"/>
    </row>
    <row r="23" spans="3:13" s="1" customFormat="1" x14ac:dyDescent="0.2">
      <c r="C23" s="1" t="s">
        <v>8</v>
      </c>
      <c r="E23" s="14">
        <f>'6. Rev_Requ_Check'!C10</f>
        <v>541300088</v>
      </c>
    </row>
    <row r="24" spans="3:13" s="1" customFormat="1" x14ac:dyDescent="0.2">
      <c r="C24" s="15" t="s">
        <v>9</v>
      </c>
      <c r="E24" s="14">
        <f>'6. Rev_Requ_Check'!C11</f>
        <v>4371726</v>
      </c>
    </row>
    <row r="25" spans="3:13" s="1" customFormat="1" x14ac:dyDescent="0.2">
      <c r="C25" s="15" t="s">
        <v>10</v>
      </c>
      <c r="E25" s="14">
        <f>'6. Rev_Requ_Check'!C12</f>
        <v>46257875</v>
      </c>
    </row>
    <row r="26" spans="3:13" s="1" customFormat="1" x14ac:dyDescent="0.2">
      <c r="C26" s="15" t="s">
        <v>11</v>
      </c>
      <c r="E26" s="14">
        <f>'6. Rev_Requ_Check'!C13</f>
        <v>-1026755</v>
      </c>
    </row>
    <row r="27" spans="3:13" s="1" customFormat="1" x14ac:dyDescent="0.2">
      <c r="C27" s="15" t="s">
        <v>12</v>
      </c>
      <c r="E27" s="14">
        <f>'6. Rev_Requ_Check'!C14</f>
        <v>0</v>
      </c>
    </row>
    <row r="28" spans="3:13" s="1" customFormat="1" x14ac:dyDescent="0.2">
      <c r="C28" s="15" t="s">
        <v>13</v>
      </c>
      <c r="E28" s="14">
        <f>'6. Rev_Requ_Check'!C15</f>
        <v>-4371726</v>
      </c>
    </row>
    <row r="29" spans="3:13" s="1" customFormat="1" x14ac:dyDescent="0.2">
      <c r="C29" s="1" t="s">
        <v>14</v>
      </c>
      <c r="E29" s="14">
        <f>'6. Rev_Requ_Check'!C16</f>
        <v>586531208</v>
      </c>
    </row>
    <row r="30" spans="3:13" s="1" customFormat="1" x14ac:dyDescent="0.2">
      <c r="E30" s="14"/>
    </row>
    <row r="31" spans="3:13" s="1" customFormat="1" x14ac:dyDescent="0.2">
      <c r="C31" s="1" t="s">
        <v>15</v>
      </c>
      <c r="E31" s="16">
        <f>(E23+E29)/2</f>
        <v>563915648</v>
      </c>
    </row>
    <row r="32" spans="3:13" s="1" customFormat="1" x14ac:dyDescent="0.2">
      <c r="E32" s="14"/>
    </row>
    <row r="33" spans="3:6" s="1" customFormat="1" x14ac:dyDescent="0.2">
      <c r="C33" s="15" t="s">
        <v>16</v>
      </c>
      <c r="E33" s="14">
        <f>'6. Rev_Requ_Check'!C19</f>
        <v>45750490</v>
      </c>
    </row>
    <row r="34" spans="3:6" s="1" customFormat="1" ht="15.75" x14ac:dyDescent="0.25">
      <c r="C34" s="17" t="s">
        <v>17</v>
      </c>
      <c r="E34" s="14">
        <f>'6. Rev_Requ_Check'!C20</f>
        <v>28721695</v>
      </c>
      <c r="F34" s="6"/>
    </row>
    <row r="35" spans="3:6" s="1" customFormat="1" x14ac:dyDescent="0.2">
      <c r="C35" s="17" t="s">
        <v>18</v>
      </c>
      <c r="E35" s="14">
        <f>'6. Rev_Requ_Check'!C21</f>
        <v>0</v>
      </c>
    </row>
    <row r="36" spans="3:6" s="1" customFormat="1" x14ac:dyDescent="0.2">
      <c r="C36" s="17" t="s">
        <v>19</v>
      </c>
      <c r="E36" s="14">
        <f>'6. Rev_Requ_Check'!C22</f>
        <v>-1026755</v>
      </c>
    </row>
    <row r="37" spans="3:6" s="1" customFormat="1" x14ac:dyDescent="0.2">
      <c r="C37" s="15" t="s">
        <v>20</v>
      </c>
      <c r="E37" s="14">
        <f>'6. Rev_Requ_Check'!C23</f>
        <v>73445430</v>
      </c>
    </row>
    <row r="38" spans="3:6" s="1" customFormat="1" x14ac:dyDescent="0.2">
      <c r="C38" s="15"/>
      <c r="E38" s="14"/>
    </row>
    <row r="39" spans="3:6" s="1" customFormat="1" x14ac:dyDescent="0.2">
      <c r="C39" s="1" t="s">
        <v>21</v>
      </c>
      <c r="E39" s="16">
        <f>(E33+E37)/2</f>
        <v>59597960</v>
      </c>
    </row>
    <row r="40" spans="3:6" s="1" customFormat="1" x14ac:dyDescent="0.2">
      <c r="E40" s="14"/>
    </row>
    <row r="41" spans="3:6" s="1" customFormat="1" ht="15.75" x14ac:dyDescent="0.25">
      <c r="C41" s="6" t="s">
        <v>22</v>
      </c>
      <c r="E41" s="16">
        <f>E31-E39</f>
        <v>504317688</v>
      </c>
      <c r="F41" s="6"/>
    </row>
    <row r="42" spans="3:6" s="1" customFormat="1" x14ac:dyDescent="0.2">
      <c r="E42" s="18"/>
    </row>
    <row r="43" spans="3:6" s="1" customFormat="1" x14ac:dyDescent="0.2">
      <c r="E43" s="18"/>
    </row>
    <row r="44" spans="3:6" s="1" customFormat="1" ht="15.75" x14ac:dyDescent="0.25">
      <c r="C44" s="6" t="s">
        <v>23</v>
      </c>
      <c r="E44" s="18"/>
    </row>
    <row r="45" spans="3:6" s="1" customFormat="1" x14ac:dyDescent="0.2">
      <c r="C45" s="15" t="s">
        <v>24</v>
      </c>
      <c r="E45" s="14">
        <f>'6. Rev_Requ_Check'!C29</f>
        <v>786215891</v>
      </c>
    </row>
    <row r="46" spans="3:6" s="1" customFormat="1" x14ac:dyDescent="0.2">
      <c r="C46" s="15" t="s">
        <v>25</v>
      </c>
      <c r="E46" s="30">
        <f>'6. Rev_Requ_Check'!C30</f>
        <v>0.13500000000000001</v>
      </c>
    </row>
    <row r="47" spans="3:6" s="1" customFormat="1" ht="15.75" x14ac:dyDescent="0.25">
      <c r="C47" s="6" t="s">
        <v>23</v>
      </c>
      <c r="E47" s="16">
        <f>E45*E46</f>
        <v>106139145.28500001</v>
      </c>
      <c r="F47" s="6"/>
    </row>
    <row r="48" spans="3:6" s="1" customFormat="1" x14ac:dyDescent="0.2">
      <c r="E48" s="18"/>
    </row>
    <row r="49" spans="3:6" s="1" customFormat="1" ht="16.5" thickBot="1" x14ac:dyDescent="0.3">
      <c r="C49" s="6" t="s">
        <v>26</v>
      </c>
      <c r="E49" s="19">
        <f>E41+E47</f>
        <v>610456833.28499997</v>
      </c>
      <c r="F49" s="4"/>
    </row>
    <row r="50" spans="3:6" s="1" customFormat="1" x14ac:dyDescent="0.2">
      <c r="E50" s="18"/>
      <c r="F50" s="15"/>
    </row>
    <row r="51" spans="3:6" s="1" customFormat="1" ht="15.75" x14ac:dyDescent="0.25">
      <c r="C51" s="6" t="s">
        <v>27</v>
      </c>
      <c r="D51" s="20"/>
      <c r="E51" s="21">
        <f>E34</f>
        <v>28721695</v>
      </c>
      <c r="F51" s="4"/>
    </row>
    <row r="52" spans="3:6" s="1" customFormat="1" x14ac:dyDescent="0.2">
      <c r="E52" s="18"/>
    </row>
    <row r="53" spans="3:6" s="1" customFormat="1" ht="15.75" x14ac:dyDescent="0.25">
      <c r="C53" s="6" t="s">
        <v>28</v>
      </c>
      <c r="E53" s="22"/>
      <c r="F53" s="23"/>
    </row>
    <row r="54" spans="3:6" s="1" customFormat="1" ht="15.75" x14ac:dyDescent="0.25">
      <c r="C54" s="24" t="s">
        <v>46</v>
      </c>
      <c r="E54" s="31">
        <f>IF(ISERROR(1+((RB/d)*(g+PCI*(1+g)))*((1+g)*(1+PCI))^(1-1) + 10%), 0, 1+((RB/d)*(g+PCI*(1+g)))*((1+g)*(1+PCI))^(1-1) + 10%)</f>
        <v>1.3364935056930547</v>
      </c>
      <c r="F54" s="6"/>
    </row>
    <row r="55" spans="3:6" s="1" customFormat="1" ht="15.75" x14ac:dyDescent="0.25">
      <c r="C55" s="24" t="s">
        <v>47</v>
      </c>
      <c r="E55" s="31">
        <f>IF(ISERROR(1+((RB/d)*(g+PCI*(1+g)))*((1+g)*(1+PCI))^(2-1) + 10%), 0, 1+((RB/d)*(g+PCI*(1+g)))*((1+g)*(1+PCI))^(2-1) + 10%)</f>
        <v>1.3391249461345052</v>
      </c>
      <c r="F55" s="6"/>
    </row>
    <row r="56" spans="3:6" s="1" customFormat="1" ht="15.75" x14ac:dyDescent="0.25">
      <c r="C56" s="24" t="s">
        <v>48</v>
      </c>
      <c r="E56" s="31">
        <f>IF(ISERROR(1+((RB/d)*(g+PCI*(1+g)))*((1+g)*(1+PCI))^(3-1) + 10%), 0, 1+((RB/d)*(g+PCI*(1+g)))*((1+g)*(1+PCI))^(3-1) + 10%)</f>
        <v>1.3417856663600947</v>
      </c>
    </row>
    <row r="57" spans="3:6" s="1" customFormat="1" ht="15.75" x14ac:dyDescent="0.25">
      <c r="C57" s="24" t="s">
        <v>49</v>
      </c>
      <c r="E57" s="31">
        <f>IF(ISERROR(1+((RB/d)*(g+PCI*(1+g)))*((1+g)*(1+PCI))^(4-1) + 10%), 0, 1+((RB/d)*(g+PCI*(1+g)))*((1+g)*(1+PCI))^(4-1) + 10%)</f>
        <v>1.3444759921631584</v>
      </c>
    </row>
    <row r="58" spans="3:6" s="1" customFormat="1" ht="15.75" x14ac:dyDescent="0.25">
      <c r="C58" s="32" t="s">
        <v>50</v>
      </c>
      <c r="D58" s="29"/>
      <c r="E58" s="33">
        <f>IF(ISERROR(1+((RB/d)*(g+PCI*(1+g)))*((1+g)*(1+PCI))^(5-1) + 10%), 0, 1+((RB/d)*(g+PCI*(1+g)))*((1+g)*(1+PCI))^(5-1) + 10%)</f>
        <v>1.3471962529621035</v>
      </c>
    </row>
    <row r="59" spans="3:6" s="1" customFormat="1" ht="15.75" x14ac:dyDescent="0.25">
      <c r="C59" s="6"/>
      <c r="E59" s="18"/>
    </row>
    <row r="60" spans="3:6" s="1" customFormat="1" ht="15.75" x14ac:dyDescent="0.25">
      <c r="C60" s="6" t="s">
        <v>29</v>
      </c>
      <c r="E60" s="25"/>
      <c r="F60" s="23"/>
    </row>
    <row r="61" spans="3:6" s="1" customFormat="1" ht="15.75" x14ac:dyDescent="0.25">
      <c r="C61" s="1" t="str">
        <f>C54</f>
        <v xml:space="preserve">    Price Cap IR Year 2014</v>
      </c>
      <c r="E61" s="26">
        <f>IF(ISERROR(d*E54), "", d*E54)</f>
        <v>38386358.839996681</v>
      </c>
    </row>
    <row r="62" spans="3:6" s="1" customFormat="1" ht="15.75" x14ac:dyDescent="0.25">
      <c r="C62" s="1" t="str">
        <f>C55</f>
        <v xml:space="preserve">    Price Cap IR Year 2015</v>
      </c>
      <c r="E62" s="26">
        <f>IF(ISERROR(d*E55), "", d*E55)</f>
        <v>38461938.269766688</v>
      </c>
    </row>
    <row r="63" spans="3:6" s="1" customFormat="1" ht="15.75" x14ac:dyDescent="0.25">
      <c r="C63" s="1" t="str">
        <f>C56</f>
        <v xml:space="preserve">    Price Cap IR Year 2016</v>
      </c>
      <c r="E63" s="26">
        <f>IF(ISERROR(d*E56), "", d*E56)</f>
        <v>38538358.664566398</v>
      </c>
    </row>
    <row r="64" spans="3:6" s="1" customFormat="1" ht="15.75" x14ac:dyDescent="0.25">
      <c r="C64" s="1" t="str">
        <f>C57</f>
        <v xml:space="preserve">    Price Cap IR Year 2017</v>
      </c>
      <c r="E64" s="26">
        <f>IF(ISERROR(d*E57), "", d*E57)</f>
        <v>38615629.381732628</v>
      </c>
    </row>
    <row r="65" spans="2:6" s="1" customFormat="1" ht="15.75" x14ac:dyDescent="0.25">
      <c r="C65" s="29" t="str">
        <f>C58</f>
        <v xml:space="preserve">    Price Cap IR Year 2018</v>
      </c>
      <c r="D65" s="29"/>
      <c r="E65" s="34">
        <f>IF(ISERROR(d*E58), "", d*E58)</f>
        <v>38693759.882720381</v>
      </c>
    </row>
    <row r="66" spans="2:6" s="1" customFormat="1" x14ac:dyDescent="0.2"/>
    <row r="67" spans="2:6" s="1" customFormat="1" x14ac:dyDescent="0.2"/>
    <row r="68" spans="2:6" s="1" customFormat="1" x14ac:dyDescent="0.2"/>
    <row r="69" spans="2:6" s="1" customFormat="1" x14ac:dyDescent="0.2">
      <c r="B69" s="27" t="s">
        <v>30</v>
      </c>
      <c r="C69" s="357" t="s">
        <v>31</v>
      </c>
      <c r="D69" s="357"/>
      <c r="E69" s="357"/>
      <c r="F69" s="357"/>
    </row>
    <row r="70" spans="2:6" s="1" customFormat="1" x14ac:dyDescent="0.2">
      <c r="F70" s="28"/>
    </row>
    <row r="71" spans="2:6" s="1" customFormat="1" x14ac:dyDescent="0.2"/>
    <row r="72" spans="2:6" s="1" customFormat="1" x14ac:dyDescent="0.2"/>
    <row r="73" spans="2:6" s="1" customFormat="1" x14ac:dyDescent="0.2"/>
    <row r="74" spans="2:6" s="1" customFormat="1" x14ac:dyDescent="0.2"/>
    <row r="75" spans="2:6" s="1" customFormat="1" x14ac:dyDescent="0.2"/>
    <row r="76" spans="2:6" s="1" customFormat="1" x14ac:dyDescent="0.2"/>
    <row r="77" spans="2:6" s="1" customFormat="1" x14ac:dyDescent="0.2"/>
    <row r="78" spans="2:6" s="1" customFormat="1" x14ac:dyDescent="0.2"/>
    <row r="79" spans="2:6" s="1" customFormat="1" x14ac:dyDescent="0.2"/>
    <row r="80" spans="2:6" s="1" customFormat="1" x14ac:dyDescent="0.2"/>
    <row r="81" s="1" customFormat="1" x14ac:dyDescent="0.2"/>
  </sheetData>
  <mergeCells count="2">
    <mergeCell ref="C9:E9"/>
    <mergeCell ref="C69:F69"/>
  </mergeCell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O80"/>
  <sheetViews>
    <sheetView showGridLines="0" topLeftCell="E50" workbookViewId="0">
      <selection activeCell="N63" sqref="N63:O63"/>
    </sheetView>
  </sheetViews>
  <sheetFormatPr defaultRowHeight="15" x14ac:dyDescent="0.25"/>
  <cols>
    <col min="1" max="1" width="61.140625" customWidth="1"/>
    <col min="2" max="3" width="16.28515625" customWidth="1"/>
    <col min="4" max="4" width="20.7109375" bestFit="1" customWidth="1"/>
    <col min="5" max="5" width="20.7109375" customWidth="1"/>
    <col min="6" max="6" width="16.28515625" customWidth="1"/>
    <col min="7" max="7" width="20.7109375" bestFit="1" customWidth="1"/>
    <col min="8" max="8" width="20.7109375" customWidth="1"/>
    <col min="9" max="9" width="14.28515625" bestFit="1" customWidth="1"/>
    <col min="10" max="10" width="20.7109375" bestFit="1" customWidth="1"/>
    <col min="11" max="11" width="20.7109375" customWidth="1"/>
    <col min="12" max="12" width="14.28515625" bestFit="1" customWidth="1"/>
    <col min="13" max="13" width="20.7109375" bestFit="1" customWidth="1"/>
    <col min="14" max="14" width="20.7109375" customWidth="1"/>
    <col min="15" max="15" width="12.5703125" bestFit="1" customWidth="1"/>
  </cols>
  <sheetData>
    <row r="11" spans="1:7" ht="15.75" x14ac:dyDescent="0.25">
      <c r="A11" s="196" t="s">
        <v>243</v>
      </c>
    </row>
    <row r="12" spans="1:7" ht="15.75" x14ac:dyDescent="0.25">
      <c r="A12" s="196"/>
    </row>
    <row r="13" spans="1:7" x14ac:dyDescent="0.25">
      <c r="C13" s="197" t="s">
        <v>244</v>
      </c>
      <c r="D13" s="361" t="s">
        <v>78</v>
      </c>
      <c r="E13" s="361"/>
      <c r="F13" s="361"/>
      <c r="G13" s="361"/>
    </row>
    <row r="14" spans="1:7" x14ac:dyDescent="0.25">
      <c r="C14" s="198" t="s">
        <v>245</v>
      </c>
      <c r="D14" s="199" t="s">
        <v>247</v>
      </c>
      <c r="E14" s="198" t="s">
        <v>248</v>
      </c>
      <c r="F14" s="199" t="s">
        <v>249</v>
      </c>
      <c r="G14" s="198" t="s">
        <v>322</v>
      </c>
    </row>
    <row r="15" spans="1:7" x14ac:dyDescent="0.25">
      <c r="C15" s="198">
        <v>2013</v>
      </c>
      <c r="D15" s="199">
        <v>2015</v>
      </c>
      <c r="E15" s="198">
        <f>D15+1</f>
        <v>2016</v>
      </c>
      <c r="F15" s="199">
        <f>E15+1</f>
        <v>2017</v>
      </c>
      <c r="G15" s="198">
        <f>F15+1</f>
        <v>2018</v>
      </c>
    </row>
    <row r="16" spans="1:7" x14ac:dyDescent="0.25">
      <c r="A16" s="200" t="s">
        <v>250</v>
      </c>
      <c r="B16" s="200"/>
      <c r="C16" s="201"/>
      <c r="D16" s="201"/>
      <c r="E16" s="201"/>
      <c r="F16" s="201"/>
      <c r="G16" s="201">
        <f>'[2]ICM Table 3 - Elig Cap (EHM)'!$C$4</f>
        <v>72682772</v>
      </c>
    </row>
    <row r="17" spans="1:8" x14ac:dyDescent="0.25">
      <c r="A17" s="200"/>
      <c r="B17" s="200"/>
    </row>
    <row r="18" spans="1:8" x14ac:dyDescent="0.25">
      <c r="A18" s="200" t="s">
        <v>251</v>
      </c>
      <c r="B18" s="200"/>
      <c r="C18" s="202"/>
      <c r="D18" s="203">
        <f>'9. Threshold Test'!E62</f>
        <v>38461938.269766688</v>
      </c>
      <c r="E18" s="203">
        <f>'9. Threshold Test'!E63</f>
        <v>38538358.664566398</v>
      </c>
      <c r="F18" s="203">
        <f>'9. Threshold Test'!E64</f>
        <v>38615629.381732628</v>
      </c>
      <c r="G18" s="203">
        <f>'9. Threshold Test'!E65</f>
        <v>38693759.882720381</v>
      </c>
    </row>
    <row r="19" spans="1:8" x14ac:dyDescent="0.25">
      <c r="A19" s="153"/>
      <c r="B19" s="153"/>
    </row>
    <row r="20" spans="1:8" ht="30" x14ac:dyDescent="0.25">
      <c r="A20" s="204" t="s">
        <v>252</v>
      </c>
      <c r="B20" s="200"/>
      <c r="C20" s="205">
        <v>0</v>
      </c>
      <c r="D20" s="206">
        <f>IF(D18&gt;D16,0,D16-D18)</f>
        <v>0</v>
      </c>
      <c r="E20" s="206">
        <f>IF(E18&gt;E16,0,E16-E18)</f>
        <v>0</v>
      </c>
      <c r="F20" s="206">
        <f>IF(F18&gt;F16,0,F16-F18)</f>
        <v>0</v>
      </c>
      <c r="G20" s="207">
        <f>IF(G18&gt;G16,0,G16-G18)</f>
        <v>33989012.117279619</v>
      </c>
    </row>
    <row r="21" spans="1:8" x14ac:dyDescent="0.25">
      <c r="A21" s="153"/>
      <c r="B21" s="153"/>
    </row>
    <row r="22" spans="1:8" x14ac:dyDescent="0.25">
      <c r="A22" s="153" t="s">
        <v>253</v>
      </c>
      <c r="B22" s="198" t="s">
        <v>254</v>
      </c>
      <c r="C22" s="198" t="s">
        <v>245</v>
      </c>
      <c r="D22" s="199" t="str">
        <f t="shared" ref="D22:G23" si="0">D14</f>
        <v>Year 2</v>
      </c>
      <c r="E22" s="198" t="str">
        <f t="shared" si="0"/>
        <v>Year 3</v>
      </c>
      <c r="F22" s="199" t="str">
        <f t="shared" si="0"/>
        <v>Year 4</v>
      </c>
      <c r="G22" s="198" t="str">
        <f t="shared" si="0"/>
        <v>Year 5</v>
      </c>
      <c r="H22" s="198" t="s">
        <v>138</v>
      </c>
    </row>
    <row r="23" spans="1:8" x14ac:dyDescent="0.25">
      <c r="A23" s="153"/>
      <c r="B23" s="198"/>
      <c r="C23" s="198">
        <f>C15</f>
        <v>2013</v>
      </c>
      <c r="D23" s="199">
        <f t="shared" si="0"/>
        <v>2015</v>
      </c>
      <c r="E23" s="198">
        <f t="shared" si="0"/>
        <v>2016</v>
      </c>
      <c r="F23" s="199">
        <f t="shared" si="0"/>
        <v>2017</v>
      </c>
      <c r="G23" s="198">
        <f t="shared" si="0"/>
        <v>2018</v>
      </c>
      <c r="H23" s="198"/>
    </row>
    <row r="24" spans="1:8" x14ac:dyDescent="0.25">
      <c r="A24" s="208" t="s">
        <v>337</v>
      </c>
      <c r="B24" s="209" t="s">
        <v>336</v>
      </c>
      <c r="C24" s="202"/>
      <c r="D24" s="201"/>
      <c r="E24" s="201"/>
      <c r="F24" s="201"/>
      <c r="G24" s="201">
        <v>2205988.11610077</v>
      </c>
      <c r="H24" s="210">
        <f t="shared" ref="H24:H42" si="1">SUM(D24:G24)</f>
        <v>2205988.11610077</v>
      </c>
    </row>
    <row r="25" spans="1:8" ht="14.45" x14ac:dyDescent="0.3">
      <c r="A25" s="208" t="s">
        <v>338</v>
      </c>
      <c r="B25" s="209" t="s">
        <v>336</v>
      </c>
      <c r="C25" s="202"/>
      <c r="D25" s="201"/>
      <c r="E25" s="201"/>
      <c r="F25" s="201"/>
      <c r="G25" s="201">
        <f>3663239.1347207+4784003.51588171</f>
        <v>8447242.6506024096</v>
      </c>
      <c r="H25" s="210">
        <f t="shared" si="1"/>
        <v>8447242.6506024096</v>
      </c>
    </row>
    <row r="26" spans="1:8" ht="14.45" x14ac:dyDescent="0.3">
      <c r="A26" s="208"/>
      <c r="B26" s="209"/>
      <c r="C26" s="202"/>
      <c r="D26" s="201"/>
      <c r="E26" s="201"/>
      <c r="F26" s="201"/>
      <c r="G26" s="201"/>
      <c r="H26" s="210">
        <f t="shared" si="1"/>
        <v>0</v>
      </c>
    </row>
    <row r="27" spans="1:8" ht="14.45" x14ac:dyDescent="0.3">
      <c r="A27" s="208"/>
      <c r="B27" s="209"/>
      <c r="C27" s="202"/>
      <c r="D27" s="201"/>
      <c r="E27" s="201"/>
      <c r="F27" s="201"/>
      <c r="G27" s="201"/>
      <c r="H27" s="210">
        <f t="shared" si="1"/>
        <v>0</v>
      </c>
    </row>
    <row r="28" spans="1:8" ht="14.45" hidden="1" x14ac:dyDescent="0.3">
      <c r="A28" s="208" t="str">
        <f>+'[3]Summary for Application'!C13</f>
        <v>Leaking Transformer Replacement Project - Padmount/Vault</v>
      </c>
      <c r="B28" s="209"/>
      <c r="C28" s="202"/>
      <c r="D28" s="201"/>
      <c r="E28" s="201"/>
      <c r="F28" s="201"/>
      <c r="G28" s="201"/>
      <c r="H28" s="210">
        <f t="shared" si="1"/>
        <v>0</v>
      </c>
    </row>
    <row r="29" spans="1:8" ht="14.45" x14ac:dyDescent="0.3">
      <c r="A29" s="208"/>
      <c r="B29" s="209"/>
      <c r="C29" s="202"/>
      <c r="D29" s="201"/>
      <c r="E29" s="201"/>
      <c r="F29" s="201"/>
      <c r="G29" s="201"/>
      <c r="H29" s="210">
        <f t="shared" si="1"/>
        <v>0</v>
      </c>
    </row>
    <row r="30" spans="1:8" ht="14.45" x14ac:dyDescent="0.3">
      <c r="A30" s="208"/>
      <c r="B30" s="209"/>
      <c r="C30" s="202"/>
      <c r="D30" s="201"/>
      <c r="E30" s="201"/>
      <c r="F30" s="201"/>
      <c r="G30" s="201"/>
      <c r="H30" s="210">
        <f t="shared" si="1"/>
        <v>0</v>
      </c>
    </row>
    <row r="31" spans="1:8" ht="14.45" x14ac:dyDescent="0.3">
      <c r="A31" s="208"/>
      <c r="B31" s="209"/>
      <c r="C31" s="202"/>
      <c r="D31" s="201"/>
      <c r="E31" s="201"/>
      <c r="F31" s="201"/>
      <c r="G31" s="201"/>
      <c r="H31" s="210">
        <f t="shared" si="1"/>
        <v>0</v>
      </c>
    </row>
    <row r="32" spans="1:8" ht="14.45" x14ac:dyDescent="0.3">
      <c r="A32" s="208"/>
      <c r="B32" s="209"/>
      <c r="C32" s="202"/>
      <c r="D32" s="201"/>
      <c r="E32" s="201"/>
      <c r="F32" s="201"/>
      <c r="G32" s="201"/>
      <c r="H32" s="210">
        <f t="shared" si="1"/>
        <v>0</v>
      </c>
    </row>
    <row r="33" spans="1:15" ht="14.45" x14ac:dyDescent="0.3">
      <c r="A33" s="208"/>
      <c r="B33" s="209"/>
      <c r="C33" s="202"/>
      <c r="D33" s="201"/>
      <c r="E33" s="201"/>
      <c r="F33" s="201"/>
      <c r="G33" s="201"/>
      <c r="H33" s="210">
        <f t="shared" si="1"/>
        <v>0</v>
      </c>
    </row>
    <row r="34" spans="1:15" ht="14.45" x14ac:dyDescent="0.3">
      <c r="A34" s="208"/>
      <c r="B34" s="209"/>
      <c r="C34" s="202"/>
      <c r="D34" s="201"/>
      <c r="E34" s="201"/>
      <c r="F34" s="201"/>
      <c r="G34" s="201"/>
      <c r="H34" s="210">
        <f t="shared" si="1"/>
        <v>0</v>
      </c>
    </row>
    <row r="35" spans="1:15" ht="14.45" x14ac:dyDescent="0.3">
      <c r="A35" s="208"/>
      <c r="B35" s="209"/>
      <c r="C35" s="202"/>
      <c r="D35" s="201"/>
      <c r="E35" s="201"/>
      <c r="F35" s="201"/>
      <c r="G35" s="201"/>
      <c r="H35" s="210">
        <f t="shared" si="1"/>
        <v>0</v>
      </c>
    </row>
    <row r="36" spans="1:15" ht="14.45" x14ac:dyDescent="0.3">
      <c r="A36" s="208"/>
      <c r="B36" s="209"/>
      <c r="C36" s="202"/>
      <c r="D36" s="201"/>
      <c r="E36" s="201"/>
      <c r="F36" s="201"/>
      <c r="G36" s="201"/>
      <c r="H36" s="210">
        <f t="shared" si="1"/>
        <v>0</v>
      </c>
    </row>
    <row r="37" spans="1:15" x14ac:dyDescent="0.25">
      <c r="A37" s="211"/>
      <c r="B37" s="209"/>
      <c r="C37" s="202"/>
      <c r="D37" s="201"/>
      <c r="E37" s="201"/>
      <c r="F37" s="201"/>
      <c r="G37" s="201"/>
      <c r="H37" s="210">
        <f t="shared" si="1"/>
        <v>0</v>
      </c>
    </row>
    <row r="38" spans="1:15" x14ac:dyDescent="0.25">
      <c r="A38" s="211"/>
      <c r="B38" s="209"/>
      <c r="C38" s="202"/>
      <c r="D38" s="201"/>
      <c r="E38" s="201"/>
      <c r="F38" s="201"/>
      <c r="G38" s="201"/>
      <c r="H38" s="210">
        <f t="shared" si="1"/>
        <v>0</v>
      </c>
    </row>
    <row r="39" spans="1:15" x14ac:dyDescent="0.25">
      <c r="A39" s="211"/>
      <c r="B39" s="209"/>
      <c r="C39" s="202"/>
      <c r="D39" s="201"/>
      <c r="E39" s="201"/>
      <c r="F39" s="201"/>
      <c r="G39" s="201"/>
      <c r="H39" s="210">
        <f t="shared" si="1"/>
        <v>0</v>
      </c>
    </row>
    <row r="40" spans="1:15" x14ac:dyDescent="0.25">
      <c r="A40" s="211"/>
      <c r="B40" s="209"/>
      <c r="C40" s="202"/>
      <c r="D40" s="201"/>
      <c r="E40" s="201"/>
      <c r="F40" s="201"/>
      <c r="G40" s="201"/>
      <c r="H40" s="210">
        <f t="shared" si="1"/>
        <v>0</v>
      </c>
    </row>
    <row r="41" spans="1:15" x14ac:dyDescent="0.25">
      <c r="A41" s="211"/>
      <c r="B41" s="209"/>
      <c r="C41" s="202"/>
      <c r="D41" s="201"/>
      <c r="E41" s="201"/>
      <c r="F41" s="201"/>
      <c r="G41" s="201"/>
      <c r="H41" s="210">
        <f t="shared" si="1"/>
        <v>0</v>
      </c>
    </row>
    <row r="42" spans="1:15" x14ac:dyDescent="0.25">
      <c r="A42" s="212"/>
      <c r="B42" s="209"/>
      <c r="C42" s="202"/>
      <c r="D42" s="201"/>
      <c r="E42" s="201"/>
      <c r="F42" s="201"/>
      <c r="G42" s="201"/>
      <c r="H42" s="210">
        <f t="shared" si="1"/>
        <v>0</v>
      </c>
    </row>
    <row r="44" spans="1:15" x14ac:dyDescent="0.25">
      <c r="A44" s="200" t="s">
        <v>255</v>
      </c>
      <c r="B44" s="200"/>
      <c r="C44" s="203">
        <v>0</v>
      </c>
      <c r="D44" s="203">
        <f>SUM(D24:D42)</f>
        <v>0</v>
      </c>
      <c r="E44" s="203">
        <f>SUM(E24:E42)</f>
        <v>0</v>
      </c>
      <c r="F44" s="203">
        <f>SUM(F24:F42)</f>
        <v>0</v>
      </c>
      <c r="G44" s="203">
        <f>SUM(G24:G42)</f>
        <v>10653230.766703179</v>
      </c>
      <c r="H44" s="210">
        <f>SUM(D44:G44)</f>
        <v>10653230.766703179</v>
      </c>
    </row>
    <row r="45" spans="1:15" x14ac:dyDescent="0.25">
      <c r="A45" s="200"/>
      <c r="B45" s="200"/>
      <c r="C45" s="213"/>
      <c r="D45" s="213"/>
      <c r="E45" s="213"/>
      <c r="F45" s="213"/>
      <c r="G45" s="213"/>
      <c r="H45" s="214"/>
    </row>
    <row r="46" spans="1:15" x14ac:dyDescent="0.25">
      <c r="A46" s="200" t="s">
        <v>256</v>
      </c>
      <c r="B46" s="200"/>
      <c r="C46" s="203"/>
      <c r="D46" s="203">
        <f>MIN(D44,D20)</f>
        <v>0</v>
      </c>
      <c r="E46" s="203">
        <f>MIN(E44,E20)</f>
        <v>0</v>
      </c>
      <c r="F46" s="203">
        <f>MIN(F44,F20)</f>
        <v>0</v>
      </c>
      <c r="G46" s="203">
        <f>MIN(G44,G20)</f>
        <v>10653230.766703179</v>
      </c>
      <c r="H46" s="203">
        <f>SUM(D46:G46)</f>
        <v>10653230.766703179</v>
      </c>
    </row>
    <row r="48" spans="1:15" x14ac:dyDescent="0.25">
      <c r="D48" s="361" t="s">
        <v>78</v>
      </c>
      <c r="E48" s="361"/>
      <c r="F48" s="361"/>
      <c r="G48" s="361"/>
      <c r="H48" s="361"/>
      <c r="I48" s="361"/>
      <c r="J48" s="361"/>
      <c r="K48" s="361"/>
      <c r="L48" s="361"/>
      <c r="M48" s="361"/>
      <c r="N48" s="361"/>
      <c r="O48" s="361"/>
    </row>
    <row r="49" spans="1:15" x14ac:dyDescent="0.25">
      <c r="C49" s="198" t="s">
        <v>245</v>
      </c>
      <c r="D49" s="362" t="s">
        <v>246</v>
      </c>
      <c r="E49" s="362"/>
      <c r="F49" s="362"/>
      <c r="G49" s="363" t="s">
        <v>247</v>
      </c>
      <c r="H49" s="363"/>
      <c r="I49" s="363"/>
      <c r="J49" s="362" t="s">
        <v>248</v>
      </c>
      <c r="K49" s="362"/>
      <c r="L49" s="362"/>
      <c r="M49" s="364" t="s">
        <v>249</v>
      </c>
      <c r="N49" s="364"/>
      <c r="O49" s="364"/>
    </row>
    <row r="50" spans="1:15" x14ac:dyDescent="0.25">
      <c r="C50" s="198">
        <f>C15</f>
        <v>2013</v>
      </c>
      <c r="D50" s="199"/>
      <c r="E50" s="199">
        <f>D15</f>
        <v>2015</v>
      </c>
      <c r="F50" s="199"/>
      <c r="G50" s="198"/>
      <c r="H50" s="198">
        <f>E15</f>
        <v>2016</v>
      </c>
      <c r="I50" s="198"/>
      <c r="J50" s="199"/>
      <c r="K50" s="199">
        <f>F15</f>
        <v>2017</v>
      </c>
      <c r="L50" s="199"/>
      <c r="M50" s="215"/>
      <c r="N50" s="215">
        <f>G15</f>
        <v>2018</v>
      </c>
      <c r="O50" s="215"/>
    </row>
    <row r="51" spans="1:15" ht="15" customHeight="1" x14ac:dyDescent="0.25">
      <c r="A51" s="200" t="s">
        <v>250</v>
      </c>
      <c r="B51" s="358"/>
      <c r="C51" s="216">
        <f>C16</f>
        <v>0</v>
      </c>
      <c r="D51" s="217">
        <f>D16</f>
        <v>0</v>
      </c>
      <c r="G51" s="217">
        <f>E16</f>
        <v>0</v>
      </c>
      <c r="J51" s="217">
        <f>F16</f>
        <v>0</v>
      </c>
      <c r="M51" s="217">
        <f>G16</f>
        <v>72682772</v>
      </c>
    </row>
    <row r="52" spans="1:15" x14ac:dyDescent="0.25">
      <c r="A52" s="200"/>
      <c r="B52" s="358"/>
    </row>
    <row r="53" spans="1:15" x14ac:dyDescent="0.25">
      <c r="A53" s="200" t="s">
        <v>251</v>
      </c>
      <c r="B53" s="358"/>
      <c r="C53" s="202"/>
      <c r="D53" s="217">
        <f>D18</f>
        <v>38461938.269766688</v>
      </c>
      <c r="G53" s="217">
        <f>E18</f>
        <v>38538358.664566398</v>
      </c>
      <c r="J53" s="217">
        <f>F18</f>
        <v>38615629.381732628</v>
      </c>
      <c r="M53" s="217">
        <f>G18</f>
        <v>38693759.882720381</v>
      </c>
    </row>
    <row r="54" spans="1:15" x14ac:dyDescent="0.25">
      <c r="A54" s="153"/>
      <c r="B54" s="358"/>
    </row>
    <row r="55" spans="1:15" ht="30" x14ac:dyDescent="0.25">
      <c r="A55" s="204" t="s">
        <v>252</v>
      </c>
      <c r="B55" s="200"/>
      <c r="C55" s="205">
        <v>0</v>
      </c>
      <c r="D55" s="217">
        <f>D20</f>
        <v>0</v>
      </c>
      <c r="G55" s="217">
        <f>E20</f>
        <v>0</v>
      </c>
      <c r="J55" s="217">
        <f>F20</f>
        <v>0</v>
      </c>
      <c r="M55" s="217">
        <f>G20</f>
        <v>33989012.117279619</v>
      </c>
    </row>
    <row r="56" spans="1:15" x14ac:dyDescent="0.25">
      <c r="A56" s="204"/>
      <c r="B56" s="200"/>
      <c r="C56" s="205"/>
      <c r="D56" s="218"/>
      <c r="G56" s="218"/>
      <c r="J56" s="218"/>
      <c r="M56" s="218"/>
    </row>
    <row r="57" spans="1:15" x14ac:dyDescent="0.25">
      <c r="A57" s="153"/>
      <c r="B57" s="153"/>
      <c r="C57" s="198" t="s">
        <v>245</v>
      </c>
      <c r="D57" s="359" t="s">
        <v>246</v>
      </c>
      <c r="E57" s="359"/>
      <c r="F57" s="359"/>
      <c r="G57" s="360" t="s">
        <v>247</v>
      </c>
      <c r="H57" s="360"/>
      <c r="I57" s="360"/>
      <c r="J57" s="359" t="s">
        <v>248</v>
      </c>
      <c r="K57" s="359"/>
      <c r="L57" s="359"/>
      <c r="M57" s="360" t="s">
        <v>249</v>
      </c>
      <c r="N57" s="360"/>
      <c r="O57" s="360"/>
    </row>
    <row r="58" spans="1:15" x14ac:dyDescent="0.25">
      <c r="A58" s="153"/>
      <c r="B58" s="153"/>
      <c r="C58" s="219">
        <f>C15</f>
        <v>2013</v>
      </c>
      <c r="D58" s="220"/>
      <c r="E58" s="220">
        <f>D15</f>
        <v>2015</v>
      </c>
      <c r="F58" s="220"/>
      <c r="G58" s="221"/>
      <c r="H58" s="221">
        <f>E15</f>
        <v>2016</v>
      </c>
      <c r="I58" s="221"/>
      <c r="J58" s="220"/>
      <c r="K58" s="220">
        <f>F15</f>
        <v>2017</v>
      </c>
      <c r="L58" s="220"/>
      <c r="M58" s="221"/>
      <c r="N58" s="221">
        <f>G15</f>
        <v>2018</v>
      </c>
      <c r="O58" s="221"/>
    </row>
    <row r="59" spans="1:15" x14ac:dyDescent="0.25">
      <c r="A59" s="153" t="s">
        <v>253</v>
      </c>
      <c r="B59" s="198" t="s">
        <v>254</v>
      </c>
      <c r="C59" s="198"/>
      <c r="D59" s="215" t="s">
        <v>257</v>
      </c>
      <c r="E59" s="198" t="s">
        <v>258</v>
      </c>
      <c r="F59" s="198" t="s">
        <v>259</v>
      </c>
      <c r="G59" s="215" t="s">
        <v>257</v>
      </c>
      <c r="H59" s="198" t="s">
        <v>258</v>
      </c>
      <c r="I59" s="198" t="s">
        <v>259</v>
      </c>
      <c r="J59" s="215" t="s">
        <v>257</v>
      </c>
      <c r="K59" s="198" t="s">
        <v>258</v>
      </c>
      <c r="L59" s="198" t="s">
        <v>259</v>
      </c>
      <c r="M59" s="215" t="s">
        <v>257</v>
      </c>
      <c r="N59" s="198" t="s">
        <v>258</v>
      </c>
      <c r="O59" s="198" t="s">
        <v>259</v>
      </c>
    </row>
    <row r="60" spans="1:15" x14ac:dyDescent="0.25">
      <c r="A60" s="222" t="str">
        <f t="shared" ref="A60:B78" si="2">IF(OR(A24="", A24=0), "", A24)</f>
        <v>York MS</v>
      </c>
      <c r="B60" s="222" t="str">
        <f t="shared" si="2"/>
        <v>New ICM</v>
      </c>
      <c r="C60" s="202"/>
      <c r="D60" s="223">
        <f t="shared" ref="D60:D78" si="3">IF(OR(D24="", D24=0), 0, D24)</f>
        <v>0</v>
      </c>
      <c r="E60" s="201"/>
      <c r="F60" s="201"/>
      <c r="G60" s="223">
        <f t="shared" ref="G60:G78" si="4">IF(OR(E24="", E24=0), 0, E24)</f>
        <v>0</v>
      </c>
      <c r="H60" s="201"/>
      <c r="I60" s="201"/>
      <c r="J60" s="223">
        <f t="shared" ref="J60:J78" si="5">IF(OR(F24="", F24=0), 0, F24)</f>
        <v>0</v>
      </c>
      <c r="K60" s="201"/>
      <c r="L60" s="201"/>
      <c r="M60" s="223">
        <f t="shared" ref="M60:M78" si="6">IF(OR(G24="", G24=0), 0, G24)</f>
        <v>2205988.11610077</v>
      </c>
      <c r="N60" s="201">
        <v>36766.468601679502</v>
      </c>
      <c r="O60" s="201">
        <v>132359.2869660462</v>
      </c>
    </row>
    <row r="61" spans="1:15" x14ac:dyDescent="0.25">
      <c r="A61" s="222" t="str">
        <f t="shared" si="2"/>
        <v>Transformer Replacement Project</v>
      </c>
      <c r="B61" s="222" t="str">
        <f t="shared" si="2"/>
        <v>New ICM</v>
      </c>
      <c r="C61" s="202"/>
      <c r="D61" s="223">
        <f t="shared" si="3"/>
        <v>0</v>
      </c>
      <c r="E61" s="201"/>
      <c r="F61" s="201"/>
      <c r="G61" s="223">
        <f t="shared" si="4"/>
        <v>0</v>
      </c>
      <c r="H61" s="201"/>
      <c r="I61" s="201"/>
      <c r="J61" s="223">
        <f t="shared" si="5"/>
        <v>0</v>
      </c>
      <c r="K61" s="201"/>
      <c r="L61" s="201"/>
      <c r="M61" s="223">
        <f t="shared" si="6"/>
        <v>8447242.6506024096</v>
      </c>
      <c r="N61" s="201">
        <f>84505.8545737805+139053.40499829</f>
        <v>223559.2595720705</v>
      </c>
      <c r="O61" s="201">
        <f>292987.344357849+382626.531866766</f>
        <v>675613.87622461491</v>
      </c>
    </row>
    <row r="62" spans="1:15" x14ac:dyDescent="0.25">
      <c r="A62" s="222" t="str">
        <f t="shared" si="2"/>
        <v/>
      </c>
      <c r="B62" s="222" t="str">
        <f t="shared" si="2"/>
        <v/>
      </c>
      <c r="C62" s="202"/>
      <c r="D62" s="223">
        <f t="shared" si="3"/>
        <v>0</v>
      </c>
      <c r="E62" s="201"/>
      <c r="F62" s="201"/>
      <c r="G62" s="223">
        <f t="shared" si="4"/>
        <v>0</v>
      </c>
      <c r="H62" s="201"/>
      <c r="I62" s="201"/>
      <c r="J62" s="223">
        <f t="shared" si="5"/>
        <v>0</v>
      </c>
      <c r="K62" s="201"/>
      <c r="L62" s="201"/>
      <c r="M62" s="223">
        <f t="shared" si="6"/>
        <v>0</v>
      </c>
      <c r="N62" s="201"/>
      <c r="O62" s="201"/>
    </row>
    <row r="63" spans="1:15" x14ac:dyDescent="0.25">
      <c r="A63" s="222" t="str">
        <f t="shared" si="2"/>
        <v/>
      </c>
      <c r="B63" s="222" t="str">
        <f t="shared" si="2"/>
        <v/>
      </c>
      <c r="C63" s="202"/>
      <c r="D63" s="223">
        <f t="shared" si="3"/>
        <v>0</v>
      </c>
      <c r="E63" s="201"/>
      <c r="F63" s="201"/>
      <c r="G63" s="223">
        <f t="shared" si="4"/>
        <v>0</v>
      </c>
      <c r="H63" s="201"/>
      <c r="I63" s="201"/>
      <c r="J63" s="223">
        <f t="shared" si="5"/>
        <v>0</v>
      </c>
      <c r="K63" s="201"/>
      <c r="L63" s="201"/>
      <c r="M63" s="223">
        <f t="shared" si="6"/>
        <v>0</v>
      </c>
      <c r="N63" s="201"/>
      <c r="O63" s="201"/>
    </row>
    <row r="64" spans="1:15" hidden="1" x14ac:dyDescent="0.25">
      <c r="A64" s="222"/>
      <c r="B64" s="222" t="str">
        <f t="shared" si="2"/>
        <v/>
      </c>
      <c r="C64" s="202"/>
      <c r="D64" s="223">
        <f t="shared" si="3"/>
        <v>0</v>
      </c>
      <c r="E64" s="201"/>
      <c r="F64" s="201"/>
      <c r="G64" s="223">
        <f t="shared" si="4"/>
        <v>0</v>
      </c>
      <c r="H64" s="201"/>
      <c r="I64" s="201"/>
      <c r="J64" s="223">
        <f t="shared" si="5"/>
        <v>0</v>
      </c>
      <c r="K64" s="201"/>
      <c r="L64" s="201"/>
      <c r="M64" s="223">
        <f t="shared" si="6"/>
        <v>0</v>
      </c>
      <c r="N64" s="201"/>
      <c r="O64" s="201"/>
    </row>
    <row r="65" spans="1:15" ht="14.45" x14ac:dyDescent="0.3">
      <c r="A65" s="222" t="str">
        <f t="shared" si="2"/>
        <v/>
      </c>
      <c r="B65" s="222"/>
      <c r="C65" s="202"/>
      <c r="D65" s="223">
        <f t="shared" si="3"/>
        <v>0</v>
      </c>
      <c r="E65" s="201"/>
      <c r="F65" s="201"/>
      <c r="G65" s="223">
        <f t="shared" si="4"/>
        <v>0</v>
      </c>
      <c r="H65" s="201"/>
      <c r="I65" s="201"/>
      <c r="J65" s="223">
        <f t="shared" si="5"/>
        <v>0</v>
      </c>
      <c r="K65" s="201"/>
      <c r="L65" s="201"/>
      <c r="M65" s="223">
        <f t="shared" si="6"/>
        <v>0</v>
      </c>
      <c r="N65" s="201"/>
      <c r="O65" s="201"/>
    </row>
    <row r="66" spans="1:15" ht="14.45" x14ac:dyDescent="0.3">
      <c r="A66" s="222" t="str">
        <f t="shared" si="2"/>
        <v/>
      </c>
      <c r="B66" s="222"/>
      <c r="C66" s="202"/>
      <c r="D66" s="223">
        <f t="shared" si="3"/>
        <v>0</v>
      </c>
      <c r="E66" s="201"/>
      <c r="F66" s="201"/>
      <c r="G66" s="223">
        <f t="shared" si="4"/>
        <v>0</v>
      </c>
      <c r="H66" s="201"/>
      <c r="I66" s="201"/>
      <c r="J66" s="223">
        <f t="shared" si="5"/>
        <v>0</v>
      </c>
      <c r="K66" s="201"/>
      <c r="L66" s="201"/>
      <c r="M66" s="223">
        <f t="shared" si="6"/>
        <v>0</v>
      </c>
      <c r="N66" s="201"/>
      <c r="O66" s="201"/>
    </row>
    <row r="67" spans="1:15" ht="14.45" x14ac:dyDescent="0.3">
      <c r="A67" s="222" t="str">
        <f t="shared" si="2"/>
        <v/>
      </c>
      <c r="B67" s="222"/>
      <c r="C67" s="202"/>
      <c r="D67" s="223">
        <f t="shared" si="3"/>
        <v>0</v>
      </c>
      <c r="E67" s="201"/>
      <c r="F67" s="201"/>
      <c r="G67" s="223">
        <f t="shared" si="4"/>
        <v>0</v>
      </c>
      <c r="H67" s="201"/>
      <c r="I67" s="201"/>
      <c r="J67" s="223">
        <f t="shared" si="5"/>
        <v>0</v>
      </c>
      <c r="K67" s="201"/>
      <c r="L67" s="201"/>
      <c r="M67" s="223">
        <f t="shared" si="6"/>
        <v>0</v>
      </c>
      <c r="N67" s="201"/>
      <c r="O67" s="201"/>
    </row>
    <row r="68" spans="1:15" ht="14.45" x14ac:dyDescent="0.3">
      <c r="A68" s="222" t="str">
        <f t="shared" si="2"/>
        <v/>
      </c>
      <c r="B68" s="222"/>
      <c r="C68" s="202"/>
      <c r="D68" s="223">
        <f t="shared" si="3"/>
        <v>0</v>
      </c>
      <c r="E68" s="201"/>
      <c r="F68" s="201"/>
      <c r="G68" s="223">
        <f t="shared" si="4"/>
        <v>0</v>
      </c>
      <c r="H68" s="201"/>
      <c r="I68" s="201"/>
      <c r="J68" s="223">
        <f t="shared" si="5"/>
        <v>0</v>
      </c>
      <c r="K68" s="201"/>
      <c r="L68" s="201"/>
      <c r="M68" s="223">
        <f t="shared" si="6"/>
        <v>0</v>
      </c>
      <c r="N68" s="201"/>
      <c r="O68" s="201"/>
    </row>
    <row r="69" spans="1:15" ht="14.45" x14ac:dyDescent="0.3">
      <c r="A69" s="222" t="str">
        <f t="shared" si="2"/>
        <v/>
      </c>
      <c r="B69" s="222"/>
      <c r="C69" s="202"/>
      <c r="D69" s="223">
        <f t="shared" si="3"/>
        <v>0</v>
      </c>
      <c r="E69" s="201"/>
      <c r="F69" s="201"/>
      <c r="G69" s="223">
        <f t="shared" si="4"/>
        <v>0</v>
      </c>
      <c r="H69" s="201"/>
      <c r="I69" s="201"/>
      <c r="J69" s="223">
        <f t="shared" si="5"/>
        <v>0</v>
      </c>
      <c r="K69" s="201"/>
      <c r="L69" s="201"/>
      <c r="M69" s="223">
        <f t="shared" si="6"/>
        <v>0</v>
      </c>
      <c r="N69" s="201"/>
      <c r="O69" s="201"/>
    </row>
    <row r="70" spans="1:15" ht="14.45" x14ac:dyDescent="0.3">
      <c r="A70" s="222" t="str">
        <f t="shared" si="2"/>
        <v/>
      </c>
      <c r="B70" s="222"/>
      <c r="C70" s="202"/>
      <c r="D70" s="223">
        <f t="shared" si="3"/>
        <v>0</v>
      </c>
      <c r="E70" s="201"/>
      <c r="F70" s="201"/>
      <c r="G70" s="223">
        <f t="shared" si="4"/>
        <v>0</v>
      </c>
      <c r="H70" s="201"/>
      <c r="I70" s="201"/>
      <c r="J70" s="223">
        <f t="shared" si="5"/>
        <v>0</v>
      </c>
      <c r="K70" s="201"/>
      <c r="L70" s="201"/>
      <c r="M70" s="223">
        <f t="shared" si="6"/>
        <v>0</v>
      </c>
      <c r="N70" s="201"/>
      <c r="O70" s="201"/>
    </row>
    <row r="71" spans="1:15" ht="14.45" x14ac:dyDescent="0.3">
      <c r="A71" s="222" t="str">
        <f t="shared" si="2"/>
        <v/>
      </c>
      <c r="B71" s="222"/>
      <c r="C71" s="202"/>
      <c r="D71" s="223">
        <f t="shared" si="3"/>
        <v>0</v>
      </c>
      <c r="E71" s="201"/>
      <c r="F71" s="201"/>
      <c r="G71" s="223">
        <f t="shared" si="4"/>
        <v>0</v>
      </c>
      <c r="H71" s="201"/>
      <c r="I71" s="201"/>
      <c r="J71" s="223">
        <f t="shared" si="5"/>
        <v>0</v>
      </c>
      <c r="K71" s="201"/>
      <c r="L71" s="201"/>
      <c r="M71" s="223">
        <f t="shared" si="6"/>
        <v>0</v>
      </c>
      <c r="N71" s="201"/>
      <c r="O71" s="201"/>
    </row>
    <row r="72" spans="1:15" x14ac:dyDescent="0.25">
      <c r="A72" s="222" t="str">
        <f t="shared" si="2"/>
        <v/>
      </c>
      <c r="B72" s="222" t="str">
        <f t="shared" si="2"/>
        <v/>
      </c>
      <c r="C72" s="202"/>
      <c r="D72" s="223">
        <f t="shared" si="3"/>
        <v>0</v>
      </c>
      <c r="E72" s="201"/>
      <c r="F72" s="201"/>
      <c r="G72" s="223">
        <f t="shared" si="4"/>
        <v>0</v>
      </c>
      <c r="H72" s="201"/>
      <c r="I72" s="201"/>
      <c r="J72" s="223">
        <f t="shared" si="5"/>
        <v>0</v>
      </c>
      <c r="K72" s="201"/>
      <c r="L72" s="201"/>
      <c r="M72" s="223">
        <f t="shared" si="6"/>
        <v>0</v>
      </c>
      <c r="N72" s="201"/>
      <c r="O72" s="201"/>
    </row>
    <row r="73" spans="1:15" x14ac:dyDescent="0.25">
      <c r="A73" s="222" t="str">
        <f t="shared" si="2"/>
        <v/>
      </c>
      <c r="B73" s="222" t="str">
        <f t="shared" si="2"/>
        <v/>
      </c>
      <c r="C73" s="202"/>
      <c r="D73" s="223">
        <f t="shared" si="3"/>
        <v>0</v>
      </c>
      <c r="E73" s="201"/>
      <c r="F73" s="201"/>
      <c r="G73" s="223">
        <f t="shared" si="4"/>
        <v>0</v>
      </c>
      <c r="H73" s="201"/>
      <c r="I73" s="201"/>
      <c r="J73" s="223">
        <f t="shared" si="5"/>
        <v>0</v>
      </c>
      <c r="K73" s="201"/>
      <c r="L73" s="201"/>
      <c r="M73" s="223">
        <f t="shared" si="6"/>
        <v>0</v>
      </c>
      <c r="N73" s="201"/>
      <c r="O73" s="201"/>
    </row>
    <row r="74" spans="1:15" x14ac:dyDescent="0.25">
      <c r="A74" s="222" t="str">
        <f t="shared" si="2"/>
        <v/>
      </c>
      <c r="B74" s="222" t="str">
        <f t="shared" si="2"/>
        <v/>
      </c>
      <c r="C74" s="202"/>
      <c r="D74" s="223">
        <f t="shared" si="3"/>
        <v>0</v>
      </c>
      <c r="E74" s="201"/>
      <c r="F74" s="201"/>
      <c r="G74" s="223">
        <f t="shared" si="4"/>
        <v>0</v>
      </c>
      <c r="H74" s="201"/>
      <c r="I74" s="201"/>
      <c r="J74" s="223">
        <f t="shared" si="5"/>
        <v>0</v>
      </c>
      <c r="K74" s="201"/>
      <c r="L74" s="201"/>
      <c r="M74" s="223">
        <f t="shared" si="6"/>
        <v>0</v>
      </c>
      <c r="N74" s="201"/>
      <c r="O74" s="201"/>
    </row>
    <row r="75" spans="1:15" x14ac:dyDescent="0.25">
      <c r="A75" s="222" t="str">
        <f t="shared" si="2"/>
        <v/>
      </c>
      <c r="B75" s="222" t="str">
        <f t="shared" si="2"/>
        <v/>
      </c>
      <c r="C75" s="202"/>
      <c r="D75" s="223">
        <f t="shared" si="3"/>
        <v>0</v>
      </c>
      <c r="E75" s="201"/>
      <c r="F75" s="201"/>
      <c r="G75" s="223">
        <f t="shared" si="4"/>
        <v>0</v>
      </c>
      <c r="H75" s="201"/>
      <c r="I75" s="201"/>
      <c r="J75" s="223">
        <f t="shared" si="5"/>
        <v>0</v>
      </c>
      <c r="K75" s="201"/>
      <c r="L75" s="201"/>
      <c r="M75" s="223">
        <f t="shared" si="6"/>
        <v>0</v>
      </c>
      <c r="N75" s="201"/>
      <c r="O75" s="201"/>
    </row>
    <row r="76" spans="1:15" x14ac:dyDescent="0.25">
      <c r="A76" s="222" t="str">
        <f t="shared" si="2"/>
        <v/>
      </c>
      <c r="B76" s="222" t="str">
        <f t="shared" si="2"/>
        <v/>
      </c>
      <c r="C76" s="202"/>
      <c r="D76" s="223">
        <f t="shared" si="3"/>
        <v>0</v>
      </c>
      <c r="E76" s="201"/>
      <c r="F76" s="201"/>
      <c r="G76" s="223">
        <f t="shared" si="4"/>
        <v>0</v>
      </c>
      <c r="H76" s="201"/>
      <c r="I76" s="201"/>
      <c r="J76" s="223">
        <f t="shared" si="5"/>
        <v>0</v>
      </c>
      <c r="K76" s="201"/>
      <c r="L76" s="201"/>
      <c r="M76" s="223">
        <f t="shared" si="6"/>
        <v>0</v>
      </c>
      <c r="N76" s="201"/>
      <c r="O76" s="201"/>
    </row>
    <row r="77" spans="1:15" x14ac:dyDescent="0.25">
      <c r="A77" s="222" t="str">
        <f t="shared" si="2"/>
        <v/>
      </c>
      <c r="B77" s="222" t="str">
        <f t="shared" si="2"/>
        <v/>
      </c>
      <c r="C77" s="202"/>
      <c r="D77" s="223">
        <f t="shared" si="3"/>
        <v>0</v>
      </c>
      <c r="E77" s="201"/>
      <c r="F77" s="201"/>
      <c r="G77" s="223">
        <f t="shared" si="4"/>
        <v>0</v>
      </c>
      <c r="H77" s="201"/>
      <c r="I77" s="201"/>
      <c r="J77" s="223">
        <f t="shared" si="5"/>
        <v>0</v>
      </c>
      <c r="K77" s="201"/>
      <c r="L77" s="201"/>
      <c r="M77" s="223">
        <f t="shared" si="6"/>
        <v>0</v>
      </c>
      <c r="N77" s="201"/>
      <c r="O77" s="201"/>
    </row>
    <row r="78" spans="1:15" x14ac:dyDescent="0.25">
      <c r="A78" s="222" t="str">
        <f t="shared" si="2"/>
        <v/>
      </c>
      <c r="B78" s="222" t="str">
        <f t="shared" si="2"/>
        <v/>
      </c>
      <c r="C78" s="202"/>
      <c r="D78" s="223">
        <f t="shared" si="3"/>
        <v>0</v>
      </c>
      <c r="E78" s="201"/>
      <c r="F78" s="201"/>
      <c r="G78" s="223">
        <f t="shared" si="4"/>
        <v>0</v>
      </c>
      <c r="H78" s="201"/>
      <c r="I78" s="201"/>
      <c r="J78" s="223">
        <f t="shared" si="5"/>
        <v>0</v>
      </c>
      <c r="K78" s="201"/>
      <c r="L78" s="201"/>
      <c r="M78" s="223">
        <f t="shared" si="6"/>
        <v>0</v>
      </c>
      <c r="N78" s="201"/>
      <c r="O78" s="201"/>
    </row>
    <row r="80" spans="1:15" x14ac:dyDescent="0.25">
      <c r="A80" s="200" t="s">
        <v>260</v>
      </c>
      <c r="B80" s="200"/>
      <c r="D80" s="203">
        <f>SUM(D60:D78)</f>
        <v>0</v>
      </c>
      <c r="E80" s="203">
        <f t="shared" ref="E80:O80" si="7">SUM(E60:E78)</f>
        <v>0</v>
      </c>
      <c r="F80" s="203">
        <f t="shared" si="7"/>
        <v>0</v>
      </c>
      <c r="G80" s="203">
        <f t="shared" si="7"/>
        <v>0</v>
      </c>
      <c r="H80" s="203">
        <f t="shared" si="7"/>
        <v>0</v>
      </c>
      <c r="I80" s="203">
        <f t="shared" si="7"/>
        <v>0</v>
      </c>
      <c r="J80" s="203">
        <f t="shared" si="7"/>
        <v>0</v>
      </c>
      <c r="K80" s="203">
        <f t="shared" si="7"/>
        <v>0</v>
      </c>
      <c r="L80" s="203">
        <f t="shared" si="7"/>
        <v>0</v>
      </c>
      <c r="M80" s="203">
        <f t="shared" si="7"/>
        <v>10653230.766703179</v>
      </c>
      <c r="N80" s="203">
        <f t="shared" si="7"/>
        <v>260325.72817374999</v>
      </c>
      <c r="O80" s="203">
        <f t="shared" si="7"/>
        <v>807973.16319066111</v>
      </c>
    </row>
  </sheetData>
  <mergeCells count="11">
    <mergeCell ref="D13:G13"/>
    <mergeCell ref="D48:O48"/>
    <mergeCell ref="D49:F49"/>
    <mergeCell ref="G49:I49"/>
    <mergeCell ref="J49:L49"/>
    <mergeCell ref="M49:O49"/>
    <mergeCell ref="B51:B54"/>
    <mergeCell ref="D57:F57"/>
    <mergeCell ref="G57:I57"/>
    <mergeCell ref="J57:L57"/>
    <mergeCell ref="M57:O57"/>
  </mergeCells>
  <dataValidations count="1">
    <dataValidation type="list" allowBlank="1" showInputMessage="1" showErrorMessage="1" sqref="B24:B42">
      <formula1>"Approved ACM, New ICM"</formula1>
    </dataValidation>
  </dataValidations>
  <pageMargins left="0.70866141732283472" right="0.70866141732283472" top="0.74803149606299213" bottom="0.74803149606299213" header="0.31496062992125984" footer="0.31496062992125984"/>
  <pageSetup scale="38"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86"/>
  <sheetViews>
    <sheetView showGridLines="0" workbookViewId="0">
      <selection activeCell="E83" sqref="E83"/>
    </sheetView>
  </sheetViews>
  <sheetFormatPr defaultRowHeight="15" x14ac:dyDescent="0.25"/>
  <cols>
    <col min="2" max="2" width="55" customWidth="1"/>
    <col min="3" max="3" width="11.28515625" style="76" customWidth="1"/>
    <col min="4" max="4" width="4.5703125" bestFit="1" customWidth="1"/>
    <col min="5" max="5" width="28.140625" customWidth="1"/>
    <col min="6" max="6" width="26.140625" bestFit="1" customWidth="1"/>
  </cols>
  <sheetData>
    <row r="6" spans="2:6" ht="26.25" x14ac:dyDescent="0.4">
      <c r="B6" s="224"/>
      <c r="C6" s="47"/>
      <c r="D6" s="35"/>
      <c r="E6" s="35"/>
      <c r="F6" s="35"/>
    </row>
    <row r="7" spans="2:6" x14ac:dyDescent="0.25">
      <c r="B7" s="35"/>
      <c r="C7" s="47"/>
      <c r="D7" s="35"/>
      <c r="E7" s="35"/>
      <c r="F7" s="35"/>
    </row>
    <row r="8" spans="2:6" x14ac:dyDescent="0.25">
      <c r="B8" s="35"/>
      <c r="C8" s="47"/>
      <c r="D8" s="35"/>
      <c r="E8" s="35"/>
      <c r="F8" s="35"/>
    </row>
    <row r="9" spans="2:6" x14ac:dyDescent="0.25">
      <c r="B9" s="35"/>
      <c r="C9" s="47"/>
      <c r="D9" s="35"/>
      <c r="E9" s="35"/>
      <c r="F9" s="35"/>
    </row>
    <row r="10" spans="2:6" x14ac:dyDescent="0.25">
      <c r="B10" s="35"/>
      <c r="C10" s="47"/>
      <c r="D10" s="35"/>
      <c r="E10" s="35"/>
      <c r="F10" s="35"/>
    </row>
    <row r="11" spans="2:6" x14ac:dyDescent="0.25">
      <c r="B11" s="35"/>
      <c r="C11" s="47"/>
      <c r="D11" s="35"/>
      <c r="E11" s="35"/>
      <c r="F11" s="35"/>
    </row>
    <row r="12" spans="2:6" ht="18" x14ac:dyDescent="0.25">
      <c r="B12" s="225" t="s">
        <v>261</v>
      </c>
      <c r="C12" s="47"/>
      <c r="D12" s="35"/>
      <c r="E12" s="35"/>
      <c r="F12" s="226"/>
    </row>
    <row r="13" spans="2:6" x14ac:dyDescent="0.25">
      <c r="B13" s="227"/>
      <c r="C13" s="227"/>
      <c r="D13" s="227"/>
      <c r="E13" s="227"/>
    </row>
    <row r="14" spans="2:6" x14ac:dyDescent="0.25">
      <c r="C14"/>
    </row>
    <row r="15" spans="2:6" ht="15.75" thickBot="1" x14ac:dyDescent="0.3">
      <c r="B15" s="35"/>
      <c r="C15" s="47"/>
      <c r="D15" s="35"/>
      <c r="E15" s="35"/>
      <c r="F15" s="35"/>
    </row>
    <row r="16" spans="2:6" ht="18.75" thickBot="1" x14ac:dyDescent="0.3">
      <c r="B16" s="228" t="s">
        <v>262</v>
      </c>
      <c r="C16" s="47"/>
      <c r="D16" s="35"/>
      <c r="E16" s="226"/>
      <c r="F16" s="35"/>
    </row>
    <row r="17" spans="2:6" ht="15.75" x14ac:dyDescent="0.25">
      <c r="B17" s="229"/>
      <c r="C17" s="230"/>
      <c r="D17" s="231"/>
      <c r="E17" s="232"/>
      <c r="F17" s="233"/>
    </row>
    <row r="18" spans="2:6" ht="16.5" thickBot="1" x14ac:dyDescent="0.3">
      <c r="B18" s="234" t="s">
        <v>263</v>
      </c>
      <c r="C18" s="235"/>
      <c r="D18" s="236"/>
      <c r="E18" s="237">
        <f>'6. Rev_Requ_Check'!E62</f>
        <v>117989981.74618895</v>
      </c>
      <c r="F18" s="233" t="s">
        <v>124</v>
      </c>
    </row>
    <row r="19" spans="2:6" ht="16.5" thickBot="1" x14ac:dyDescent="0.3">
      <c r="B19" s="238"/>
      <c r="C19" s="239"/>
      <c r="D19" s="240"/>
      <c r="E19" s="241"/>
      <c r="F19" s="233"/>
    </row>
    <row r="20" spans="2:6" ht="16.5" thickBot="1" x14ac:dyDescent="0.3">
      <c r="B20" s="35"/>
      <c r="C20" s="242"/>
      <c r="D20" s="243"/>
      <c r="E20" s="14"/>
      <c r="F20" s="233"/>
    </row>
    <row r="21" spans="2:6" ht="18.75" thickBot="1" x14ac:dyDescent="0.3">
      <c r="B21" s="228" t="s">
        <v>165</v>
      </c>
      <c r="C21" s="242"/>
      <c r="D21" s="243"/>
      <c r="E21" s="14"/>
      <c r="F21" s="233"/>
    </row>
    <row r="22" spans="2:6" ht="15.75" x14ac:dyDescent="0.25">
      <c r="B22" s="234" t="s">
        <v>264</v>
      </c>
      <c r="C22" s="244"/>
      <c r="D22" s="245"/>
      <c r="E22" s="246">
        <f>'10b. Proposed ACM ICM Projects'!M80</f>
        <v>10653230.766703179</v>
      </c>
      <c r="F22" s="233" t="s">
        <v>125</v>
      </c>
    </row>
    <row r="23" spans="2:6" ht="15.75" x14ac:dyDescent="0.25">
      <c r="B23" s="234" t="s">
        <v>17</v>
      </c>
      <c r="C23" s="242"/>
      <c r="D23" s="247"/>
      <c r="E23" s="248">
        <f>'10b. Proposed ACM ICM Projects'!N80</f>
        <v>260325.72817374999</v>
      </c>
      <c r="F23" s="233" t="s">
        <v>126</v>
      </c>
    </row>
    <row r="24" spans="2:6" ht="16.5" thickBot="1" x14ac:dyDescent="0.3">
      <c r="B24" s="234" t="s">
        <v>265</v>
      </c>
      <c r="C24" s="235"/>
      <c r="D24" s="247"/>
      <c r="E24" s="237">
        <f>E22-E23</f>
        <v>10392905.03852943</v>
      </c>
      <c r="F24" s="233" t="s">
        <v>266</v>
      </c>
    </row>
    <row r="25" spans="2:6" ht="15.75" x14ac:dyDescent="0.25">
      <c r="B25" s="234"/>
      <c r="C25" s="235"/>
      <c r="D25" s="247"/>
      <c r="E25" s="248"/>
      <c r="F25" s="233"/>
    </row>
    <row r="26" spans="2:6" ht="15.75" x14ac:dyDescent="0.25">
      <c r="B26" s="234" t="s">
        <v>166</v>
      </c>
      <c r="C26" s="249">
        <f>'[1]6. Rev_Requ_Check'!C36</f>
        <v>0.04</v>
      </c>
      <c r="D26" s="247" t="s">
        <v>128</v>
      </c>
      <c r="E26" s="248">
        <f>E24*C26</f>
        <v>415716.20154117717</v>
      </c>
      <c r="F26" s="233" t="s">
        <v>267</v>
      </c>
    </row>
    <row r="27" spans="2:6" ht="15.75" x14ac:dyDescent="0.25">
      <c r="B27" s="234" t="s">
        <v>169</v>
      </c>
      <c r="C27" s="249">
        <f>'[1]6. Rev_Requ_Check'!C37</f>
        <v>0.56000000000000005</v>
      </c>
      <c r="D27" s="247" t="s">
        <v>129</v>
      </c>
      <c r="E27" s="248">
        <f>E24*C27</f>
        <v>5820026.8215764808</v>
      </c>
      <c r="F27" s="233" t="s">
        <v>268</v>
      </c>
    </row>
    <row r="28" spans="2:6" ht="15.75" x14ac:dyDescent="0.25">
      <c r="B28" s="234"/>
      <c r="C28" s="250"/>
      <c r="D28" s="247"/>
      <c r="E28" s="248"/>
      <c r="F28" s="233"/>
    </row>
    <row r="29" spans="2:6" ht="15.75" x14ac:dyDescent="0.25">
      <c r="B29" s="234" t="s">
        <v>175</v>
      </c>
      <c r="C29" s="251">
        <f>'[1]6. Rev_Requ_Check'!C40</f>
        <v>2.0799999999999999E-2</v>
      </c>
      <c r="D29" s="247" t="s">
        <v>150</v>
      </c>
      <c r="E29" s="248">
        <f>E26*C29</f>
        <v>8646.896992056485</v>
      </c>
      <c r="F29" s="233" t="s">
        <v>269</v>
      </c>
    </row>
    <row r="30" spans="2:6" ht="15.75" x14ac:dyDescent="0.25">
      <c r="B30" s="234" t="s">
        <v>178</v>
      </c>
      <c r="C30" s="251">
        <f>'[1]6. Rev_Requ_Check'!C41</f>
        <v>5.0900000000000001E-2</v>
      </c>
      <c r="D30" s="247" t="s">
        <v>152</v>
      </c>
      <c r="E30" s="248">
        <f>E27*C30</f>
        <v>296239.36521824286</v>
      </c>
      <c r="F30" s="233" t="s">
        <v>270</v>
      </c>
    </row>
    <row r="31" spans="2:6" ht="15.75" x14ac:dyDescent="0.25">
      <c r="B31" s="234"/>
      <c r="C31" s="235"/>
      <c r="D31" s="247"/>
      <c r="E31" s="248"/>
      <c r="F31" s="233"/>
    </row>
    <row r="32" spans="2:6" ht="16.5" thickBot="1" x14ac:dyDescent="0.3">
      <c r="B32" s="234" t="s">
        <v>271</v>
      </c>
      <c r="C32" s="235"/>
      <c r="D32" s="247"/>
      <c r="E32" s="237">
        <f>SUM(E29:E30)</f>
        <v>304886.26221029938</v>
      </c>
      <c r="F32" s="233" t="s">
        <v>272</v>
      </c>
    </row>
    <row r="33" spans="2:6" ht="15.75" x14ac:dyDescent="0.25">
      <c r="B33" s="234"/>
      <c r="C33" s="235"/>
      <c r="D33" s="247"/>
      <c r="E33" s="248"/>
      <c r="F33" s="233"/>
    </row>
    <row r="34" spans="2:6" ht="15.75" x14ac:dyDescent="0.25">
      <c r="B34" s="234"/>
      <c r="C34" s="235"/>
      <c r="D34" s="247"/>
      <c r="E34" s="248"/>
      <c r="F34" s="233"/>
    </row>
    <row r="35" spans="2:6" ht="15.75" x14ac:dyDescent="0.25">
      <c r="B35" s="234" t="s">
        <v>172</v>
      </c>
      <c r="C35" s="251">
        <f>'[1]6. Rev_Requ_Check'!C38</f>
        <v>0.39999999999999991</v>
      </c>
      <c r="D35" s="247" t="s">
        <v>273</v>
      </c>
      <c r="E35" s="248">
        <f>E24*C35</f>
        <v>4157162.0154117709</v>
      </c>
      <c r="F35" s="233" t="s">
        <v>274</v>
      </c>
    </row>
    <row r="36" spans="2:6" ht="15.75" x14ac:dyDescent="0.25">
      <c r="B36" s="234"/>
      <c r="C36" s="235"/>
      <c r="D36" s="247"/>
      <c r="E36" s="248"/>
      <c r="F36" s="233"/>
    </row>
    <row r="37" spans="2:6" ht="15.75" x14ac:dyDescent="0.25">
      <c r="B37" s="234" t="s">
        <v>275</v>
      </c>
      <c r="C37" s="251">
        <f>'[1]6. Rev_Requ_Check'!C42</f>
        <v>8.9300000000000004E-2</v>
      </c>
      <c r="D37" s="247" t="s">
        <v>276</v>
      </c>
      <c r="E37" s="248">
        <f>E35*C37</f>
        <v>371234.56797627115</v>
      </c>
      <c r="F37" s="233" t="s">
        <v>277</v>
      </c>
    </row>
    <row r="38" spans="2:6" ht="15.75" x14ac:dyDescent="0.25">
      <c r="B38" s="234"/>
      <c r="C38" s="235"/>
      <c r="D38" s="236"/>
      <c r="E38" s="248"/>
      <c r="F38" s="233"/>
    </row>
    <row r="39" spans="2:6" ht="16.5" thickBot="1" x14ac:dyDescent="0.3">
      <c r="B39" s="234" t="s">
        <v>278</v>
      </c>
      <c r="C39" s="242"/>
      <c r="D39" s="236"/>
      <c r="E39" s="237">
        <f>E32+E37</f>
        <v>676120.83018657053</v>
      </c>
      <c r="F39" s="233" t="s">
        <v>279</v>
      </c>
    </row>
    <row r="40" spans="2:6" ht="16.5" thickBot="1" x14ac:dyDescent="0.3">
      <c r="B40" s="252"/>
      <c r="C40" s="239"/>
      <c r="D40" s="240"/>
      <c r="E40" s="241"/>
      <c r="F40" s="233"/>
    </row>
    <row r="41" spans="2:6" ht="15.75" x14ac:dyDescent="0.25">
      <c r="B41" s="35"/>
      <c r="C41" s="242"/>
      <c r="D41" s="243"/>
      <c r="E41" s="14"/>
      <c r="F41" s="233"/>
    </row>
    <row r="42" spans="2:6" ht="16.5" thickBot="1" x14ac:dyDescent="0.3">
      <c r="B42" s="35"/>
      <c r="C42" s="47"/>
      <c r="D42" s="35"/>
      <c r="E42" s="253"/>
      <c r="F42" s="233"/>
    </row>
    <row r="43" spans="2:6" ht="18.75" thickBot="1" x14ac:dyDescent="0.3">
      <c r="B43" s="254" t="s">
        <v>258</v>
      </c>
      <c r="C43" s="230"/>
      <c r="D43" s="231"/>
      <c r="E43" s="232"/>
      <c r="F43" s="233"/>
    </row>
    <row r="44" spans="2:6" ht="18" x14ac:dyDescent="0.25">
      <c r="B44" s="255"/>
      <c r="C44" s="256"/>
      <c r="D44" s="257"/>
      <c r="E44" s="258"/>
      <c r="F44" s="233"/>
    </row>
    <row r="45" spans="2:6" ht="15.75" x14ac:dyDescent="0.25">
      <c r="B45" s="234" t="s">
        <v>280</v>
      </c>
      <c r="C45" s="256"/>
      <c r="D45" s="233" t="s">
        <v>126</v>
      </c>
      <c r="E45" s="248">
        <f>E23</f>
        <v>260325.72817374999</v>
      </c>
      <c r="F45" s="233" t="s">
        <v>281</v>
      </c>
    </row>
    <row r="46" spans="2:6" ht="16.5" thickBot="1" x14ac:dyDescent="0.3">
      <c r="B46" s="238"/>
      <c r="C46" s="259"/>
      <c r="D46" s="260"/>
      <c r="E46" s="241"/>
      <c r="F46" s="233"/>
    </row>
    <row r="47" spans="2:6" ht="16.5" thickBot="1" x14ac:dyDescent="0.3">
      <c r="B47" s="35"/>
      <c r="C47" s="47"/>
      <c r="D47" s="35"/>
      <c r="E47" s="14"/>
      <c r="F47" s="233"/>
    </row>
    <row r="48" spans="2:6" ht="18.75" thickBot="1" x14ac:dyDescent="0.3">
      <c r="B48" s="228" t="s">
        <v>282</v>
      </c>
      <c r="C48" s="230"/>
      <c r="D48" s="231"/>
      <c r="E48" s="246"/>
      <c r="F48" s="233"/>
    </row>
    <row r="49" spans="2:6" ht="18" x14ac:dyDescent="0.25">
      <c r="B49" s="261"/>
      <c r="C49" s="256"/>
      <c r="D49" s="257"/>
      <c r="E49" s="248"/>
      <c r="F49" s="233"/>
    </row>
    <row r="50" spans="2:6" ht="15.75" x14ac:dyDescent="0.25">
      <c r="B50" s="234" t="s">
        <v>283</v>
      </c>
      <c r="C50" s="256"/>
      <c r="D50" s="233" t="s">
        <v>276</v>
      </c>
      <c r="E50" s="248">
        <f>E37</f>
        <v>371234.56797627115</v>
      </c>
      <c r="F50" s="233" t="s">
        <v>284</v>
      </c>
    </row>
    <row r="51" spans="2:6" ht="15.75" x14ac:dyDescent="0.25">
      <c r="B51" s="234"/>
      <c r="C51" s="256"/>
      <c r="D51" s="257"/>
      <c r="E51" s="248"/>
      <c r="F51" s="233"/>
    </row>
    <row r="52" spans="2:6" ht="15.75" x14ac:dyDescent="0.25">
      <c r="B52" s="234" t="s">
        <v>285</v>
      </c>
      <c r="C52" s="256"/>
      <c r="D52" s="233" t="s">
        <v>281</v>
      </c>
      <c r="E52" s="248">
        <f>E45</f>
        <v>260325.72817374999</v>
      </c>
      <c r="F52" s="233" t="s">
        <v>170</v>
      </c>
    </row>
    <row r="53" spans="2:6" ht="15.75" x14ac:dyDescent="0.25">
      <c r="B53" s="234"/>
      <c r="C53" s="256"/>
      <c r="D53" s="257"/>
      <c r="E53" s="248"/>
      <c r="F53" s="233"/>
    </row>
    <row r="54" spans="2:6" ht="15.75" x14ac:dyDescent="0.25">
      <c r="B54" s="234" t="s">
        <v>286</v>
      </c>
      <c r="C54" s="256"/>
      <c r="D54" s="262"/>
      <c r="E54" s="248">
        <f>'10b. Proposed ACM ICM Projects'!O80</f>
        <v>807973.16319066111</v>
      </c>
      <c r="F54" s="233" t="s">
        <v>173</v>
      </c>
    </row>
    <row r="55" spans="2:6" ht="15.75" x14ac:dyDescent="0.25">
      <c r="B55" s="234"/>
      <c r="C55" s="256"/>
      <c r="D55" s="262"/>
      <c r="E55" s="248"/>
      <c r="F55" s="233"/>
    </row>
    <row r="56" spans="2:6" ht="16.5" thickBot="1" x14ac:dyDescent="0.3">
      <c r="B56" s="234" t="s">
        <v>287</v>
      </c>
      <c r="C56" s="256"/>
      <c r="D56" s="262"/>
      <c r="E56" s="237">
        <f>E50+E52-E54</f>
        <v>-176412.86704063998</v>
      </c>
      <c r="F56" s="233" t="s">
        <v>288</v>
      </c>
    </row>
    <row r="57" spans="2:6" ht="15.75" x14ac:dyDescent="0.25">
      <c r="B57" s="234"/>
      <c r="C57" s="256"/>
      <c r="D57" s="262"/>
      <c r="E57" s="258"/>
      <c r="F57" s="233"/>
    </row>
    <row r="58" spans="2:6" ht="15.75" x14ac:dyDescent="0.25">
      <c r="B58" s="234" t="s">
        <v>289</v>
      </c>
      <c r="C58" s="263">
        <v>0.26500000000000001</v>
      </c>
      <c r="D58" s="262" t="s">
        <v>290</v>
      </c>
      <c r="E58" s="258"/>
      <c r="F58" s="233"/>
    </row>
    <row r="59" spans="2:6" ht="15.75" x14ac:dyDescent="0.25">
      <c r="B59" s="234"/>
      <c r="C59" s="256"/>
      <c r="D59" s="257"/>
      <c r="E59" s="258"/>
      <c r="F59" s="233"/>
    </row>
    <row r="60" spans="2:6" ht="15.75" x14ac:dyDescent="0.25">
      <c r="B60" s="234" t="s">
        <v>291</v>
      </c>
      <c r="C60" s="256"/>
      <c r="D60" s="257"/>
      <c r="E60" s="248">
        <f>E56*C58</f>
        <v>-46749.409765769597</v>
      </c>
      <c r="F60" s="233" t="s">
        <v>292</v>
      </c>
    </row>
    <row r="61" spans="2:6" ht="15.75" x14ac:dyDescent="0.25">
      <c r="B61" s="234"/>
      <c r="C61" s="256"/>
      <c r="D61" s="257"/>
      <c r="E61" s="248"/>
      <c r="F61" s="233"/>
    </row>
    <row r="62" spans="2:6" ht="15.75" x14ac:dyDescent="0.25">
      <c r="B62" s="234" t="s">
        <v>293</v>
      </c>
      <c r="C62" s="256"/>
      <c r="D62" s="257"/>
      <c r="E62" s="248">
        <f>E60/(1-C58)</f>
        <v>-63604.639137101491</v>
      </c>
      <c r="F62" s="233" t="s">
        <v>294</v>
      </c>
    </row>
    <row r="63" spans="2:6" ht="16.5" thickBot="1" x14ac:dyDescent="0.3">
      <c r="B63" s="252"/>
      <c r="C63" s="259"/>
      <c r="D63" s="260"/>
      <c r="E63" s="264"/>
      <c r="F63" s="233"/>
    </row>
    <row r="64" spans="2:6" ht="15.75" hidden="1" x14ac:dyDescent="0.25">
      <c r="B64" s="35"/>
      <c r="C64" s="47"/>
      <c r="D64" s="35"/>
      <c r="E64" s="253"/>
      <c r="F64" s="233"/>
    </row>
    <row r="65" spans="2:6" ht="18" hidden="1" x14ac:dyDescent="0.25">
      <c r="B65" s="228" t="s">
        <v>190</v>
      </c>
      <c r="C65" s="47"/>
      <c r="D65" s="35"/>
      <c r="E65" s="253"/>
      <c r="F65" s="233"/>
    </row>
    <row r="66" spans="2:6" ht="15.75" hidden="1" x14ac:dyDescent="0.25">
      <c r="B66" s="234" t="s">
        <v>295</v>
      </c>
      <c r="C66" s="230"/>
      <c r="D66" s="231"/>
      <c r="E66" s="246"/>
      <c r="F66" s="233" t="s">
        <v>179</v>
      </c>
    </row>
    <row r="67" spans="2:6" ht="15.75" hidden="1" x14ac:dyDescent="0.25">
      <c r="B67" s="234"/>
      <c r="C67" s="256"/>
      <c r="D67" s="257"/>
      <c r="E67" s="258"/>
      <c r="F67" s="233"/>
    </row>
    <row r="68" spans="2:6" ht="15.75" hidden="1" x14ac:dyDescent="0.25">
      <c r="B68" s="234" t="s">
        <v>296</v>
      </c>
      <c r="C68" s="256"/>
      <c r="D68" s="257"/>
      <c r="E68" s="265"/>
      <c r="F68" s="233" t="s">
        <v>182</v>
      </c>
    </row>
    <row r="69" spans="2:6" ht="15.75" hidden="1" x14ac:dyDescent="0.25">
      <c r="B69" s="234"/>
      <c r="C69" s="256"/>
      <c r="D69" s="257"/>
      <c r="E69" s="258"/>
      <c r="F69" s="233"/>
    </row>
    <row r="70" spans="2:6" ht="15.75" hidden="1" x14ac:dyDescent="0.25">
      <c r="B70" s="234" t="s">
        <v>297</v>
      </c>
      <c r="C70" s="256"/>
      <c r="D70" s="257"/>
      <c r="E70" s="266"/>
      <c r="F70" s="233" t="s">
        <v>298</v>
      </c>
    </row>
    <row r="71" spans="2:6" ht="15.75" hidden="1" x14ac:dyDescent="0.25">
      <c r="B71" s="234"/>
      <c r="C71" s="256"/>
      <c r="D71" s="257"/>
      <c r="E71" s="258"/>
      <c r="F71" s="233"/>
    </row>
    <row r="72" spans="2:6" ht="15.75" hidden="1" x14ac:dyDescent="0.25">
      <c r="B72" s="234" t="s">
        <v>299</v>
      </c>
      <c r="C72" s="263"/>
      <c r="D72" s="233" t="s">
        <v>300</v>
      </c>
      <c r="E72" s="258"/>
      <c r="F72" s="233"/>
    </row>
    <row r="73" spans="2:6" ht="15.75" hidden="1" x14ac:dyDescent="0.25">
      <c r="B73" s="267"/>
      <c r="C73" s="256"/>
      <c r="D73" s="257"/>
      <c r="E73" s="258"/>
      <c r="F73" s="233"/>
    </row>
    <row r="74" spans="2:6" ht="16.5" hidden="1" thickBot="1" x14ac:dyDescent="0.3">
      <c r="B74" s="234" t="s">
        <v>301</v>
      </c>
      <c r="C74" s="256"/>
      <c r="D74" s="257"/>
      <c r="E74" s="237"/>
      <c r="F74" s="233" t="s">
        <v>302</v>
      </c>
    </row>
    <row r="75" spans="2:6" ht="16.5" hidden="1" thickBot="1" x14ac:dyDescent="0.3">
      <c r="B75" s="252"/>
      <c r="C75" s="259"/>
      <c r="D75" s="260"/>
      <c r="E75" s="264"/>
      <c r="F75" s="233"/>
    </row>
    <row r="76" spans="2:6" ht="16.5" thickBot="1" x14ac:dyDescent="0.3">
      <c r="B76" s="35"/>
      <c r="C76" s="47"/>
      <c r="D76" s="35"/>
      <c r="E76" s="253"/>
      <c r="F76" s="233"/>
    </row>
    <row r="77" spans="2:6" ht="18.75" thickBot="1" x14ac:dyDescent="0.3">
      <c r="B77" s="228" t="s">
        <v>303</v>
      </c>
      <c r="C77" s="47"/>
      <c r="D77" s="35"/>
      <c r="E77" s="253"/>
      <c r="F77" s="233"/>
    </row>
    <row r="78" spans="2:6" ht="15.75" x14ac:dyDescent="0.25">
      <c r="B78" s="268" t="s">
        <v>278</v>
      </c>
      <c r="C78" s="230"/>
      <c r="D78" s="269" t="s">
        <v>162</v>
      </c>
      <c r="E78" s="270">
        <f>E39</f>
        <v>676120.83018657053</v>
      </c>
      <c r="F78" s="233" t="s">
        <v>179</v>
      </c>
    </row>
    <row r="79" spans="2:6" ht="15.75" x14ac:dyDescent="0.25">
      <c r="B79" s="234" t="s">
        <v>304</v>
      </c>
      <c r="C79" s="256"/>
      <c r="D79" s="262" t="s">
        <v>281</v>
      </c>
      <c r="E79" s="271">
        <f>E45</f>
        <v>260325.72817374999</v>
      </c>
      <c r="F79" s="233" t="s">
        <v>182</v>
      </c>
    </row>
    <row r="80" spans="2:6" ht="15.75" x14ac:dyDescent="0.25">
      <c r="B80" s="234" t="s">
        <v>293</v>
      </c>
      <c r="C80" s="256"/>
      <c r="D80" s="262" t="s">
        <v>176</v>
      </c>
      <c r="E80" s="271">
        <f>E62</f>
        <v>-63604.639137101491</v>
      </c>
      <c r="F80" s="233" t="s">
        <v>305</v>
      </c>
    </row>
    <row r="81" spans="2:6" ht="15.75" x14ac:dyDescent="0.25">
      <c r="B81" s="234"/>
      <c r="C81" s="256"/>
      <c r="D81" s="262"/>
      <c r="E81" s="258"/>
      <c r="F81" s="233"/>
    </row>
    <row r="82" spans="2:6" ht="15.75" x14ac:dyDescent="0.25">
      <c r="B82" s="234"/>
      <c r="C82" s="256"/>
      <c r="D82" s="257"/>
      <c r="E82" s="258"/>
      <c r="F82" s="233"/>
    </row>
    <row r="83" spans="2:6" ht="16.5" thickBot="1" x14ac:dyDescent="0.3">
      <c r="B83" s="234" t="s">
        <v>303</v>
      </c>
      <c r="C83" s="256"/>
      <c r="D83" s="257"/>
      <c r="E83" s="272">
        <f>SUM(E78:E81)</f>
        <v>872841.91922321904</v>
      </c>
      <c r="F83" s="233" t="s">
        <v>306</v>
      </c>
    </row>
    <row r="84" spans="2:6" ht="16.5" thickBot="1" x14ac:dyDescent="0.3">
      <c r="B84" s="252"/>
      <c r="C84" s="259"/>
      <c r="D84" s="260"/>
      <c r="E84" s="264"/>
      <c r="F84" s="233"/>
    </row>
    <row r="85" spans="2:6" ht="15.75" x14ac:dyDescent="0.25">
      <c r="E85" s="273"/>
    </row>
    <row r="86" spans="2:6" ht="15.75" x14ac:dyDescent="0.25">
      <c r="E86" s="273"/>
    </row>
  </sheetData>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opLeftCell="A5" zoomScale="85" zoomScaleNormal="85" workbookViewId="0">
      <pane xSplit="2" ySplit="12" topLeftCell="C17" activePane="bottomRight" state="frozen"/>
      <selection activeCell="A5" sqref="A5"/>
      <selection pane="topRight" activeCell="C5" sqref="C5"/>
      <selection pane="bottomLeft" activeCell="A17" sqref="A17"/>
      <selection pane="bottomRight" activeCell="P17" sqref="P17"/>
    </sheetView>
  </sheetViews>
  <sheetFormatPr defaultRowHeight="15" x14ac:dyDescent="0.25"/>
  <cols>
    <col min="1" max="1" width="49.28515625" customWidth="1"/>
    <col min="2" max="2" width="4.140625" customWidth="1"/>
    <col min="3" max="3" width="19.85546875" customWidth="1"/>
    <col min="4" max="4" width="22" customWidth="1"/>
    <col min="5" max="5" width="18.28515625" customWidth="1"/>
    <col min="6" max="7" width="22" customWidth="1"/>
    <col min="8" max="8" width="27.7109375" customWidth="1"/>
    <col min="9" max="9" width="15.42578125" bestFit="1" customWidth="1"/>
    <col min="10" max="10" width="3.42578125" customWidth="1"/>
    <col min="11" max="11" width="22" customWidth="1"/>
    <col min="12" max="12" width="17.42578125" customWidth="1"/>
    <col min="13" max="13" width="11.5703125" customWidth="1"/>
    <col min="14" max="14" width="2.28515625" customWidth="1"/>
    <col min="15" max="15" width="18" customWidth="1"/>
    <col min="16" max="16" width="24.7109375" customWidth="1"/>
    <col min="17" max="17" width="22.5703125" customWidth="1"/>
    <col min="18" max="18" width="18.7109375" customWidth="1"/>
    <col min="19" max="20" width="20" customWidth="1"/>
    <col min="26" max="26" width="9.140625" hidden="1" customWidth="1"/>
  </cols>
  <sheetData>
    <row r="1" spans="1:26" x14ac:dyDescent="0.25">
      <c r="Z1" s="96" t="b">
        <v>1</v>
      </c>
    </row>
    <row r="2" spans="1:26" x14ac:dyDescent="0.25">
      <c r="Z2" s="96" t="b">
        <v>0</v>
      </c>
    </row>
    <row r="3" spans="1:26" x14ac:dyDescent="0.25">
      <c r="Z3" s="96" t="b">
        <v>0</v>
      </c>
    </row>
    <row r="13" spans="1:26" ht="21" x14ac:dyDescent="0.25">
      <c r="A13" s="365" t="s">
        <v>307</v>
      </c>
      <c r="B13" s="365"/>
      <c r="C13" s="365"/>
      <c r="D13" s="365"/>
      <c r="E13" s="366"/>
      <c r="F13" s="366"/>
    </row>
    <row r="14" spans="1:26" ht="43.5" customHeight="1" x14ac:dyDescent="0.25">
      <c r="A14" s="295"/>
    </row>
    <row r="15" spans="1:26" s="133" customFormat="1" ht="47.25" x14ac:dyDescent="0.25">
      <c r="A15" s="274" t="s">
        <v>106</v>
      </c>
      <c r="B15" s="130"/>
      <c r="C15" s="130" t="s">
        <v>120</v>
      </c>
      <c r="D15" s="130" t="s">
        <v>308</v>
      </c>
      <c r="E15" s="130" t="s">
        <v>309</v>
      </c>
      <c r="F15" s="130" t="s">
        <v>116</v>
      </c>
      <c r="G15" s="130" t="s">
        <v>310</v>
      </c>
      <c r="H15" s="130" t="s">
        <v>311</v>
      </c>
      <c r="I15" s="130" t="s">
        <v>312</v>
      </c>
      <c r="J15" s="130"/>
      <c r="K15" s="130" t="s">
        <v>108</v>
      </c>
      <c r="L15" s="130" t="s">
        <v>109</v>
      </c>
      <c r="M15" s="130" t="s">
        <v>222</v>
      </c>
      <c r="N15" s="130"/>
      <c r="O15" s="130" t="s">
        <v>313</v>
      </c>
      <c r="P15" s="130" t="s">
        <v>314</v>
      </c>
      <c r="Q15" s="130" t="s">
        <v>315</v>
      </c>
      <c r="R15" s="130"/>
      <c r="S15" s="130"/>
      <c r="T15" s="130"/>
    </row>
    <row r="16" spans="1:26" s="133" customFormat="1" ht="17.25" customHeight="1" x14ac:dyDescent="0.25">
      <c r="A16" s="130"/>
      <c r="B16" s="130"/>
      <c r="C16" s="275" t="s">
        <v>316</v>
      </c>
      <c r="D16" s="275" t="s">
        <v>316</v>
      </c>
      <c r="E16" s="275" t="s">
        <v>316</v>
      </c>
      <c r="F16" s="276" t="s">
        <v>317</v>
      </c>
      <c r="G16" s="276" t="s">
        <v>318</v>
      </c>
      <c r="H16" s="276" t="s">
        <v>319</v>
      </c>
      <c r="I16" s="277"/>
      <c r="J16" s="278"/>
      <c r="K16" s="275" t="s">
        <v>320</v>
      </c>
      <c r="L16" s="275" t="s">
        <v>320</v>
      </c>
      <c r="M16" s="275" t="s">
        <v>320</v>
      </c>
      <c r="N16" s="278"/>
      <c r="O16" s="276" t="s">
        <v>323</v>
      </c>
      <c r="P16" s="276" t="s">
        <v>324</v>
      </c>
      <c r="Q16" s="276" t="s">
        <v>325</v>
      </c>
      <c r="R16"/>
      <c r="S16"/>
      <c r="T16" s="279"/>
    </row>
    <row r="17" spans="1:26" x14ac:dyDescent="0.25">
      <c r="A17" s="134" t="s">
        <v>99</v>
      </c>
      <c r="B17" s="134"/>
      <c r="C17" s="192">
        <f>'8. Revenue Proportions'!P17</f>
        <v>0.31907461730955222</v>
      </c>
      <c r="D17" s="192">
        <f>'8. Revenue Proportions'!Q17</f>
        <v>8.0765341423101142E-2</v>
      </c>
      <c r="E17" s="192">
        <f>'8. Revenue Proportions'!R17</f>
        <v>0</v>
      </c>
      <c r="F17" s="285">
        <f>C17*$I$25</f>
        <v>278501.70134788373</v>
      </c>
      <c r="G17" s="285">
        <f>D17*$I$25</f>
        <v>70495.375614458157</v>
      </c>
      <c r="H17" s="285">
        <f>E17*$I$25</f>
        <v>0</v>
      </c>
      <c r="I17" s="285">
        <f>SUM(F17:H17)</f>
        <v>348997.0769623419</v>
      </c>
      <c r="J17" s="136"/>
      <c r="K17" s="135">
        <f>'4. Growth Factor - NUM_CALC1'!C17</f>
        <v>182224</v>
      </c>
      <c r="L17" s="135">
        <f>'4. Growth Factor - NUM_CALC1'!D17</f>
        <v>1532961311.1325612</v>
      </c>
      <c r="M17" s="135">
        <v>0</v>
      </c>
      <c r="N17" s="136"/>
      <c r="O17" s="286">
        <f>I17/K17/12</f>
        <v>0.15960076470092757</v>
      </c>
      <c r="P17" s="287">
        <v>0</v>
      </c>
      <c r="Q17" s="287">
        <v>0</v>
      </c>
      <c r="R17" s="288" t="s">
        <v>326</v>
      </c>
    </row>
    <row r="18" spans="1:26" x14ac:dyDescent="0.25">
      <c r="A18" s="141" t="s">
        <v>100</v>
      </c>
      <c r="B18" s="141"/>
      <c r="C18" s="192">
        <f>'8. Revenue Proportions'!P18</f>
        <v>7.2009162022669035E-2</v>
      </c>
      <c r="D18" s="192">
        <f>'8. Revenue Proportions'!Q18</f>
        <v>6.452457858232051E-2</v>
      </c>
      <c r="E18" s="192">
        <f>'8. Revenue Proportions'!R18</f>
        <v>0</v>
      </c>
      <c r="F18" s="285">
        <f t="shared" ref="F18:H23" si="0">C18*$I$25</f>
        <v>62852.615181522175</v>
      </c>
      <c r="G18" s="285">
        <f t="shared" si="0"/>
        <v>56319.757006862048</v>
      </c>
      <c r="H18" s="285">
        <f t="shared" si="0"/>
        <v>0</v>
      </c>
      <c r="I18" s="285">
        <f t="shared" ref="I18:I23" si="1">SUM(F18:H18)</f>
        <v>119172.37218838422</v>
      </c>
      <c r="J18" s="143"/>
      <c r="K18" s="135">
        <f>'4. Growth Factor - NUM_CALC1'!C18</f>
        <v>18025</v>
      </c>
      <c r="L18" s="135">
        <f>'4. Growth Factor - NUM_CALC1'!D18</f>
        <v>665390670.84942079</v>
      </c>
      <c r="M18" s="142">
        <v>0</v>
      </c>
      <c r="N18" s="143"/>
      <c r="O18" s="289">
        <f t="shared" ref="O18:O23" si="2">F18/K18/12</f>
        <v>0.29058074517578442</v>
      </c>
      <c r="P18" s="290">
        <f>G18/L18</f>
        <v>8.4641639076432621E-5</v>
      </c>
      <c r="Q18" s="290">
        <v>0</v>
      </c>
    </row>
    <row r="19" spans="1:26" x14ac:dyDescent="0.25">
      <c r="A19" s="141" t="s">
        <v>101</v>
      </c>
      <c r="B19" s="141"/>
      <c r="C19" s="192">
        <f>'8. Revenue Proportions'!P19</f>
        <v>2.8221709941533737E-2</v>
      </c>
      <c r="D19" s="192">
        <f>'8. Revenue Proportions'!Q19</f>
        <v>0</v>
      </c>
      <c r="E19" s="192">
        <f>'8. Revenue Proportions'!R19</f>
        <v>0.2124770478938417</v>
      </c>
      <c r="F19" s="285">
        <f t="shared" si="0"/>
        <v>24633.091469129307</v>
      </c>
      <c r="G19" s="285">
        <f t="shared" si="0"/>
        <v>0</v>
      </c>
      <c r="H19" s="285">
        <f t="shared" si="0"/>
        <v>185458.87427454462</v>
      </c>
      <c r="I19" s="285">
        <f t="shared" si="1"/>
        <v>210091.96574367394</v>
      </c>
      <c r="J19" s="143"/>
      <c r="K19" s="135">
        <f>'4. Growth Factor - NUM_CALC1'!C19</f>
        <v>4011</v>
      </c>
      <c r="L19" s="135">
        <f>'4. Growth Factor - NUM_CALC1'!D19</f>
        <v>2095056256.4350061</v>
      </c>
      <c r="M19" s="135">
        <f>'4. Growth Factor - NUM_CALC1'!E19</f>
        <v>6021478.1251599872</v>
      </c>
      <c r="N19" s="143"/>
      <c r="O19" s="289">
        <f t="shared" si="2"/>
        <v>0.51178200509285521</v>
      </c>
      <c r="P19" s="290">
        <v>0</v>
      </c>
      <c r="Q19" s="290">
        <f>H19/M19</f>
        <v>3.0799559579836069E-2</v>
      </c>
    </row>
    <row r="20" spans="1:26" x14ac:dyDescent="0.25">
      <c r="A20" s="141" t="s">
        <v>102</v>
      </c>
      <c r="B20" s="141"/>
      <c r="C20" s="192">
        <f>'8. Revenue Proportions'!P20</f>
        <v>7.3544300708270366E-2</v>
      </c>
      <c r="D20" s="192">
        <f>'8. Revenue Proportions'!Q20</f>
        <v>0</v>
      </c>
      <c r="E20" s="192">
        <f>'8. Revenue Proportions'!R20</f>
        <v>8.3127400553498557E-2</v>
      </c>
      <c r="F20" s="285">
        <f t="shared" si="0"/>
        <v>64192.548578136251</v>
      </c>
      <c r="G20" s="285">
        <f t="shared" si="0"/>
        <v>0</v>
      </c>
      <c r="H20" s="285">
        <f t="shared" si="0"/>
        <v>72557.079839152968</v>
      </c>
      <c r="I20" s="285">
        <f t="shared" si="1"/>
        <v>136749.62841728923</v>
      </c>
      <c r="J20" s="143"/>
      <c r="K20" s="135">
        <f>'4. Growth Factor - NUM_CALC1'!C20</f>
        <v>459</v>
      </c>
      <c r="L20" s="135">
        <f>'4. Growth Factor - NUM_CALC1'!D20</f>
        <v>2017241544.5164552</v>
      </c>
      <c r="M20" s="135">
        <f>'4. Growth Factor - NUM_CALC1'!E20</f>
        <v>4578124.5264787124</v>
      </c>
      <c r="N20" s="143"/>
      <c r="O20" s="289">
        <f t="shared" si="2"/>
        <v>11.654420584265841</v>
      </c>
      <c r="P20" s="290">
        <v>0</v>
      </c>
      <c r="Q20" s="290">
        <f>H20/M20</f>
        <v>1.5848647064862741E-2</v>
      </c>
    </row>
    <row r="21" spans="1:26" x14ac:dyDescent="0.25">
      <c r="A21" s="141" t="s">
        <v>103</v>
      </c>
      <c r="B21" s="141"/>
      <c r="C21" s="192">
        <f>'8. Revenue Proportions'!P21</f>
        <v>1.1369946969718525E-2</v>
      </c>
      <c r="D21" s="192">
        <f>'8. Revenue Proportions'!Q21</f>
        <v>0</v>
      </c>
      <c r="E21" s="192">
        <f>'8. Revenue Proportions'!R21</f>
        <v>3.9898650566269553E-2</v>
      </c>
      <c r="F21" s="285">
        <f t="shared" si="0"/>
        <v>9924.1663345153411</v>
      </c>
      <c r="G21" s="285">
        <f t="shared" si="0"/>
        <v>0</v>
      </c>
      <c r="H21" s="285">
        <f t="shared" si="0"/>
        <v>34825.214734679292</v>
      </c>
      <c r="I21" s="285">
        <f t="shared" si="1"/>
        <v>44749.381069194635</v>
      </c>
      <c r="J21" s="143"/>
      <c r="K21" s="135">
        <f>'4. Growth Factor - NUM_CALC1'!C21</f>
        <v>9</v>
      </c>
      <c r="L21" s="135">
        <f>'4. Growth Factor - NUM_CALC1'!D21</f>
        <v>989946990.6592505</v>
      </c>
      <c r="M21" s="135">
        <f>'4. Growth Factor - NUM_CALC1'!E21</f>
        <v>1770337.0458183149</v>
      </c>
      <c r="N21" s="143"/>
      <c r="O21" s="289">
        <f t="shared" si="2"/>
        <v>91.890429023290196</v>
      </c>
      <c r="P21" s="290">
        <v>0</v>
      </c>
      <c r="Q21" s="290">
        <f>H21/M21</f>
        <v>1.9671516684881773E-2</v>
      </c>
    </row>
    <row r="22" spans="1:26" x14ac:dyDescent="0.25">
      <c r="A22" s="141" t="s">
        <v>104</v>
      </c>
      <c r="B22" s="141"/>
      <c r="C22" s="192">
        <f>'8. Revenue Proportions'!P22</f>
        <v>2.554758879125651E-3</v>
      </c>
      <c r="D22" s="192">
        <f>'8. Revenue Proportions'!Q22</f>
        <v>1.408319243002758E-3</v>
      </c>
      <c r="E22" s="192">
        <f>'8. Revenue Proportions'!R22</f>
        <v>0</v>
      </c>
      <c r="F22" s="285">
        <f t="shared" si="0"/>
        <v>2229.900643208593</v>
      </c>
      <c r="G22" s="285">
        <f t="shared" si="0"/>
        <v>1229.2400709415183</v>
      </c>
      <c r="H22" s="285">
        <f t="shared" si="0"/>
        <v>0</v>
      </c>
      <c r="I22" s="285">
        <f t="shared" si="1"/>
        <v>3459.1407141501113</v>
      </c>
      <c r="J22" s="143"/>
      <c r="K22" s="135">
        <f>'4. Growth Factor - NUM_CALC1'!C22</f>
        <v>3098</v>
      </c>
      <c r="L22" s="135">
        <f>'4. Growth Factor - NUM_CALC1'!D22</f>
        <v>11246373.873873873</v>
      </c>
      <c r="M22" s="142">
        <v>0</v>
      </c>
      <c r="N22" s="143"/>
      <c r="O22" s="289">
        <f t="shared" si="2"/>
        <v>5.9982263912432561E-2</v>
      </c>
      <c r="P22" s="290">
        <f>G22/L22</f>
        <v>1.0930101424043269E-4</v>
      </c>
      <c r="Q22" s="290">
        <v>0</v>
      </c>
    </row>
    <row r="23" spans="1:26" x14ac:dyDescent="0.25">
      <c r="A23" s="141" t="s">
        <v>105</v>
      </c>
      <c r="B23" s="141"/>
      <c r="C23" s="192">
        <f>'8. Revenue Proportions'!P23</f>
        <v>6.9946672065360422E-3</v>
      </c>
      <c r="D23" s="192">
        <f>'8. Revenue Proportions'!Q23</f>
        <v>0</v>
      </c>
      <c r="E23" s="192">
        <f>'8. Revenue Proportions'!R23</f>
        <v>4.0294987005602308E-3</v>
      </c>
      <c r="F23" s="285">
        <f t="shared" si="0"/>
        <v>6105.2387488806316</v>
      </c>
      <c r="G23" s="285">
        <f t="shared" si="0"/>
        <v>0</v>
      </c>
      <c r="H23" s="285">
        <f t="shared" si="0"/>
        <v>3517.1153793044591</v>
      </c>
      <c r="I23" s="285">
        <f t="shared" si="1"/>
        <v>9622.3541281850903</v>
      </c>
      <c r="J23" s="143"/>
      <c r="K23" s="135">
        <f>'4. Growth Factor - NUM_CALC1'!C23</f>
        <v>50555</v>
      </c>
      <c r="L23" s="135">
        <f>'4. Growth Factor - NUM_CALC1'!D23</f>
        <v>16413627.734877734</v>
      </c>
      <c r="M23" s="135">
        <f>'4. Growth Factor - NUM_CALC1'!E23</f>
        <v>45704.178987063518</v>
      </c>
      <c r="N23" s="143"/>
      <c r="O23" s="289">
        <f t="shared" si="2"/>
        <v>1.0063690945308132E-2</v>
      </c>
      <c r="P23" s="290">
        <v>0</v>
      </c>
      <c r="Q23" s="290">
        <f>H23/M23</f>
        <v>7.6953912251655848E-2</v>
      </c>
    </row>
    <row r="24" spans="1:26" x14ac:dyDescent="0.25">
      <c r="A24" s="148" t="s">
        <v>138</v>
      </c>
      <c r="B24" s="148"/>
      <c r="C24" s="280">
        <f t="shared" ref="C24:I24" si="3">SUM(C17:C23)</f>
        <v>0.5137691630374055</v>
      </c>
      <c r="D24" s="280">
        <f t="shared" si="3"/>
        <v>0.1466982392484244</v>
      </c>
      <c r="E24" s="280">
        <f t="shared" si="3"/>
        <v>0.33953259771417005</v>
      </c>
      <c r="F24" s="281">
        <f t="shared" si="3"/>
        <v>448439.26230327599</v>
      </c>
      <c r="G24" s="281">
        <f t="shared" si="3"/>
        <v>128044.37269226172</v>
      </c>
      <c r="H24" s="281">
        <f t="shared" si="3"/>
        <v>296358.28422768129</v>
      </c>
      <c r="I24" s="281">
        <f t="shared" si="3"/>
        <v>872841.91922321916</v>
      </c>
      <c r="J24" s="150"/>
      <c r="K24" s="281">
        <f>SUM(K17:K23)</f>
        <v>258381</v>
      </c>
      <c r="L24" s="281">
        <f>SUM(L17:L23)</f>
        <v>7328256775.2014446</v>
      </c>
      <c r="M24" s="281">
        <f>SUM(M17:M23)</f>
        <v>12415643.876444079</v>
      </c>
      <c r="N24" s="150"/>
      <c r="O24" s="150"/>
      <c r="P24" s="150"/>
      <c r="Q24" s="150"/>
      <c r="R24" s="153"/>
      <c r="S24" s="153"/>
      <c r="T24" s="153"/>
      <c r="U24" s="153"/>
      <c r="V24" s="153"/>
      <c r="W24" s="153"/>
      <c r="X24" s="153"/>
      <c r="Y24" s="153"/>
      <c r="Z24" s="153"/>
    </row>
    <row r="25" spans="1:26" x14ac:dyDescent="0.25">
      <c r="C25" s="284"/>
      <c r="D25" s="284"/>
      <c r="E25" s="284"/>
      <c r="F25" s="284"/>
      <c r="G25" s="284"/>
      <c r="H25" s="284"/>
      <c r="I25" s="282">
        <f>'11. Incremental Capital Adj.'!E83</f>
        <v>872841.91922321904</v>
      </c>
      <c r="J25" s="284"/>
      <c r="K25" s="284"/>
      <c r="L25" s="284"/>
      <c r="M25" s="284"/>
      <c r="N25" s="284"/>
      <c r="O25" s="284"/>
      <c r="P25" s="284"/>
      <c r="Q25" s="284"/>
    </row>
    <row r="26" spans="1:26" x14ac:dyDescent="0.25">
      <c r="C26" s="154"/>
      <c r="D26" s="154"/>
      <c r="E26" s="154"/>
      <c r="F26" s="154"/>
      <c r="G26" s="154"/>
      <c r="H26" s="154"/>
      <c r="I26" s="283" t="s">
        <v>321</v>
      </c>
      <c r="J26" s="154"/>
      <c r="K26" s="154"/>
      <c r="L26" s="154"/>
      <c r="M26" s="154"/>
      <c r="N26" s="154"/>
      <c r="O26" s="154"/>
      <c r="P26" s="154"/>
      <c r="Q26" s="154"/>
    </row>
    <row r="27" spans="1:26" x14ac:dyDescent="0.25">
      <c r="C27" s="154"/>
      <c r="D27" s="154"/>
      <c r="E27" s="154"/>
      <c r="F27" s="154"/>
      <c r="G27" s="154"/>
      <c r="H27" s="154"/>
      <c r="I27" s="154"/>
      <c r="J27" s="154"/>
      <c r="K27" s="154"/>
      <c r="L27" s="154"/>
      <c r="M27" s="154"/>
      <c r="N27" s="154"/>
      <c r="O27" s="154"/>
      <c r="P27" s="154"/>
      <c r="Q27" s="154"/>
    </row>
    <row r="28" spans="1:26" x14ac:dyDescent="0.25">
      <c r="C28" s="154"/>
      <c r="D28" s="154"/>
      <c r="E28" s="154"/>
      <c r="F28" s="154"/>
      <c r="G28" s="154"/>
      <c r="H28" s="154"/>
      <c r="I28" s="154"/>
      <c r="J28" s="154"/>
      <c r="K28" s="154"/>
      <c r="L28" s="154"/>
      <c r="M28" s="154"/>
      <c r="N28" s="154"/>
      <c r="O28" s="154"/>
      <c r="P28" s="154"/>
      <c r="Q28" s="154"/>
    </row>
    <row r="29" spans="1:26" x14ac:dyDescent="0.25">
      <c r="C29" s="154"/>
      <c r="D29" s="154"/>
      <c r="E29" s="154"/>
      <c r="F29" s="154"/>
      <c r="G29" s="154"/>
      <c r="H29" s="154"/>
      <c r="I29" s="154"/>
      <c r="J29" s="154"/>
      <c r="K29" s="154"/>
      <c r="L29" s="154"/>
      <c r="M29" s="154"/>
      <c r="N29" s="154"/>
      <c r="O29" s="154"/>
      <c r="P29" s="154"/>
      <c r="Q29" s="154"/>
    </row>
    <row r="30" spans="1:26" x14ac:dyDescent="0.25">
      <c r="C30" s="154"/>
      <c r="D30" s="154"/>
      <c r="E30" s="154"/>
      <c r="F30" s="154"/>
      <c r="G30" s="154"/>
      <c r="H30" s="154"/>
      <c r="I30" s="154"/>
      <c r="J30" s="154"/>
      <c r="K30" s="154"/>
      <c r="L30" s="154"/>
      <c r="M30" s="154"/>
      <c r="N30" s="154"/>
      <c r="O30" s="154"/>
      <c r="P30" s="154"/>
      <c r="Q30" s="154"/>
    </row>
    <row r="31" spans="1:26" x14ac:dyDescent="0.25">
      <c r="C31" s="154"/>
      <c r="D31" s="154"/>
      <c r="E31" s="154"/>
      <c r="F31" s="154"/>
      <c r="G31" s="154"/>
      <c r="H31" s="154"/>
      <c r="I31" s="154"/>
      <c r="J31" s="154"/>
      <c r="K31" s="154"/>
      <c r="L31" s="154"/>
      <c r="M31" s="154"/>
      <c r="N31" s="154"/>
      <c r="O31" s="154"/>
      <c r="P31" s="154"/>
      <c r="Q31" s="154"/>
    </row>
    <row r="32" spans="1:26" x14ac:dyDescent="0.25">
      <c r="C32" s="154"/>
      <c r="D32" s="154"/>
      <c r="E32" s="154"/>
      <c r="F32" s="154"/>
      <c r="G32" s="154"/>
      <c r="H32" s="154"/>
      <c r="I32" s="154"/>
      <c r="J32" s="154"/>
      <c r="K32" s="154"/>
      <c r="L32" s="154"/>
      <c r="M32" s="154"/>
      <c r="N32" s="154"/>
      <c r="O32" s="154"/>
      <c r="P32" s="154"/>
      <c r="Q32" s="154"/>
    </row>
    <row r="33" spans="3:17" x14ac:dyDescent="0.25">
      <c r="C33" s="154"/>
      <c r="D33" s="154"/>
      <c r="E33" s="154"/>
      <c r="F33" s="154"/>
      <c r="G33" s="154"/>
      <c r="H33" s="154"/>
      <c r="I33" s="154"/>
      <c r="J33" s="154"/>
      <c r="K33" s="154"/>
      <c r="L33" s="154"/>
      <c r="M33" s="154"/>
      <c r="N33" s="154"/>
      <c r="O33" s="154"/>
      <c r="P33" s="154"/>
      <c r="Q33" s="154"/>
    </row>
    <row r="34" spans="3:17" x14ac:dyDescent="0.25">
      <c r="C34" s="154"/>
      <c r="D34" s="154"/>
      <c r="E34" s="154"/>
      <c r="F34" s="154"/>
      <c r="G34" s="154"/>
      <c r="H34" s="154"/>
      <c r="I34" s="154"/>
      <c r="J34" s="154"/>
      <c r="K34" s="154"/>
      <c r="L34" s="154"/>
      <c r="M34" s="154"/>
      <c r="N34" s="154"/>
      <c r="O34" s="154"/>
      <c r="P34" s="154"/>
      <c r="Q34" s="154"/>
    </row>
    <row r="35" spans="3:17" x14ac:dyDescent="0.25">
      <c r="C35" s="154"/>
      <c r="D35" s="154"/>
      <c r="E35" s="154"/>
      <c r="F35" s="154"/>
      <c r="G35" s="154"/>
      <c r="H35" s="154"/>
      <c r="I35" s="154"/>
      <c r="J35" s="154"/>
      <c r="K35" s="154"/>
      <c r="L35" s="154"/>
      <c r="M35" s="154"/>
      <c r="N35" s="154"/>
      <c r="O35" s="154"/>
      <c r="P35" s="154"/>
      <c r="Q35" s="154"/>
    </row>
    <row r="36" spans="3:17" x14ac:dyDescent="0.25">
      <c r="C36" s="154"/>
      <c r="D36" s="154"/>
      <c r="E36" s="154"/>
      <c r="F36" s="154"/>
      <c r="G36" s="154"/>
      <c r="H36" s="154"/>
      <c r="I36" s="154"/>
      <c r="J36" s="154"/>
      <c r="K36" s="154"/>
      <c r="L36" s="154"/>
      <c r="M36" s="154"/>
      <c r="N36" s="154"/>
      <c r="O36" s="154"/>
      <c r="P36" s="154"/>
      <c r="Q36" s="154"/>
    </row>
    <row r="37" spans="3:17" x14ac:dyDescent="0.25">
      <c r="C37" s="154"/>
      <c r="D37" s="154"/>
      <c r="E37" s="154"/>
      <c r="F37" s="154"/>
      <c r="G37" s="154"/>
      <c r="H37" s="154"/>
      <c r="I37" s="154"/>
      <c r="J37" s="154"/>
      <c r="K37" s="154"/>
      <c r="L37" s="154"/>
      <c r="M37" s="154"/>
      <c r="N37" s="154"/>
      <c r="O37" s="154"/>
      <c r="P37" s="154"/>
      <c r="Q37" s="154"/>
    </row>
    <row r="38" spans="3:17" x14ac:dyDescent="0.25">
      <c r="C38" s="154"/>
      <c r="D38" s="154"/>
      <c r="E38" s="154"/>
      <c r="F38" s="154"/>
      <c r="G38" s="154"/>
      <c r="H38" s="154"/>
      <c r="I38" s="154"/>
      <c r="J38" s="154"/>
      <c r="K38" s="154"/>
      <c r="L38" s="154"/>
      <c r="M38" s="154"/>
      <c r="N38" s="154"/>
      <c r="O38" s="154"/>
      <c r="P38" s="154"/>
      <c r="Q38" s="154"/>
    </row>
    <row r="39" spans="3:17" x14ac:dyDescent="0.25">
      <c r="C39" s="154"/>
      <c r="D39" s="154"/>
      <c r="E39" s="154"/>
      <c r="F39" s="154"/>
      <c r="G39" s="154"/>
      <c r="H39" s="154"/>
      <c r="I39" s="154"/>
      <c r="J39" s="154"/>
      <c r="K39" s="154"/>
      <c r="L39" s="154"/>
      <c r="M39" s="154"/>
      <c r="N39" s="154"/>
      <c r="O39" s="154"/>
      <c r="P39" s="154"/>
      <c r="Q39" s="154"/>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1. Information Sheet</vt:lpstr>
      <vt:lpstr>3. Rate Class Selection</vt:lpstr>
      <vt:lpstr>4. Growth Factor - NUM_CALC1</vt:lpstr>
      <vt:lpstr>5. Growth Factor - NUM_CALC2</vt:lpstr>
      <vt:lpstr>6. Rev_Requ_Check</vt:lpstr>
      <vt:lpstr>7. Growth Factor - DEN_CALC1</vt:lpstr>
      <vt:lpstr>8. Revenue Proportions</vt:lpstr>
      <vt:lpstr>9. Threshold Test</vt:lpstr>
      <vt:lpstr>10b. Proposed ACM ICM Projects</vt:lpstr>
      <vt:lpstr>11. Incremental Capital Adj.</vt:lpstr>
      <vt:lpstr>12. Opt 1-Rate Rider Calc F &amp; V</vt:lpstr>
      <vt:lpstr>d</vt:lpstr>
      <vt:lpstr>g</vt:lpstr>
      <vt:lpstr>PCI</vt:lpstr>
      <vt:lpstr>'1. Information Sheet'!Print_Area</vt:lpstr>
      <vt:lpstr>'12. Opt 1-Rate Rider Calc F &amp; V'!Print_Area</vt:lpstr>
      <vt:lpstr>'9. Threshold Test'!Print_Area</vt:lpstr>
      <vt:lpstr>RB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William Cheng</cp:lastModifiedBy>
  <cp:lastPrinted>2017-07-07T16:26:36Z</cp:lastPrinted>
  <dcterms:created xsi:type="dcterms:W3CDTF">2017-02-28T16:15:41Z</dcterms:created>
  <dcterms:modified xsi:type="dcterms:W3CDTF">2018-04-24T14:03:25Z</dcterms:modified>
</cp:coreProperties>
</file>