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3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drawings/drawing4.xml" ContentType="application/vnd.openxmlformats-officedocument.drawing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drawings/drawing5.xml" ContentType="application/vnd.openxmlformats-officedocument.drawing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drawings/drawing7.xml" ContentType="application/vnd.openxmlformats-officedocument.drawing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drawings/drawing8.xml" ContentType="application/vnd.openxmlformats-officedocument.drawing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drawings/drawing9.xml" ContentType="application/vnd.openxmlformats-officedocument.drawing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drawings/drawing10.xml" ContentType="application/vnd.openxmlformats-officedocument.drawing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drawings/drawing11.xml" ContentType="application/vnd.openxmlformats-officedocument.drawing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drawings/drawing12.xml" ContentType="application/vnd.openxmlformats-officedocument.drawing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drawings/drawing13.xml" ContentType="application/vnd.openxmlformats-officedocument.drawing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drawings/drawing14.xml" ContentType="application/vnd.openxmlformats-officedocument.drawing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drawings/drawing15.xml" ContentType="application/vnd.openxmlformats-officedocument.drawing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drawings/drawing16.xml" ContentType="application/vnd.openxmlformats-officedocument.drawing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drawings/drawing17.xml" ContentType="application/vnd.openxmlformats-officedocument.drawing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drawings/drawing18.xml" ContentType="application/vnd.openxmlformats-officedocument.drawing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drawings/drawing19.xml" ContentType="application/vnd.openxmlformats-officedocument.drawing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drawings/drawing20.xml" ContentType="application/vnd.openxmlformats-officedocument.drawing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drawings/drawing21.xml" ContentType="application/vnd.openxmlformats-officedocument.drawing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drawings/drawing22.xml" ContentType="application/vnd.openxmlformats-officedocument.drawing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drawings/drawing23.xml" ContentType="application/vnd.openxmlformats-officedocument.drawing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ydro\DfsRoot\Finance\OEB Rate Applications\2019 COS Rate Rebasing\Energy+2019 CoS Models - Models to File_Links Broken\"/>
    </mc:Choice>
  </mc:AlternateContent>
  <bookViews>
    <workbookView xWindow="120" yWindow="180" windowWidth="19020" windowHeight="9795" tabRatio="738"/>
  </bookViews>
  <sheets>
    <sheet name="Table Bill Impact" sheetId="92" r:id="rId1"/>
    <sheet name="Summary - NC to RTSR" sheetId="91" state="hidden" r:id="rId2"/>
    <sheet name="Summary" sheetId="72" state="hidden" r:id="rId3"/>
    <sheet name="Rates" sheetId="62" r:id="rId4"/>
    <sheet name="Residential CND" sheetId="73" r:id="rId5"/>
    <sheet name="Residential CND (10%)" sheetId="94" r:id="rId6"/>
    <sheet name="Residential BRT" sheetId="64" r:id="rId7"/>
    <sheet name="Residential BRT (10%)" sheetId="95" r:id="rId8"/>
    <sheet name="GS&lt;50 CND" sheetId="74" r:id="rId9"/>
    <sheet name="GS&lt;50 BRT" sheetId="75" r:id="rId10"/>
    <sheet name="GS 50-999 kW CND" sheetId="67" r:id="rId11"/>
    <sheet name="GS 50-999 kW BRT" sheetId="76" r:id="rId12"/>
    <sheet name="GS 50-999 kW BRT&lt;1000" sheetId="93" r:id="rId13"/>
    <sheet name="GS 1000-4999 CND" sheetId="78" r:id="rId14"/>
    <sheet name="GS 1000-4999 BRT" sheetId="77" r:id="rId15"/>
    <sheet name="LARGE CND" sheetId="84" r:id="rId16"/>
    <sheet name="EMB CND WNH" sheetId="83" r:id="rId17"/>
    <sheet name="EMB CND HON" sheetId="82" r:id="rId18"/>
    <sheet name="EMB BRT BPI" sheetId="81" r:id="rId19"/>
    <sheet name="EMB BRT HON 1" sheetId="79" r:id="rId20"/>
    <sheet name="EMB BRT HON 2" sheetId="80" r:id="rId21"/>
    <sheet name="STREET LIGHTING BRT" sheetId="85" r:id="rId22"/>
    <sheet name="STREET LIGHTING CND" sheetId="86" r:id="rId23"/>
    <sheet name="USL CND" sheetId="90" r:id="rId24"/>
    <sheet name="USL BRT" sheetId="89" r:id="rId25"/>
    <sheet name="SENTINEL BRT" sheetId="87" r:id="rId26"/>
  </sheets>
  <externalReferences>
    <externalReference r:id="rId27"/>
    <externalReference r:id="rId28"/>
    <externalReference r:id="rId29"/>
    <externalReference r:id="rId30"/>
  </externalReferences>
  <definedNames>
    <definedName name="_xlnm._FilterDatabase" localSheetId="3" hidden="1">Rates!$A$1:$T$304</definedName>
    <definedName name="_Order1" hidden="1">255</definedName>
    <definedName name="_Sort" hidden="1">[1]Sheet1!$G$40:$K$40</definedName>
    <definedName name="CAS_TB_DATA" localSheetId="18">#REF!</definedName>
    <definedName name="CAS_TB_DATA" localSheetId="19">#REF!</definedName>
    <definedName name="CAS_TB_DATA" localSheetId="20">#REF!</definedName>
    <definedName name="CAS_TB_DATA" localSheetId="17">#REF!</definedName>
    <definedName name="CAS_TB_DATA" localSheetId="16">#REF!</definedName>
    <definedName name="CAS_TB_DATA" localSheetId="14">#REF!</definedName>
    <definedName name="CAS_TB_DATA" localSheetId="13">#REF!</definedName>
    <definedName name="CAS_TB_DATA" localSheetId="11">#REF!</definedName>
    <definedName name="CAS_TB_DATA" localSheetId="12">#REF!</definedName>
    <definedName name="CAS_TB_DATA" localSheetId="9">#REF!</definedName>
    <definedName name="CAS_TB_DATA" localSheetId="8">#REF!</definedName>
    <definedName name="CAS_TB_DATA" localSheetId="15">#REF!</definedName>
    <definedName name="CAS_TB_DATA" localSheetId="3">#REF!</definedName>
    <definedName name="CAS_TB_DATA" localSheetId="7">#REF!</definedName>
    <definedName name="CAS_TB_DATA" localSheetId="4">#REF!</definedName>
    <definedName name="CAS_TB_DATA" localSheetId="5">#REF!</definedName>
    <definedName name="CAS_TB_DATA" localSheetId="25">#REF!</definedName>
    <definedName name="CAS_TB_DATA" localSheetId="21">#REF!</definedName>
    <definedName name="CAS_TB_DATA" localSheetId="22">#REF!</definedName>
    <definedName name="CAS_TB_DATA" localSheetId="1">#REF!</definedName>
    <definedName name="CAS_TB_DATA" localSheetId="24">#REF!</definedName>
    <definedName name="CAS_TB_DATA" localSheetId="23">#REF!</definedName>
    <definedName name="CAS_TB_DATA">#REF!</definedName>
    <definedName name="CC" localSheetId="18">#REF!</definedName>
    <definedName name="CC" localSheetId="19">#REF!</definedName>
    <definedName name="CC" localSheetId="20">#REF!</definedName>
    <definedName name="CC" localSheetId="17">#REF!</definedName>
    <definedName name="CC" localSheetId="16">#REF!</definedName>
    <definedName name="CC" localSheetId="14">#REF!</definedName>
    <definedName name="CC" localSheetId="13">#REF!</definedName>
    <definedName name="CC" localSheetId="11">#REF!</definedName>
    <definedName name="CC" localSheetId="12">#REF!</definedName>
    <definedName name="CC" localSheetId="9">#REF!</definedName>
    <definedName name="CC" localSheetId="8">#REF!</definedName>
    <definedName name="CC" localSheetId="15">#REF!</definedName>
    <definedName name="CC" localSheetId="7">#REF!</definedName>
    <definedName name="CC" localSheetId="4">#REF!</definedName>
    <definedName name="CC" localSheetId="5">#REF!</definedName>
    <definedName name="CC" localSheetId="25">#REF!</definedName>
    <definedName name="CC" localSheetId="21">#REF!</definedName>
    <definedName name="CC" localSheetId="22">#REF!</definedName>
    <definedName name="CC" localSheetId="1">#REF!</definedName>
    <definedName name="CC" localSheetId="24">#REF!</definedName>
    <definedName name="CC" localSheetId="23">#REF!</definedName>
    <definedName name="CC">#REF!</definedName>
    <definedName name="ccar">'[2]I6.2 Customer Data'!$D$21</definedName>
    <definedName name="CustomerCount" localSheetId="18">#REF!</definedName>
    <definedName name="CustomerCount" localSheetId="19">#REF!</definedName>
    <definedName name="CustomerCount" localSheetId="20">#REF!</definedName>
    <definedName name="CustomerCount" localSheetId="17">#REF!</definedName>
    <definedName name="CustomerCount" localSheetId="16">#REF!</definedName>
    <definedName name="CustomerCount" localSheetId="14">#REF!</definedName>
    <definedName name="CustomerCount" localSheetId="13">#REF!</definedName>
    <definedName name="CustomerCount" localSheetId="11">#REF!</definedName>
    <definedName name="CustomerCount" localSheetId="12">#REF!</definedName>
    <definedName name="CustomerCount" localSheetId="9">#REF!</definedName>
    <definedName name="CustomerCount" localSheetId="8">#REF!</definedName>
    <definedName name="CustomerCount" localSheetId="15">#REF!</definedName>
    <definedName name="CustomerCount" localSheetId="3">#REF!</definedName>
    <definedName name="CustomerCount" localSheetId="7">#REF!</definedName>
    <definedName name="CustomerCount" localSheetId="4">#REF!</definedName>
    <definedName name="CustomerCount" localSheetId="5">#REF!</definedName>
    <definedName name="CustomerCount" localSheetId="25">#REF!</definedName>
    <definedName name="CustomerCount" localSheetId="21">#REF!</definedName>
    <definedName name="CustomerCount" localSheetId="22">#REF!</definedName>
    <definedName name="CustomerCount" localSheetId="1">#REF!</definedName>
    <definedName name="CustomerCount" localSheetId="24">#REF!</definedName>
    <definedName name="CustomerCount" localSheetId="23">#REF!</definedName>
    <definedName name="CustomerCount">#REF!</definedName>
    <definedName name="DRC">'[3]17. Regulatory Charges'!$D$29</definedName>
    <definedName name="EBNUMBER">'[4]LDC Info'!$E$16</definedName>
    <definedName name="MidPeak">'[3]17. Regulatory Charges'!$D$24</definedName>
    <definedName name="OffPeak">'[3]17. Regulatory Charges'!$D$23</definedName>
    <definedName name="OnPeak">'[3]17. Regulatory Charges'!$D$25</definedName>
    <definedName name="_xlnm.Print_Area" localSheetId="18">'EMB BRT BPI'!$A$10:$Q$87</definedName>
    <definedName name="_xlnm.Print_Area" localSheetId="19">'EMB BRT HON 1'!$A$10:$Q$75</definedName>
    <definedName name="_xlnm.Print_Area" localSheetId="20">'EMB BRT HON 2'!$A$10:$Q$75</definedName>
    <definedName name="_xlnm.Print_Area" localSheetId="17">'EMB CND HON'!$A$10:$Q$75</definedName>
    <definedName name="_xlnm.Print_Area" localSheetId="16">'EMB CND WNH'!$A$10:$Q$88</definedName>
    <definedName name="_xlnm.Print_Area" localSheetId="14">'GS 1000-4999 BRT'!$A$10:$Q$88</definedName>
    <definedName name="_xlnm.Print_Area" localSheetId="13">'GS 1000-4999 CND'!$A$10:$Q$88</definedName>
    <definedName name="_xlnm.Print_Area" localSheetId="11">'GS 50-999 kW BRT'!$A$10:$Q$90</definedName>
    <definedName name="_xlnm.Print_Area" localSheetId="12">'GS 50-999 kW BRT&lt;1000'!$A$10:$Q$90</definedName>
    <definedName name="_xlnm.Print_Area" localSheetId="10">'GS 50-999 kW CND'!$A$10:$Q$90</definedName>
    <definedName name="_xlnm.Print_Area" localSheetId="9">'GS&lt;50 BRT'!$A$10:$Q$81</definedName>
    <definedName name="_xlnm.Print_Area" localSheetId="8">'GS&lt;50 CND'!$A$10:$Q$81</definedName>
    <definedName name="_xlnm.Print_Area" localSheetId="15">'LARGE CND'!$A$10:$Q$88</definedName>
    <definedName name="_xlnm.Print_Area" localSheetId="3">Rates!$B$1:$L$174</definedName>
    <definedName name="_xlnm.Print_Area" localSheetId="6">'Residential BRT'!$A$10:$Q$80</definedName>
    <definedName name="_xlnm.Print_Area" localSheetId="7">'Residential BRT (10%)'!$A$10:$Q$80</definedName>
    <definedName name="_xlnm.Print_Area" localSheetId="4">'Residential CND'!$A$10:$Q$80</definedName>
    <definedName name="_xlnm.Print_Area" localSheetId="5">'Residential CND (10%)'!$A$10:$Q$80</definedName>
    <definedName name="_xlnm.Print_Area" localSheetId="25">'SENTINEL BRT'!$A$10:$Q$88</definedName>
    <definedName name="_xlnm.Print_Area" localSheetId="21">'STREET LIGHTING BRT'!$A$10:$Q$88</definedName>
    <definedName name="_xlnm.Print_Area" localSheetId="22">'STREET LIGHTING CND'!$A$10:$Q$88</definedName>
    <definedName name="_xlnm.Print_Area" localSheetId="0">'Table Bill Impact'!$C$1:$M$43</definedName>
    <definedName name="_xlnm.Print_Area" localSheetId="24">'USL BRT'!$A$10:$Q$81</definedName>
    <definedName name="_xlnm.Print_Area" localSheetId="23">'USL CND'!$A$10:$Q$81</definedName>
    <definedName name="_xlnm.Print_Titles" localSheetId="3">Rates!$1:$1</definedName>
    <definedName name="Shirley" localSheetId="18">#REF!</definedName>
    <definedName name="Shirley" localSheetId="19">#REF!</definedName>
    <definedName name="Shirley" localSheetId="20">#REF!</definedName>
    <definedName name="Shirley" localSheetId="17">#REF!</definedName>
    <definedName name="Shirley" localSheetId="16">#REF!</definedName>
    <definedName name="Shirley" localSheetId="14">#REF!</definedName>
    <definedName name="Shirley" localSheetId="13">#REF!</definedName>
    <definedName name="Shirley" localSheetId="11">#REF!</definedName>
    <definedName name="Shirley" localSheetId="12">#REF!</definedName>
    <definedName name="Shirley" localSheetId="9">#REF!</definedName>
    <definedName name="Shirley" localSheetId="8">#REF!</definedName>
    <definedName name="Shirley" localSheetId="15">#REF!</definedName>
    <definedName name="Shirley" localSheetId="7">#REF!</definedName>
    <definedName name="Shirley" localSheetId="4">#REF!</definedName>
    <definedName name="Shirley" localSheetId="5">#REF!</definedName>
    <definedName name="Shirley" localSheetId="25">#REF!</definedName>
    <definedName name="Shirley" localSheetId="21">#REF!</definedName>
    <definedName name="Shirley" localSheetId="22">#REF!</definedName>
    <definedName name="Shirley" localSheetId="1">#REF!</definedName>
    <definedName name="Shirley" localSheetId="24">#REF!</definedName>
    <definedName name="Shirley" localSheetId="23">#REF!</definedName>
    <definedName name="Shirley">#REF!</definedName>
    <definedName name="total_current_wholesale_network">'[3]13. RTSR - Current Wholesale'!$F$109</definedName>
    <definedName name="Units" localSheetId="18">#REF!</definedName>
    <definedName name="Units" localSheetId="19">#REF!</definedName>
    <definedName name="Units" localSheetId="20">#REF!</definedName>
    <definedName name="Units" localSheetId="17">#REF!</definedName>
    <definedName name="Units" localSheetId="16">#REF!</definedName>
    <definedName name="Units" localSheetId="14">#REF!</definedName>
    <definedName name="Units" localSheetId="13">#REF!</definedName>
    <definedName name="Units" localSheetId="11">#REF!</definedName>
    <definedName name="Units" localSheetId="12">#REF!</definedName>
    <definedName name="Units" localSheetId="9">#REF!</definedName>
    <definedName name="Units" localSheetId="8">#REF!</definedName>
    <definedName name="Units" localSheetId="15">#REF!</definedName>
    <definedName name="Units" localSheetId="7">#REF!</definedName>
    <definedName name="Units" localSheetId="4">#REF!</definedName>
    <definedName name="Units" localSheetId="5">#REF!</definedName>
    <definedName name="Units" localSheetId="25">#REF!</definedName>
    <definedName name="Units" localSheetId="21">#REF!</definedName>
    <definedName name="Units" localSheetId="22">#REF!</definedName>
    <definedName name="Units" localSheetId="1">#REF!</definedName>
    <definedName name="Units" localSheetId="24">#REF!</definedName>
    <definedName name="Units" localSheetId="23">#REF!</definedName>
    <definedName name="Units">#REF!</definedName>
    <definedName name="UOM" localSheetId="18">#REF!</definedName>
    <definedName name="UOM" localSheetId="19">#REF!</definedName>
    <definedName name="UOM" localSheetId="20">#REF!</definedName>
    <definedName name="UOM" localSheetId="17">#REF!</definedName>
    <definedName name="UOM" localSheetId="16">#REF!</definedName>
    <definedName name="UOM" localSheetId="14">#REF!</definedName>
    <definedName name="UOM" localSheetId="13">#REF!</definedName>
    <definedName name="UOM" localSheetId="11">#REF!</definedName>
    <definedName name="UOM" localSheetId="12">#REF!</definedName>
    <definedName name="UOM" localSheetId="9">#REF!</definedName>
    <definedName name="UOM" localSheetId="8">#REF!</definedName>
    <definedName name="UOM" localSheetId="15">#REF!</definedName>
    <definedName name="UOM" localSheetId="7">#REF!</definedName>
    <definedName name="UOM" localSheetId="4">#REF!</definedName>
    <definedName name="UOM" localSheetId="5">#REF!</definedName>
    <definedName name="UOM" localSheetId="25">#REF!</definedName>
    <definedName name="UOM" localSheetId="21">#REF!</definedName>
    <definedName name="UOM" localSheetId="22">#REF!</definedName>
    <definedName name="UOM" localSheetId="1">#REF!</definedName>
    <definedName name="UOM" localSheetId="24">#REF!</definedName>
    <definedName name="UOM" localSheetId="23">#REF!</definedName>
    <definedName name="UOM">#REF!</definedName>
  </definedNames>
  <calcPr calcId="171027"/>
</workbook>
</file>

<file path=xl/calcChain.xml><?xml version="1.0" encoding="utf-8"?>
<calcChain xmlns="http://schemas.openxmlformats.org/spreadsheetml/2006/main">
  <c r="J56" i="86" l="1"/>
  <c r="J56" i="85"/>
  <c r="J56" i="80"/>
  <c r="J56" i="79"/>
  <c r="J55" i="81"/>
  <c r="J56" i="84"/>
  <c r="J54" i="81"/>
  <c r="J56" i="82"/>
  <c r="J56" i="83"/>
  <c r="J56" i="77"/>
  <c r="J56" i="78"/>
  <c r="J58" i="93"/>
  <c r="J58" i="76"/>
  <c r="J58" i="67"/>
  <c r="J55" i="64"/>
  <c r="B34" i="87" l="1"/>
  <c r="D34" i="87"/>
  <c r="F34" i="87"/>
  <c r="B34" i="89"/>
  <c r="D34" i="89"/>
  <c r="K34" i="89" s="1"/>
  <c r="F34" i="89"/>
  <c r="B34" i="90"/>
  <c r="D34" i="90"/>
  <c r="G34" i="90" s="1"/>
  <c r="F34" i="90"/>
  <c r="B34" i="86"/>
  <c r="D34" i="86"/>
  <c r="F34" i="86"/>
  <c r="B34" i="85"/>
  <c r="D34" i="85"/>
  <c r="F34" i="85"/>
  <c r="B34" i="80"/>
  <c r="D34" i="80"/>
  <c r="F34" i="80"/>
  <c r="B34" i="79"/>
  <c r="D34" i="79"/>
  <c r="F34" i="79"/>
  <c r="B34" i="81"/>
  <c r="D34" i="81"/>
  <c r="F34" i="81"/>
  <c r="B35" i="82"/>
  <c r="D35" i="82"/>
  <c r="F35" i="82"/>
  <c r="B34" i="82"/>
  <c r="D34" i="82"/>
  <c r="F34" i="82"/>
  <c r="B34" i="83"/>
  <c r="D34" i="83"/>
  <c r="F34" i="83"/>
  <c r="B35" i="84"/>
  <c r="D35" i="84"/>
  <c r="F35" i="84"/>
  <c r="B35" i="77"/>
  <c r="D35" i="77"/>
  <c r="F35" i="77"/>
  <c r="B35" i="78"/>
  <c r="D35" i="78"/>
  <c r="F35" i="78"/>
  <c r="B35" i="93"/>
  <c r="D35" i="93"/>
  <c r="F35" i="93"/>
  <c r="B35" i="76"/>
  <c r="D35" i="76"/>
  <c r="F35" i="76"/>
  <c r="B35" i="67"/>
  <c r="D35" i="67"/>
  <c r="F35" i="67"/>
  <c r="B35" i="75"/>
  <c r="D35" i="75"/>
  <c r="G35" i="75" s="1"/>
  <c r="F35" i="75"/>
  <c r="B35" i="74"/>
  <c r="D35" i="74"/>
  <c r="G35" i="74" s="1"/>
  <c r="F35" i="74"/>
  <c r="B35" i="95"/>
  <c r="D35" i="95"/>
  <c r="K35" i="95" s="1"/>
  <c r="F35" i="95"/>
  <c r="B35" i="64"/>
  <c r="D35" i="64"/>
  <c r="G35" i="64" s="1"/>
  <c r="F35" i="64"/>
  <c r="B35" i="94"/>
  <c r="D35" i="94"/>
  <c r="K35" i="94" s="1"/>
  <c r="F35" i="94"/>
  <c r="B35" i="73"/>
  <c r="D35" i="73"/>
  <c r="G35" i="73" s="1"/>
  <c r="F35" i="73"/>
  <c r="G34" i="89" l="1"/>
  <c r="H34" i="89" s="1"/>
  <c r="H34" i="90"/>
  <c r="K34" i="90"/>
  <c r="L111" i="62"/>
  <c r="J34" i="83" s="1"/>
  <c r="L182" i="62"/>
  <c r="J35" i="77" s="1"/>
  <c r="L205" i="62"/>
  <c r="J35" i="84" s="1"/>
  <c r="L134" i="62"/>
  <c r="J35" i="74" s="1"/>
  <c r="L157" i="62"/>
  <c r="J35" i="76" s="1"/>
  <c r="H35" i="75"/>
  <c r="H35" i="74"/>
  <c r="K35" i="75"/>
  <c r="J35" i="75"/>
  <c r="K35" i="74"/>
  <c r="L228" i="62"/>
  <c r="J35" i="64" s="1"/>
  <c r="H35" i="64"/>
  <c r="K35" i="73"/>
  <c r="K35" i="64"/>
  <c r="J35" i="73"/>
  <c r="G35" i="94"/>
  <c r="H35" i="94" s="1"/>
  <c r="G35" i="95"/>
  <c r="H35" i="95" s="1"/>
  <c r="H35" i="73"/>
  <c r="J35" i="78" l="1"/>
  <c r="J35" i="93"/>
  <c r="J35" i="67"/>
  <c r="J35" i="95"/>
  <c r="L35" i="95" s="1"/>
  <c r="N35" i="95" s="1"/>
  <c r="L35" i="64"/>
  <c r="O35" i="64" s="1"/>
  <c r="L35" i="75"/>
  <c r="N35" i="75" s="1"/>
  <c r="J35" i="94"/>
  <c r="L35" i="94" s="1"/>
  <c r="O35" i="94" s="1"/>
  <c r="L35" i="74"/>
  <c r="O35" i="74" s="1"/>
  <c r="N35" i="64"/>
  <c r="L35" i="73"/>
  <c r="N35" i="73" s="1"/>
  <c r="F51" i="77"/>
  <c r="O35" i="95" l="1"/>
  <c r="N35" i="94"/>
  <c r="O35" i="73"/>
  <c r="O35" i="75"/>
  <c r="N35" i="74"/>
  <c r="B45" i="81"/>
  <c r="D45" i="81"/>
  <c r="B46" i="82"/>
  <c r="G44" i="83"/>
  <c r="G45" i="83"/>
  <c r="J74" i="83"/>
  <c r="F74" i="83"/>
  <c r="L294" i="62" l="1"/>
  <c r="L272" i="62"/>
  <c r="L250" i="62"/>
  <c r="J34" i="87" s="1"/>
  <c r="L89" i="62"/>
  <c r="L67" i="62"/>
  <c r="J34" i="80" s="1"/>
  <c r="L45" i="62"/>
  <c r="J34" i="79" s="1"/>
  <c r="L24" i="62"/>
  <c r="J34" i="81" s="1"/>
  <c r="F74" i="87"/>
  <c r="F69" i="89"/>
  <c r="F69" i="90"/>
  <c r="F74" i="85"/>
  <c r="F74" i="86"/>
  <c r="G52" i="83"/>
  <c r="F74" i="84"/>
  <c r="F74" i="77"/>
  <c r="F74" i="78"/>
  <c r="F76" i="93"/>
  <c r="F76" i="76"/>
  <c r="F76" i="67"/>
  <c r="F69" i="75"/>
  <c r="F69" i="74"/>
  <c r="F68" i="95"/>
  <c r="F68" i="64"/>
  <c r="F68" i="94"/>
  <c r="F68" i="73"/>
  <c r="J74" i="87"/>
  <c r="F74" i="82"/>
  <c r="J34" i="86" l="1"/>
  <c r="J34" i="85"/>
  <c r="J34" i="89"/>
  <c r="L34" i="89" s="1"/>
  <c r="J34" i="90"/>
  <c r="L34" i="90" s="1"/>
  <c r="J34" i="82"/>
  <c r="J69" i="74"/>
  <c r="J69" i="89"/>
  <c r="J68" i="64"/>
  <c r="J74" i="77"/>
  <c r="K52" i="77" s="1"/>
  <c r="J68" i="73"/>
  <c r="J76" i="93"/>
  <c r="J76" i="67"/>
  <c r="J68" i="94"/>
  <c r="J68" i="95"/>
  <c r="J69" i="75"/>
  <c r="J76" i="76"/>
  <c r="J74" i="78"/>
  <c r="J74" i="85"/>
  <c r="J74" i="86"/>
  <c r="J69" i="90"/>
  <c r="F73" i="81"/>
  <c r="F74" i="80"/>
  <c r="F74" i="79"/>
  <c r="O34" i="90" l="1"/>
  <c r="N34" i="90"/>
  <c r="N34" i="89"/>
  <c r="O34" i="89"/>
  <c r="J73" i="81"/>
  <c r="J74" i="80"/>
  <c r="J74" i="79"/>
  <c r="J74" i="82"/>
  <c r="J74" i="84" l="1"/>
  <c r="K52" i="84" s="1"/>
  <c r="F17" i="82" l="1"/>
  <c r="K35" i="82" l="1"/>
  <c r="G35" i="82"/>
  <c r="H35" i="82" s="1"/>
  <c r="G34" i="82"/>
  <c r="H34" i="82" s="1"/>
  <c r="K34" i="82"/>
  <c r="L34" i="82" s="1"/>
  <c r="N34" i="82" s="1"/>
  <c r="D33" i="92"/>
  <c r="D6" i="92"/>
  <c r="O34" i="82" l="1"/>
  <c r="O60" i="95"/>
  <c r="N60" i="95"/>
  <c r="J60" i="95"/>
  <c r="J59" i="95"/>
  <c r="G59" i="95"/>
  <c r="K59" i="95" s="1"/>
  <c r="F59" i="95"/>
  <c r="D59" i="95"/>
  <c r="B59" i="95"/>
  <c r="K58" i="95"/>
  <c r="J58" i="95"/>
  <c r="G58" i="95"/>
  <c r="F58" i="95"/>
  <c r="D58" i="95"/>
  <c r="B58" i="95"/>
  <c r="J57" i="95"/>
  <c r="L57" i="95" s="1"/>
  <c r="G57" i="95"/>
  <c r="K57" i="95" s="1"/>
  <c r="F57" i="95"/>
  <c r="H57" i="95" s="1"/>
  <c r="D57" i="95"/>
  <c r="B57" i="95"/>
  <c r="J56" i="95"/>
  <c r="G56" i="95"/>
  <c r="F56" i="95"/>
  <c r="D56" i="95"/>
  <c r="B56" i="95"/>
  <c r="J55" i="95"/>
  <c r="G55" i="95"/>
  <c r="K55" i="95" s="1"/>
  <c r="F55" i="95"/>
  <c r="D55" i="95"/>
  <c r="B55" i="95"/>
  <c r="J54" i="95"/>
  <c r="F54" i="95"/>
  <c r="D54" i="95"/>
  <c r="B54" i="95"/>
  <c r="J53" i="95"/>
  <c r="F53" i="95"/>
  <c r="D53" i="95"/>
  <c r="B53" i="95"/>
  <c r="J52" i="95"/>
  <c r="F52" i="95"/>
  <c r="D52" i="95"/>
  <c r="B52" i="95"/>
  <c r="J51" i="95"/>
  <c r="F51" i="95"/>
  <c r="D51" i="95"/>
  <c r="K51" i="95" s="1"/>
  <c r="B51" i="95"/>
  <c r="D49" i="95"/>
  <c r="B49" i="95"/>
  <c r="G48" i="95"/>
  <c r="G53" i="95" s="1"/>
  <c r="D48" i="95"/>
  <c r="B48" i="95"/>
  <c r="F45" i="95"/>
  <c r="D45" i="95"/>
  <c r="B45" i="95"/>
  <c r="D44" i="95"/>
  <c r="G44" i="95" s="1"/>
  <c r="B44" i="95"/>
  <c r="J43" i="95"/>
  <c r="F43" i="95"/>
  <c r="D43" i="95"/>
  <c r="K43" i="95" s="1"/>
  <c r="B43" i="95"/>
  <c r="D42" i="95"/>
  <c r="G42" i="95" s="1"/>
  <c r="B42" i="95"/>
  <c r="F41" i="95"/>
  <c r="D41" i="95"/>
  <c r="K41" i="95" s="1"/>
  <c r="B41" i="95"/>
  <c r="D40" i="95"/>
  <c r="G40" i="95" s="1"/>
  <c r="B40" i="95"/>
  <c r="J39" i="95"/>
  <c r="F39" i="95"/>
  <c r="D39" i="95"/>
  <c r="K39" i="95" s="1"/>
  <c r="B39" i="95"/>
  <c r="G38" i="95"/>
  <c r="F37" i="95"/>
  <c r="D37" i="95"/>
  <c r="K37" i="95" s="1"/>
  <c r="B37" i="95"/>
  <c r="J34" i="95"/>
  <c r="F34" i="95"/>
  <c r="D34" i="95"/>
  <c r="G34" i="95" s="1"/>
  <c r="B34" i="95"/>
  <c r="J33" i="95"/>
  <c r="F33" i="95"/>
  <c r="D33" i="95"/>
  <c r="K33" i="95" s="1"/>
  <c r="B33" i="95"/>
  <c r="D32" i="95"/>
  <c r="G32" i="95" s="1"/>
  <c r="B32" i="95"/>
  <c r="F31" i="95"/>
  <c r="D31" i="95"/>
  <c r="K31" i="95" s="1"/>
  <c r="B31" i="95"/>
  <c r="J30" i="95"/>
  <c r="F30" i="95"/>
  <c r="D30" i="95"/>
  <c r="K30" i="95" s="1"/>
  <c r="B30" i="95"/>
  <c r="J29" i="95"/>
  <c r="F29" i="95"/>
  <c r="D29" i="95"/>
  <c r="K29" i="95" s="1"/>
  <c r="B29" i="95"/>
  <c r="J28" i="95"/>
  <c r="F28" i="95"/>
  <c r="D28" i="95"/>
  <c r="K28" i="95" s="1"/>
  <c r="B28" i="95"/>
  <c r="F27" i="95"/>
  <c r="D27" i="95"/>
  <c r="K27" i="95" s="1"/>
  <c r="B27" i="95"/>
  <c r="J26" i="95"/>
  <c r="F26" i="95"/>
  <c r="D26" i="95"/>
  <c r="G26" i="95" s="1"/>
  <c r="B26" i="95"/>
  <c r="D25" i="95"/>
  <c r="K25" i="95" s="1"/>
  <c r="B25" i="95"/>
  <c r="J24" i="95"/>
  <c r="F24" i="95"/>
  <c r="D24" i="95"/>
  <c r="G24" i="95" s="1"/>
  <c r="B24" i="95"/>
  <c r="D23" i="95"/>
  <c r="K23" i="95" s="1"/>
  <c r="B23" i="95"/>
  <c r="G48" i="94"/>
  <c r="G53" i="94" s="1"/>
  <c r="O60" i="94"/>
  <c r="N60" i="94"/>
  <c r="J60" i="94"/>
  <c r="J59" i="94"/>
  <c r="G59" i="94"/>
  <c r="K59" i="94" s="1"/>
  <c r="F59" i="94"/>
  <c r="D59" i="94"/>
  <c r="B59" i="94"/>
  <c r="J58" i="94"/>
  <c r="G58" i="94"/>
  <c r="K58" i="94" s="1"/>
  <c r="F58" i="94"/>
  <c r="D58" i="94"/>
  <c r="B58" i="94"/>
  <c r="J57" i="94"/>
  <c r="G57" i="94"/>
  <c r="K57" i="94" s="1"/>
  <c r="F57" i="94"/>
  <c r="D57" i="94"/>
  <c r="B57" i="94"/>
  <c r="J56" i="94"/>
  <c r="G56" i="94"/>
  <c r="F56" i="94"/>
  <c r="D56" i="94"/>
  <c r="B56" i="94"/>
  <c r="J55" i="94"/>
  <c r="G55" i="94"/>
  <c r="K55" i="94" s="1"/>
  <c r="F55" i="94"/>
  <c r="D55" i="94"/>
  <c r="B55" i="94"/>
  <c r="J54" i="94"/>
  <c r="F54" i="94"/>
  <c r="D54" i="94"/>
  <c r="B54" i="94"/>
  <c r="J53" i="94"/>
  <c r="F53" i="94"/>
  <c r="D53" i="94"/>
  <c r="B53" i="94"/>
  <c r="J52" i="94"/>
  <c r="F52" i="94"/>
  <c r="D52" i="94"/>
  <c r="B52" i="94"/>
  <c r="J51" i="94"/>
  <c r="F51" i="94"/>
  <c r="D51" i="94"/>
  <c r="K51" i="94" s="1"/>
  <c r="B51" i="94"/>
  <c r="D49" i="94"/>
  <c r="B49" i="94"/>
  <c r="D48" i="94"/>
  <c r="B48" i="94"/>
  <c r="D45" i="94"/>
  <c r="B45" i="94"/>
  <c r="D44" i="94"/>
  <c r="K44" i="94" s="1"/>
  <c r="B44" i="94"/>
  <c r="J43" i="94"/>
  <c r="F43" i="94"/>
  <c r="D43" i="94"/>
  <c r="K43" i="94" s="1"/>
  <c r="B43" i="94"/>
  <c r="D42" i="94"/>
  <c r="G42" i="94" s="1"/>
  <c r="B42" i="94"/>
  <c r="F41" i="94"/>
  <c r="D41" i="94"/>
  <c r="K41" i="94" s="1"/>
  <c r="B41" i="94"/>
  <c r="D40" i="94"/>
  <c r="G40" i="94" s="1"/>
  <c r="B40" i="94"/>
  <c r="J39" i="94"/>
  <c r="F39" i="94"/>
  <c r="D39" i="94"/>
  <c r="K39" i="94" s="1"/>
  <c r="B39" i="94"/>
  <c r="D37" i="94"/>
  <c r="K37" i="94" s="1"/>
  <c r="B37" i="94"/>
  <c r="J34" i="94"/>
  <c r="F34" i="94"/>
  <c r="D34" i="94"/>
  <c r="G34" i="94" s="1"/>
  <c r="B34" i="94"/>
  <c r="J33" i="94"/>
  <c r="F33" i="94"/>
  <c r="D33" i="94"/>
  <c r="K33" i="94" s="1"/>
  <c r="B33" i="94"/>
  <c r="F32" i="94"/>
  <c r="D32" i="94"/>
  <c r="G32" i="94" s="1"/>
  <c r="B32" i="94"/>
  <c r="F31" i="94"/>
  <c r="D31" i="94"/>
  <c r="K31" i="94" s="1"/>
  <c r="B31" i="94"/>
  <c r="J30" i="94"/>
  <c r="F30" i="94"/>
  <c r="D30" i="94"/>
  <c r="K30" i="94" s="1"/>
  <c r="B30" i="94"/>
  <c r="J29" i="94"/>
  <c r="F29" i="94"/>
  <c r="D29" i="94"/>
  <c r="K29" i="94" s="1"/>
  <c r="B29" i="94"/>
  <c r="J28" i="94"/>
  <c r="F28" i="94"/>
  <c r="D28" i="94"/>
  <c r="K28" i="94" s="1"/>
  <c r="B28" i="94"/>
  <c r="F27" i="94"/>
  <c r="D27" i="94"/>
  <c r="K27" i="94" s="1"/>
  <c r="B27" i="94"/>
  <c r="J26" i="94"/>
  <c r="F26" i="94"/>
  <c r="D26" i="94"/>
  <c r="G26" i="94" s="1"/>
  <c r="B26" i="94"/>
  <c r="D25" i="94"/>
  <c r="K25" i="94" s="1"/>
  <c r="B25" i="94"/>
  <c r="J24" i="94"/>
  <c r="F24" i="94"/>
  <c r="D24" i="94"/>
  <c r="G24" i="94" s="1"/>
  <c r="B24" i="94"/>
  <c r="D23" i="94"/>
  <c r="K23" i="94" s="1"/>
  <c r="B23" i="94"/>
  <c r="L59" i="95" l="1"/>
  <c r="L29" i="94"/>
  <c r="H26" i="94"/>
  <c r="G38" i="94"/>
  <c r="L55" i="94"/>
  <c r="L59" i="94"/>
  <c r="G30" i="95"/>
  <c r="H30" i="95" s="1"/>
  <c r="H34" i="95"/>
  <c r="H32" i="94"/>
  <c r="J38" i="95"/>
  <c r="K40" i="94"/>
  <c r="G41" i="94"/>
  <c r="H41" i="94" s="1"/>
  <c r="G31" i="95"/>
  <c r="H31" i="95" s="1"/>
  <c r="L33" i="95"/>
  <c r="G37" i="95"/>
  <c r="H37" i="95" s="1"/>
  <c r="L33" i="94"/>
  <c r="H34" i="94"/>
  <c r="K40" i="95"/>
  <c r="G41" i="95"/>
  <c r="H41" i="95" s="1"/>
  <c r="G23" i="94"/>
  <c r="K44" i="95"/>
  <c r="H56" i="95"/>
  <c r="J18" i="94"/>
  <c r="G28" i="94"/>
  <c r="H28" i="94" s="1"/>
  <c r="L51" i="94"/>
  <c r="L28" i="95"/>
  <c r="G51" i="95"/>
  <c r="H51" i="95" s="1"/>
  <c r="H24" i="94"/>
  <c r="G31" i="94"/>
  <c r="H31" i="94" s="1"/>
  <c r="G37" i="94"/>
  <c r="J38" i="94"/>
  <c r="H26" i="95"/>
  <c r="G39" i="95"/>
  <c r="H39" i="95" s="1"/>
  <c r="L30" i="94"/>
  <c r="F38" i="94"/>
  <c r="L39" i="94"/>
  <c r="H53" i="94"/>
  <c r="G23" i="95"/>
  <c r="L29" i="95"/>
  <c r="G29" i="94"/>
  <c r="H29" i="94" s="1"/>
  <c r="G43" i="94"/>
  <c r="G44" i="94"/>
  <c r="H56" i="94"/>
  <c r="G28" i="95"/>
  <c r="H28" i="95" s="1"/>
  <c r="L30" i="95"/>
  <c r="F38" i="95"/>
  <c r="H38" i="95" s="1"/>
  <c r="L39" i="95"/>
  <c r="H53" i="95"/>
  <c r="L28" i="94"/>
  <c r="G30" i="94"/>
  <c r="H30" i="94" s="1"/>
  <c r="G39" i="94"/>
  <c r="H39" i="94" s="1"/>
  <c r="G51" i="94"/>
  <c r="H51" i="94" s="1"/>
  <c r="L57" i="94"/>
  <c r="H24" i="95"/>
  <c r="G29" i="95"/>
  <c r="H29" i="95" s="1"/>
  <c r="G43" i="95"/>
  <c r="L51" i="95"/>
  <c r="L55" i="95"/>
  <c r="K56" i="94"/>
  <c r="N57" i="95"/>
  <c r="O57" i="95" s="1"/>
  <c r="K56" i="95"/>
  <c r="L56" i="95" s="1"/>
  <c r="H57" i="94"/>
  <c r="K24" i="95"/>
  <c r="L24" i="95" s="1"/>
  <c r="K32" i="95"/>
  <c r="G45" i="95"/>
  <c r="H45" i="95" s="1"/>
  <c r="K45" i="95"/>
  <c r="K26" i="95"/>
  <c r="L26" i="95" s="1"/>
  <c r="K34" i="95"/>
  <c r="L34" i="95" s="1"/>
  <c r="H55" i="95"/>
  <c r="L58" i="95"/>
  <c r="G25" i="95"/>
  <c r="G33" i="95"/>
  <c r="H33" i="95" s="1"/>
  <c r="L43" i="95"/>
  <c r="G27" i="95"/>
  <c r="H27" i="95" s="1"/>
  <c r="K42" i="95"/>
  <c r="G52" i="95"/>
  <c r="H52" i="95" s="1"/>
  <c r="G49" i="95"/>
  <c r="H58" i="95"/>
  <c r="O58" i="95" s="1"/>
  <c r="H59" i="95"/>
  <c r="K24" i="94"/>
  <c r="L24" i="94" s="1"/>
  <c r="K32" i="94"/>
  <c r="G45" i="94"/>
  <c r="K45" i="94"/>
  <c r="K26" i="94"/>
  <c r="L26" i="94" s="1"/>
  <c r="K34" i="94"/>
  <c r="L34" i="94" s="1"/>
  <c r="H55" i="94"/>
  <c r="L58" i="94"/>
  <c r="G25" i="94"/>
  <c r="G33" i="94"/>
  <c r="H33" i="94" s="1"/>
  <c r="L43" i="94"/>
  <c r="L56" i="94"/>
  <c r="G27" i="94"/>
  <c r="H27" i="94" s="1"/>
  <c r="K42" i="94"/>
  <c r="G52" i="94"/>
  <c r="H52" i="94" s="1"/>
  <c r="G49" i="94"/>
  <c r="H58" i="94"/>
  <c r="H59" i="94"/>
  <c r="F49" i="95"/>
  <c r="F48" i="95"/>
  <c r="F45" i="74"/>
  <c r="F42" i="95"/>
  <c r="H42" i="95" s="1"/>
  <c r="F44" i="95"/>
  <c r="H44" i="95" s="1"/>
  <c r="F40" i="95"/>
  <c r="H40" i="95" s="1"/>
  <c r="F32" i="95"/>
  <c r="H32" i="95" s="1"/>
  <c r="F25" i="95"/>
  <c r="F23" i="95"/>
  <c r="F49" i="94"/>
  <c r="F48" i="94"/>
  <c r="H48" i="94" s="1"/>
  <c r="F45" i="94"/>
  <c r="F44" i="94"/>
  <c r="F42" i="94"/>
  <c r="H42" i="94" s="1"/>
  <c r="F40" i="94"/>
  <c r="H40" i="94" s="1"/>
  <c r="F37" i="94"/>
  <c r="F25" i="94"/>
  <c r="F23" i="94"/>
  <c r="O59" i="95" l="1"/>
  <c r="N26" i="94"/>
  <c r="O29" i="94"/>
  <c r="O28" i="94"/>
  <c r="O59" i="94"/>
  <c r="N55" i="94"/>
  <c r="O55" i="94" s="1"/>
  <c r="N34" i="95"/>
  <c r="N26" i="95"/>
  <c r="O39" i="95"/>
  <c r="H38" i="94"/>
  <c r="N34" i="94"/>
  <c r="H23" i="94"/>
  <c r="N24" i="94"/>
  <c r="N56" i="94"/>
  <c r="O56" i="94" s="1"/>
  <c r="N29" i="94"/>
  <c r="O30" i="94"/>
  <c r="O33" i="94"/>
  <c r="N28" i="94"/>
  <c r="O39" i="94"/>
  <c r="N51" i="94"/>
  <c r="O51" i="94" s="1"/>
  <c r="O33" i="95"/>
  <c r="N56" i="95"/>
  <c r="O56" i="95" s="1"/>
  <c r="N39" i="94"/>
  <c r="O30" i="95"/>
  <c r="O29" i="95"/>
  <c r="H44" i="94"/>
  <c r="H23" i="95"/>
  <c r="N55" i="95"/>
  <c r="O55" i="95" s="1"/>
  <c r="N51" i="95"/>
  <c r="O51" i="95" s="1"/>
  <c r="H37" i="94"/>
  <c r="N57" i="94"/>
  <c r="O57" i="94" s="1"/>
  <c r="N28" i="95"/>
  <c r="O28" i="95"/>
  <c r="N39" i="95"/>
  <c r="N29" i="95"/>
  <c r="N24" i="95"/>
  <c r="N33" i="95"/>
  <c r="H48" i="95"/>
  <c r="H25" i="95"/>
  <c r="H25" i="94"/>
  <c r="H45" i="94"/>
  <c r="N33" i="94"/>
  <c r="N59" i="95"/>
  <c r="O26" i="95"/>
  <c r="O58" i="94"/>
  <c r="N59" i="94"/>
  <c r="O26" i="94"/>
  <c r="N58" i="95"/>
  <c r="O34" i="95"/>
  <c r="G54" i="95"/>
  <c r="H54" i="95" s="1"/>
  <c r="H49" i="95"/>
  <c r="O43" i="95"/>
  <c r="N43" i="95"/>
  <c r="O24" i="95"/>
  <c r="N30" i="95"/>
  <c r="N58" i="94"/>
  <c r="O34" i="94"/>
  <c r="G54" i="94"/>
  <c r="H54" i="94" s="1"/>
  <c r="H49" i="94"/>
  <c r="O43" i="94"/>
  <c r="N43" i="94"/>
  <c r="O24" i="94"/>
  <c r="N30" i="94"/>
  <c r="G50" i="93"/>
  <c r="G55" i="74"/>
  <c r="H36" i="95" l="1"/>
  <c r="H47" i="95" s="1"/>
  <c r="F33" i="92"/>
  <c r="F6" i="92"/>
  <c r="H36" i="94"/>
  <c r="H47" i="94" s="1"/>
  <c r="D41" i="73"/>
  <c r="K41" i="73" s="1"/>
  <c r="H50" i="95" l="1"/>
  <c r="H50" i="94"/>
  <c r="G41" i="73"/>
  <c r="H62" i="95" l="1"/>
  <c r="J33" i="92" s="1"/>
  <c r="H62" i="94"/>
  <c r="J6" i="92" s="1"/>
  <c r="D35" i="92"/>
  <c r="D36" i="92"/>
  <c r="G62" i="93"/>
  <c r="F62" i="93"/>
  <c r="J62" i="93" s="1"/>
  <c r="D62" i="93"/>
  <c r="B62" i="93"/>
  <c r="F61" i="93"/>
  <c r="J61" i="93" s="1"/>
  <c r="D61" i="93"/>
  <c r="B61" i="93"/>
  <c r="F60" i="93"/>
  <c r="J60" i="93" s="1"/>
  <c r="D60" i="93"/>
  <c r="B60" i="93"/>
  <c r="F59" i="93"/>
  <c r="J59" i="93" s="1"/>
  <c r="D59" i="93"/>
  <c r="B59" i="93"/>
  <c r="F58" i="93"/>
  <c r="D58" i="93"/>
  <c r="B58" i="93"/>
  <c r="K57" i="93"/>
  <c r="J57" i="93"/>
  <c r="G57" i="93"/>
  <c r="F57" i="93"/>
  <c r="D57" i="93"/>
  <c r="B57" i="93"/>
  <c r="J56" i="93"/>
  <c r="F56" i="93"/>
  <c r="D56" i="93"/>
  <c r="B56" i="93"/>
  <c r="J55" i="93"/>
  <c r="F55" i="93"/>
  <c r="D55" i="93"/>
  <c r="B55" i="93"/>
  <c r="J54" i="93"/>
  <c r="F54" i="93"/>
  <c r="D54" i="93"/>
  <c r="B54" i="93"/>
  <c r="J53" i="93"/>
  <c r="F53" i="93"/>
  <c r="D53" i="93"/>
  <c r="B53" i="93"/>
  <c r="D51" i="93"/>
  <c r="B51" i="93"/>
  <c r="D50" i="93"/>
  <c r="B50" i="93"/>
  <c r="D49" i="93"/>
  <c r="B49" i="93"/>
  <c r="D48" i="93"/>
  <c r="B48" i="93"/>
  <c r="F45" i="93"/>
  <c r="D45" i="93"/>
  <c r="B45" i="93"/>
  <c r="D44" i="93"/>
  <c r="B44" i="93"/>
  <c r="F43" i="93"/>
  <c r="D43" i="93"/>
  <c r="B43" i="93"/>
  <c r="D42" i="93"/>
  <c r="B42" i="93"/>
  <c r="J41" i="93"/>
  <c r="F41" i="93"/>
  <c r="D41" i="93"/>
  <c r="B41" i="93"/>
  <c r="F40" i="93"/>
  <c r="D40" i="93"/>
  <c r="B40" i="93"/>
  <c r="J39" i="93"/>
  <c r="F39" i="93"/>
  <c r="D39" i="93"/>
  <c r="B39" i="93"/>
  <c r="L38" i="93"/>
  <c r="H38" i="93"/>
  <c r="F37" i="93"/>
  <c r="D37" i="93"/>
  <c r="B37" i="93"/>
  <c r="J34" i="93"/>
  <c r="F34" i="93"/>
  <c r="D34" i="93"/>
  <c r="B34" i="93"/>
  <c r="J33" i="93"/>
  <c r="F33" i="93"/>
  <c r="D33" i="93"/>
  <c r="B33" i="93"/>
  <c r="F32" i="93"/>
  <c r="D32" i="93"/>
  <c r="B32" i="93"/>
  <c r="F31" i="93"/>
  <c r="D31" i="93"/>
  <c r="B31" i="93"/>
  <c r="J30" i="93"/>
  <c r="F30" i="93"/>
  <c r="D30" i="93"/>
  <c r="B30" i="93"/>
  <c r="J29" i="93"/>
  <c r="F29" i="93"/>
  <c r="D29" i="93"/>
  <c r="B29" i="93"/>
  <c r="J28" i="93"/>
  <c r="F28" i="93"/>
  <c r="D28" i="93"/>
  <c r="B28" i="93"/>
  <c r="F27" i="93"/>
  <c r="D27" i="93"/>
  <c r="B27" i="93"/>
  <c r="J26" i="93"/>
  <c r="F26" i="93"/>
  <c r="D26" i="93"/>
  <c r="B26" i="93"/>
  <c r="D25" i="93"/>
  <c r="B25" i="93"/>
  <c r="J24" i="93"/>
  <c r="F24" i="93"/>
  <c r="D24" i="93"/>
  <c r="B24" i="93"/>
  <c r="D23" i="93"/>
  <c r="B23" i="93"/>
  <c r="F18" i="93"/>
  <c r="F17" i="93" s="1"/>
  <c r="E35" i="92" s="1"/>
  <c r="G35" i="93" l="1"/>
  <c r="H35" i="93" s="1"/>
  <c r="K35" i="93"/>
  <c r="L35" i="93" s="1"/>
  <c r="N35" i="93" s="1"/>
  <c r="O38" i="93"/>
  <c r="N38" i="93"/>
  <c r="G55" i="93"/>
  <c r="H55" i="93" s="1"/>
  <c r="G61" i="93"/>
  <c r="G59" i="93" s="1"/>
  <c r="H59" i="93" s="1"/>
  <c r="H64" i="95"/>
  <c r="H63" i="95"/>
  <c r="H64" i="94"/>
  <c r="H63" i="94"/>
  <c r="G49" i="93"/>
  <c r="K49" i="93"/>
  <c r="G51" i="93"/>
  <c r="K51" i="93"/>
  <c r="K53" i="93"/>
  <c r="L53" i="93" s="1"/>
  <c r="G53" i="93"/>
  <c r="H53" i="93" s="1"/>
  <c r="K25" i="93"/>
  <c r="G25" i="93"/>
  <c r="K32" i="93"/>
  <c r="G32" i="93"/>
  <c r="H32" i="93" s="1"/>
  <c r="K28" i="93"/>
  <c r="L28" i="93" s="1"/>
  <c r="G28" i="93"/>
  <c r="H28" i="93" s="1"/>
  <c r="K29" i="93"/>
  <c r="L29" i="93" s="1"/>
  <c r="G29" i="93"/>
  <c r="H29" i="93" s="1"/>
  <c r="K30" i="93"/>
  <c r="L30" i="93" s="1"/>
  <c r="G30" i="93"/>
  <c r="H30" i="93" s="1"/>
  <c r="G31" i="93"/>
  <c r="H31" i="93" s="1"/>
  <c r="K31" i="93"/>
  <c r="G45" i="93"/>
  <c r="H45" i="93" s="1"/>
  <c r="K45" i="93"/>
  <c r="K24" i="93"/>
  <c r="L24" i="93" s="1"/>
  <c r="G24" i="93"/>
  <c r="H24" i="93" s="1"/>
  <c r="K43" i="93"/>
  <c r="G43" i="93"/>
  <c r="H43" i="93" s="1"/>
  <c r="G23" i="93"/>
  <c r="K23" i="93"/>
  <c r="K26" i="93"/>
  <c r="L26" i="93" s="1"/>
  <c r="G26" i="93"/>
  <c r="H26" i="93" s="1"/>
  <c r="G27" i="93"/>
  <c r="H27" i="93" s="1"/>
  <c r="K27" i="93"/>
  <c r="K37" i="93"/>
  <c r="G37" i="93"/>
  <c r="H37" i="93" s="1"/>
  <c r="G41" i="93"/>
  <c r="H41" i="93" s="1"/>
  <c r="K41" i="93"/>
  <c r="L41" i="93" s="1"/>
  <c r="K42" i="93"/>
  <c r="G42" i="93"/>
  <c r="K33" i="93"/>
  <c r="L33" i="93" s="1"/>
  <c r="G33" i="93"/>
  <c r="H33" i="93" s="1"/>
  <c r="K34" i="93"/>
  <c r="L34" i="93" s="1"/>
  <c r="G34" i="93"/>
  <c r="H34" i="93" s="1"/>
  <c r="K39" i="93"/>
  <c r="L39" i="93" s="1"/>
  <c r="G39" i="93"/>
  <c r="H39" i="93" s="1"/>
  <c r="K40" i="93"/>
  <c r="G40" i="93"/>
  <c r="H40" i="93" s="1"/>
  <c r="K44" i="93"/>
  <c r="G44" i="93"/>
  <c r="L57" i="93"/>
  <c r="H57" i="93"/>
  <c r="H62" i="93"/>
  <c r="G54" i="93"/>
  <c r="H54" i="93" s="1"/>
  <c r="G56" i="93"/>
  <c r="H56" i="93" s="1"/>
  <c r="O35" i="93" l="1"/>
  <c r="G58" i="93"/>
  <c r="H58" i="93" s="1"/>
  <c r="G60" i="93"/>
  <c r="H60" i="93" s="1"/>
  <c r="H61" i="93"/>
  <c r="H65" i="95"/>
  <c r="H65" i="94"/>
  <c r="O39" i="93"/>
  <c r="N53" i="93"/>
  <c r="O53" i="93" s="1"/>
  <c r="O24" i="93"/>
  <c r="N24" i="93"/>
  <c r="N28" i="93"/>
  <c r="O28" i="93"/>
  <c r="N30" i="93"/>
  <c r="O30" i="93"/>
  <c r="N39" i="93"/>
  <c r="N33" i="93"/>
  <c r="N34" i="93"/>
  <c r="O41" i="93"/>
  <c r="N29" i="93"/>
  <c r="O33" i="93"/>
  <c r="N57" i="93"/>
  <c r="O57" i="93" s="1"/>
  <c r="N26" i="93"/>
  <c r="N41" i="93"/>
  <c r="O26" i="93"/>
  <c r="O34" i="93"/>
  <c r="O29" i="93"/>
  <c r="H68" i="93" l="1"/>
  <c r="H70" i="93" s="1"/>
  <c r="H69" i="93" l="1"/>
  <c r="H71" i="93" s="1"/>
  <c r="H72" i="93" s="1"/>
  <c r="H73" i="93" l="1"/>
  <c r="F55" i="89" l="1"/>
  <c r="K55" i="89"/>
  <c r="J55" i="89"/>
  <c r="G55" i="89"/>
  <c r="D55" i="89"/>
  <c r="B55" i="89"/>
  <c r="J55" i="90"/>
  <c r="F55" i="90"/>
  <c r="D55" i="90"/>
  <c r="B55" i="90"/>
  <c r="K55" i="80"/>
  <c r="K55" i="79"/>
  <c r="K55" i="82"/>
  <c r="K55" i="84"/>
  <c r="K55" i="77"/>
  <c r="K55" i="78"/>
  <c r="K57" i="76"/>
  <c r="J55" i="75"/>
  <c r="F55" i="75"/>
  <c r="F54" i="75"/>
  <c r="D55" i="75"/>
  <c r="B55" i="75"/>
  <c r="K55" i="74"/>
  <c r="J55" i="74"/>
  <c r="L55" i="74" s="1"/>
  <c r="F55" i="74"/>
  <c r="H55" i="74" s="1"/>
  <c r="D55" i="74"/>
  <c r="B55" i="74"/>
  <c r="B57" i="67"/>
  <c r="G55" i="90" l="1"/>
  <c r="H55" i="90" s="1"/>
  <c r="K55" i="90"/>
  <c r="L55" i="90" s="1"/>
  <c r="G55" i="75"/>
  <c r="H55" i="75" s="1"/>
  <c r="K55" i="75"/>
  <c r="L55" i="75" s="1"/>
  <c r="N55" i="74"/>
  <c r="O55" i="74" s="1"/>
  <c r="L55" i="89"/>
  <c r="H55" i="89"/>
  <c r="J41" i="77"/>
  <c r="J39" i="77"/>
  <c r="J34" i="77"/>
  <c r="J33" i="77"/>
  <c r="J32" i="77"/>
  <c r="J30" i="77"/>
  <c r="J29" i="77"/>
  <c r="J28" i="77"/>
  <c r="J26" i="77"/>
  <c r="N55" i="90" l="1"/>
  <c r="O55" i="90" s="1"/>
  <c r="N55" i="75"/>
  <c r="O55" i="75" s="1"/>
  <c r="N55" i="89"/>
  <c r="O55" i="89" s="1"/>
  <c r="F50" i="93"/>
  <c r="F48" i="93"/>
  <c r="F44" i="93"/>
  <c r="H44" i="93" s="1"/>
  <c r="F42" i="93"/>
  <c r="H42" i="93" s="1"/>
  <c r="F25" i="93"/>
  <c r="H25" i="93" s="1"/>
  <c r="F23" i="93"/>
  <c r="H23" i="93" s="1"/>
  <c r="G169" i="62"/>
  <c r="G167" i="62"/>
  <c r="H36" i="93" l="1"/>
  <c r="H47" i="93" s="1"/>
  <c r="F35" i="92"/>
  <c r="F51" i="76"/>
  <c r="F51" i="93"/>
  <c r="S50" i="93"/>
  <c r="H50" i="93"/>
  <c r="H48" i="93"/>
  <c r="S48" i="93"/>
  <c r="F49" i="76"/>
  <c r="F49" i="93"/>
  <c r="D40" i="92"/>
  <c r="D43" i="92"/>
  <c r="D42" i="92"/>
  <c r="D41" i="92"/>
  <c r="D39" i="92"/>
  <c r="D38" i="92"/>
  <c r="D37" i="92"/>
  <c r="D34" i="92"/>
  <c r="D32" i="92"/>
  <c r="H51" i="93" l="1"/>
  <c r="S51" i="93"/>
  <c r="H49" i="93"/>
  <c r="S49" i="93"/>
  <c r="H52" i="93" l="1"/>
  <c r="H64" i="93" s="1"/>
  <c r="H65" i="93" s="1"/>
  <c r="H66" i="93" s="1"/>
  <c r="S52" i="93"/>
  <c r="D14" i="92"/>
  <c r="D13" i="92"/>
  <c r="D24" i="92" s="1"/>
  <c r="D12" i="92"/>
  <c r="D25" i="92" s="1"/>
  <c r="D11" i="92"/>
  <c r="D23" i="92" s="1"/>
  <c r="D10" i="92"/>
  <c r="D22" i="92" s="1"/>
  <c r="D9" i="92"/>
  <c r="D21" i="92" s="1"/>
  <c r="D8" i="92"/>
  <c r="D20" i="92" s="1"/>
  <c r="D7" i="92"/>
  <c r="D19" i="92" s="1"/>
  <c r="D5" i="92"/>
  <c r="D18" i="92" s="1"/>
  <c r="E18" i="92"/>
  <c r="J35" i="92" l="1"/>
  <c r="D26" i="92"/>
  <c r="G55" i="80"/>
  <c r="G55" i="79"/>
  <c r="G55" i="82"/>
  <c r="G55" i="84"/>
  <c r="G55" i="77"/>
  <c r="G55" i="78"/>
  <c r="G57" i="76"/>
  <c r="J26" i="73" l="1"/>
  <c r="J28" i="73"/>
  <c r="J29" i="73"/>
  <c r="J30" i="73"/>
  <c r="J33" i="73"/>
  <c r="J34" i="73"/>
  <c r="J39" i="73"/>
  <c r="J43" i="73"/>
  <c r="J43" i="87" l="1"/>
  <c r="J41" i="87"/>
  <c r="J39" i="87"/>
  <c r="J33" i="87"/>
  <c r="J32" i="87"/>
  <c r="J31" i="87"/>
  <c r="J30" i="87"/>
  <c r="J29" i="87"/>
  <c r="J27" i="87"/>
  <c r="J26" i="87"/>
  <c r="J43" i="89"/>
  <c r="J41" i="89"/>
  <c r="J39" i="89"/>
  <c r="J33" i="89"/>
  <c r="J32" i="89"/>
  <c r="J30" i="89"/>
  <c r="J29" i="89"/>
  <c r="J27" i="89"/>
  <c r="J26" i="89"/>
  <c r="J43" i="90"/>
  <c r="J41" i="90"/>
  <c r="J39" i="90"/>
  <c r="J33" i="90"/>
  <c r="J32" i="90"/>
  <c r="J30" i="90"/>
  <c r="J29" i="90"/>
  <c r="J27" i="90"/>
  <c r="J26" i="90"/>
  <c r="J43" i="86"/>
  <c r="J41" i="86"/>
  <c r="J39" i="86"/>
  <c r="J33" i="86"/>
  <c r="J32" i="86"/>
  <c r="J30" i="86"/>
  <c r="J29" i="86"/>
  <c r="J27" i="86"/>
  <c r="J26" i="86"/>
  <c r="J43" i="85"/>
  <c r="J41" i="85"/>
  <c r="J39" i="85"/>
  <c r="J33" i="85"/>
  <c r="J32" i="85"/>
  <c r="J30" i="85"/>
  <c r="J29" i="85"/>
  <c r="J27" i="85"/>
  <c r="J26" i="85"/>
  <c r="J42" i="81"/>
  <c r="J39" i="81"/>
  <c r="J33" i="81"/>
  <c r="J32" i="81"/>
  <c r="J31" i="81"/>
  <c r="J30" i="81"/>
  <c r="J29" i="81"/>
  <c r="J27" i="81"/>
  <c r="J26" i="81"/>
  <c r="J43" i="80"/>
  <c r="J41" i="80"/>
  <c r="J39" i="80"/>
  <c r="J33" i="80"/>
  <c r="J32" i="80"/>
  <c r="J31" i="80"/>
  <c r="J30" i="80"/>
  <c r="J29" i="80"/>
  <c r="J27" i="80"/>
  <c r="J26" i="80"/>
  <c r="J24" i="80"/>
  <c r="J43" i="79"/>
  <c r="J41" i="79"/>
  <c r="J39" i="79"/>
  <c r="J33" i="79"/>
  <c r="J32" i="79"/>
  <c r="J31" i="79"/>
  <c r="J30" i="79"/>
  <c r="J29" i="79"/>
  <c r="J27" i="79"/>
  <c r="J26" i="79"/>
  <c r="J43" i="83"/>
  <c r="J41" i="83"/>
  <c r="J39" i="83"/>
  <c r="J33" i="83"/>
  <c r="J32" i="83"/>
  <c r="J31" i="83"/>
  <c r="J30" i="83"/>
  <c r="J29" i="83"/>
  <c r="J27" i="83"/>
  <c r="J26" i="83"/>
  <c r="J43" i="82"/>
  <c r="J41" i="82"/>
  <c r="J39" i="82"/>
  <c r="J33" i="82"/>
  <c r="J32" i="82"/>
  <c r="J31" i="82"/>
  <c r="J30" i="82"/>
  <c r="J29" i="82"/>
  <c r="J27" i="82"/>
  <c r="J26" i="82"/>
  <c r="J43" i="84"/>
  <c r="J41" i="84"/>
  <c r="J39" i="84"/>
  <c r="J34" i="84"/>
  <c r="J33" i="84"/>
  <c r="J32" i="84"/>
  <c r="J30" i="84"/>
  <c r="J29" i="84"/>
  <c r="J28" i="84"/>
  <c r="J26" i="84"/>
  <c r="J41" i="78"/>
  <c r="J39" i="78"/>
  <c r="J34" i="78"/>
  <c r="J33" i="78"/>
  <c r="J32" i="78"/>
  <c r="J30" i="78"/>
  <c r="J29" i="78"/>
  <c r="J28" i="78"/>
  <c r="J26" i="78"/>
  <c r="J41" i="76"/>
  <c r="J39" i="76"/>
  <c r="J34" i="76"/>
  <c r="J33" i="76"/>
  <c r="J30" i="76"/>
  <c r="J29" i="76"/>
  <c r="J28" i="76"/>
  <c r="J26" i="76"/>
  <c r="J41" i="67"/>
  <c r="J39" i="67"/>
  <c r="J34" i="67"/>
  <c r="J33" i="67"/>
  <c r="J30" i="67"/>
  <c r="J29" i="67"/>
  <c r="J28" i="67"/>
  <c r="J26" i="67"/>
  <c r="J37" i="81"/>
  <c r="J43" i="75"/>
  <c r="J39" i="75"/>
  <c r="J34" i="75"/>
  <c r="J33" i="75"/>
  <c r="J30" i="75"/>
  <c r="J29" i="75"/>
  <c r="J27" i="75"/>
  <c r="J26" i="75"/>
  <c r="J26" i="74"/>
  <c r="J27" i="74"/>
  <c r="J29" i="74"/>
  <c r="J30" i="74"/>
  <c r="J33" i="74"/>
  <c r="J34" i="74"/>
  <c r="J39" i="74"/>
  <c r="J43" i="74"/>
  <c r="J26" i="64"/>
  <c r="J28" i="64"/>
  <c r="J29" i="64"/>
  <c r="J30" i="64"/>
  <c r="J33" i="64"/>
  <c r="J34" i="64"/>
  <c r="J39" i="64"/>
  <c r="J43" i="64"/>
  <c r="L137" i="62" l="1"/>
  <c r="K55" i="93" l="1"/>
  <c r="L55" i="93" s="1"/>
  <c r="N55" i="93" s="1"/>
  <c r="O55" i="93" s="1"/>
  <c r="J40" i="75"/>
  <c r="J40" i="74"/>
  <c r="L77" i="62"/>
  <c r="L76" i="62"/>
  <c r="L55" i="62"/>
  <c r="L54" i="62"/>
  <c r="L33" i="62"/>
  <c r="L32" i="62"/>
  <c r="K61" i="93" l="1"/>
  <c r="L61" i="93" s="1"/>
  <c r="K56" i="93"/>
  <c r="L56" i="93" s="1"/>
  <c r="N56" i="93" s="1"/>
  <c r="O56" i="93" s="1"/>
  <c r="K53" i="94"/>
  <c r="L53" i="94" s="1"/>
  <c r="N53" i="94" s="1"/>
  <c r="O53" i="94" s="1"/>
  <c r="K49" i="94"/>
  <c r="K48" i="94"/>
  <c r="K52" i="94"/>
  <c r="L52" i="94" s="1"/>
  <c r="K54" i="94"/>
  <c r="L54" i="94" s="1"/>
  <c r="N54" i="94" s="1"/>
  <c r="O54" i="94" s="1"/>
  <c r="K38" i="94"/>
  <c r="L38" i="94" s="1"/>
  <c r="N38" i="94" s="1"/>
  <c r="O38" i="94" s="1"/>
  <c r="K62" i="93"/>
  <c r="L62" i="93" s="1"/>
  <c r="N62" i="93" s="1"/>
  <c r="O62" i="93" s="1"/>
  <c r="K54" i="93"/>
  <c r="L54" i="93" s="1"/>
  <c r="N54" i="93" s="1"/>
  <c r="O54" i="93" s="1"/>
  <c r="K53" i="95"/>
  <c r="L53" i="95" s="1"/>
  <c r="N53" i="95" s="1"/>
  <c r="O53" i="95" s="1"/>
  <c r="K49" i="95"/>
  <c r="K48" i="95"/>
  <c r="K38" i="95"/>
  <c r="L38" i="95" s="1"/>
  <c r="N38" i="95" s="1"/>
  <c r="O38" i="95" s="1"/>
  <c r="K52" i="95"/>
  <c r="L52" i="95" s="1"/>
  <c r="K54" i="95"/>
  <c r="L54" i="95" s="1"/>
  <c r="N54" i="95" s="1"/>
  <c r="O54" i="95" s="1"/>
  <c r="K60" i="93"/>
  <c r="L60" i="93" s="1"/>
  <c r="L231" i="62"/>
  <c r="K58" i="93" l="1"/>
  <c r="L68" i="93" s="1"/>
  <c r="K59" i="93"/>
  <c r="L59" i="93" s="1"/>
  <c r="N59" i="93" s="1"/>
  <c r="J40" i="95"/>
  <c r="L40" i="95" s="1"/>
  <c r="N40" i="95" s="1"/>
  <c r="O40" i="95" s="1"/>
  <c r="J40" i="94"/>
  <c r="L40" i="94" s="1"/>
  <c r="N40" i="94" s="1"/>
  <c r="O40" i="94" s="1"/>
  <c r="S49" i="95"/>
  <c r="S49" i="94"/>
  <c r="N52" i="95"/>
  <c r="O52" i="95" s="1"/>
  <c r="N52" i="94"/>
  <c r="O52" i="94" s="1"/>
  <c r="S48" i="95"/>
  <c r="S48" i="94"/>
  <c r="S50" i="94" s="1"/>
  <c r="N60" i="93"/>
  <c r="O60" i="93"/>
  <c r="N61" i="93"/>
  <c r="O61" i="93" s="1"/>
  <c r="J40" i="73"/>
  <c r="J40" i="64"/>
  <c r="O59" i="93" l="1"/>
  <c r="L58" i="93"/>
  <c r="O58" i="93" s="1"/>
  <c r="S50" i="95"/>
  <c r="N68" i="93"/>
  <c r="L70" i="93"/>
  <c r="L69" i="93"/>
  <c r="O68" i="93"/>
  <c r="N58" i="93" l="1"/>
  <c r="L71" i="93"/>
  <c r="O71" i="93" s="1"/>
  <c r="O69" i="93"/>
  <c r="N69" i="93"/>
  <c r="N70" i="93"/>
  <c r="O70" i="93"/>
  <c r="L72" i="93" l="1"/>
  <c r="L73" i="93" s="1"/>
  <c r="N71" i="93"/>
  <c r="B45" i="87"/>
  <c r="D45" i="87"/>
  <c r="F45" i="87"/>
  <c r="B45" i="89"/>
  <c r="D45" i="89"/>
  <c r="F45" i="89"/>
  <c r="B45" i="90"/>
  <c r="D45" i="90"/>
  <c r="B45" i="86"/>
  <c r="D45" i="86"/>
  <c r="B45" i="85"/>
  <c r="D45" i="85"/>
  <c r="F45" i="85"/>
  <c r="B44" i="81"/>
  <c r="D44" i="81"/>
  <c r="F44" i="81"/>
  <c r="B45" i="80"/>
  <c r="D45" i="80"/>
  <c r="F45" i="80"/>
  <c r="B45" i="79"/>
  <c r="D45" i="79"/>
  <c r="F45" i="79"/>
  <c r="B45" i="83"/>
  <c r="D45" i="83"/>
  <c r="F45" i="83"/>
  <c r="B45" i="82"/>
  <c r="D45" i="82"/>
  <c r="F45" i="82"/>
  <c r="B45" i="84"/>
  <c r="D45" i="84"/>
  <c r="B45" i="77"/>
  <c r="D45" i="77"/>
  <c r="F45" i="77"/>
  <c r="B45" i="78"/>
  <c r="D45" i="78"/>
  <c r="B45" i="76"/>
  <c r="D45" i="76"/>
  <c r="F45" i="76"/>
  <c r="B45" i="67"/>
  <c r="D45" i="67"/>
  <c r="B45" i="75"/>
  <c r="D45" i="75"/>
  <c r="F45" i="75"/>
  <c r="B45" i="74"/>
  <c r="D45" i="74"/>
  <c r="F45" i="64"/>
  <c r="B45" i="64"/>
  <c r="D45" i="64"/>
  <c r="F59" i="73"/>
  <c r="F58" i="73"/>
  <c r="F57" i="73"/>
  <c r="F56" i="73"/>
  <c r="F55" i="73"/>
  <c r="F54" i="73"/>
  <c r="F53" i="73"/>
  <c r="F52" i="73"/>
  <c r="F51" i="73"/>
  <c r="F43" i="73"/>
  <c r="F41" i="73"/>
  <c r="F40" i="73"/>
  <c r="F39" i="73"/>
  <c r="F37" i="73"/>
  <c r="F34" i="73"/>
  <c r="F33" i="73"/>
  <c r="F32" i="73"/>
  <c r="F31" i="73"/>
  <c r="F30" i="73"/>
  <c r="F29" i="73"/>
  <c r="F28" i="73"/>
  <c r="F27" i="73"/>
  <c r="F26" i="73"/>
  <c r="F24" i="73"/>
  <c r="B45" i="73"/>
  <c r="D45" i="73"/>
  <c r="K45" i="82" l="1"/>
  <c r="G45" i="82"/>
  <c r="H45" i="82" s="1"/>
  <c r="K45" i="90"/>
  <c r="G45" i="90"/>
  <c r="K45" i="89"/>
  <c r="G45" i="89"/>
  <c r="H45" i="89" s="1"/>
  <c r="K45" i="74"/>
  <c r="G45" i="74"/>
  <c r="K45" i="64"/>
  <c r="G45" i="64"/>
  <c r="H45" i="64" s="1"/>
  <c r="K45" i="75"/>
  <c r="G45" i="75"/>
  <c r="H45" i="75" s="1"/>
  <c r="K45" i="73"/>
  <c r="G45" i="73"/>
  <c r="O72" i="93"/>
  <c r="N72" i="93"/>
  <c r="O73" i="93"/>
  <c r="N73" i="93"/>
  <c r="F45" i="67"/>
  <c r="F45" i="78"/>
  <c r="F45" i="73"/>
  <c r="F45" i="84"/>
  <c r="F44" i="73"/>
  <c r="F45" i="86"/>
  <c r="F45" i="90"/>
  <c r="H45" i="83"/>
  <c r="H45" i="74" l="1"/>
  <c r="H45" i="90"/>
  <c r="H45" i="73"/>
  <c r="F23" i="73"/>
  <c r="F48" i="73"/>
  <c r="F49" i="73"/>
  <c r="F42" i="73"/>
  <c r="F25" i="73"/>
  <c r="L192" i="62"/>
  <c r="J37" i="87" l="1"/>
  <c r="J37" i="84"/>
  <c r="J37" i="93"/>
  <c r="L37" i="93" s="1"/>
  <c r="J37" i="83"/>
  <c r="J37" i="80"/>
  <c r="J25" i="80"/>
  <c r="J37" i="79"/>
  <c r="J37" i="82" l="1"/>
  <c r="J35" i="82"/>
  <c r="L35" i="82" s="1"/>
  <c r="N37" i="93"/>
  <c r="O37" i="93" s="1"/>
  <c r="J25" i="95"/>
  <c r="L25" i="95" s="1"/>
  <c r="J25" i="94"/>
  <c r="L25" i="94" s="1"/>
  <c r="J37" i="95"/>
  <c r="L37" i="95" s="1"/>
  <c r="J37" i="94"/>
  <c r="L37" i="94" s="1"/>
  <c r="J37" i="78"/>
  <c r="J37" i="77"/>
  <c r="J37" i="64"/>
  <c r="J37" i="73"/>
  <c r="J37" i="75"/>
  <c r="J37" i="74"/>
  <c r="J37" i="86"/>
  <c r="J37" i="85"/>
  <c r="J37" i="76"/>
  <c r="J37" i="67"/>
  <c r="J37" i="89"/>
  <c r="J37" i="90"/>
  <c r="G55" i="73"/>
  <c r="N35" i="82" l="1"/>
  <c r="O35" i="82"/>
  <c r="O25" i="94"/>
  <c r="N25" i="94"/>
  <c r="N25" i="95"/>
  <c r="O25" i="95"/>
  <c r="N37" i="94"/>
  <c r="O37" i="94" s="1"/>
  <c r="N37" i="95"/>
  <c r="O37" i="95" s="1"/>
  <c r="F18" i="84"/>
  <c r="F18" i="77"/>
  <c r="F18" i="78"/>
  <c r="F18" i="67"/>
  <c r="F18" i="76"/>
  <c r="F17" i="76" s="1"/>
  <c r="K35" i="76" l="1"/>
  <c r="L35" i="76" s="1"/>
  <c r="G35" i="76"/>
  <c r="H35" i="76" s="1"/>
  <c r="E36" i="92"/>
  <c r="G45" i="76"/>
  <c r="H45" i="76" s="1"/>
  <c r="K45" i="76"/>
  <c r="F60" i="90"/>
  <c r="F59" i="90"/>
  <c r="F58" i="90"/>
  <c r="F57" i="90"/>
  <c r="F56" i="90"/>
  <c r="F54" i="90"/>
  <c r="F53" i="90"/>
  <c r="F52" i="90"/>
  <c r="F51" i="90"/>
  <c r="F49" i="90"/>
  <c r="F48" i="90"/>
  <c r="F44" i="90"/>
  <c r="F43" i="90"/>
  <c r="F42" i="90"/>
  <c r="F41" i="90"/>
  <c r="F40" i="90"/>
  <c r="F39" i="90"/>
  <c r="F37" i="90"/>
  <c r="F33" i="90"/>
  <c r="F32" i="90"/>
  <c r="F31" i="90"/>
  <c r="F30" i="90"/>
  <c r="F29" i="90"/>
  <c r="F28" i="90"/>
  <c r="F27" i="90"/>
  <c r="F26" i="90"/>
  <c r="F25" i="90"/>
  <c r="F24" i="90"/>
  <c r="F23" i="90"/>
  <c r="O61" i="90"/>
  <c r="N61" i="90"/>
  <c r="J61" i="90"/>
  <c r="J60" i="90"/>
  <c r="G60" i="90"/>
  <c r="K60" i="90" s="1"/>
  <c r="D60" i="90"/>
  <c r="B60" i="90"/>
  <c r="J59" i="90"/>
  <c r="G59" i="90"/>
  <c r="D59" i="90"/>
  <c r="B59" i="90"/>
  <c r="J58" i="90"/>
  <c r="G58" i="90"/>
  <c r="K58" i="90" s="1"/>
  <c r="D58" i="90"/>
  <c r="B58" i="90"/>
  <c r="J57" i="90"/>
  <c r="G57" i="90"/>
  <c r="D57" i="90"/>
  <c r="B57" i="90"/>
  <c r="J56" i="90"/>
  <c r="G56" i="90"/>
  <c r="K56" i="90" s="1"/>
  <c r="D56" i="90"/>
  <c r="B56" i="90"/>
  <c r="J54" i="90"/>
  <c r="D54" i="90"/>
  <c r="K54" i="90" s="1"/>
  <c r="B54" i="90"/>
  <c r="J53" i="90"/>
  <c r="D53" i="90"/>
  <c r="B53" i="90"/>
  <c r="J52" i="90"/>
  <c r="D52" i="90"/>
  <c r="B52" i="90"/>
  <c r="J51" i="90"/>
  <c r="D51" i="90"/>
  <c r="G51" i="90" s="1"/>
  <c r="B51" i="90"/>
  <c r="D49" i="90"/>
  <c r="B49" i="90"/>
  <c r="D48" i="90"/>
  <c r="B48" i="90"/>
  <c r="D44" i="90"/>
  <c r="B44" i="90"/>
  <c r="D43" i="90"/>
  <c r="B43" i="90"/>
  <c r="D42" i="90"/>
  <c r="B42" i="90"/>
  <c r="D41" i="90"/>
  <c r="B41" i="90"/>
  <c r="D40" i="90"/>
  <c r="B40" i="90"/>
  <c r="D39" i="90"/>
  <c r="B39" i="90"/>
  <c r="D37" i="90"/>
  <c r="B37" i="90"/>
  <c r="L35" i="90"/>
  <c r="H35" i="90"/>
  <c r="D33" i="90"/>
  <c r="B33" i="90"/>
  <c r="D32" i="90"/>
  <c r="B32" i="90"/>
  <c r="D31" i="90"/>
  <c r="B31" i="90"/>
  <c r="D30" i="90"/>
  <c r="B30" i="90"/>
  <c r="D29" i="90"/>
  <c r="B29" i="90"/>
  <c r="D28" i="90"/>
  <c r="B28" i="90"/>
  <c r="D27" i="90"/>
  <c r="B27" i="90"/>
  <c r="D26" i="90"/>
  <c r="B26" i="90"/>
  <c r="D25" i="90"/>
  <c r="B25" i="90"/>
  <c r="J24" i="90"/>
  <c r="D24" i="90"/>
  <c r="B24" i="90"/>
  <c r="D23" i="90"/>
  <c r="B23" i="90"/>
  <c r="J24" i="87"/>
  <c r="J24" i="89"/>
  <c r="F49" i="89"/>
  <c r="D49" i="89"/>
  <c r="B49" i="89"/>
  <c r="D48" i="89"/>
  <c r="B48" i="89"/>
  <c r="F48" i="89"/>
  <c r="F44" i="89"/>
  <c r="D44" i="89"/>
  <c r="B44" i="89"/>
  <c r="F43" i="89"/>
  <c r="D43" i="89"/>
  <c r="B43" i="89"/>
  <c r="F42" i="89"/>
  <c r="D42" i="89"/>
  <c r="B42" i="89"/>
  <c r="B60" i="89"/>
  <c r="D60" i="89"/>
  <c r="F60" i="89"/>
  <c r="F41" i="89"/>
  <c r="D41" i="89"/>
  <c r="B41" i="89"/>
  <c r="F40" i="89"/>
  <c r="D40" i="89"/>
  <c r="B40" i="89"/>
  <c r="F39" i="89"/>
  <c r="D39" i="89"/>
  <c r="B39" i="89"/>
  <c r="D37" i="89"/>
  <c r="B37" i="89"/>
  <c r="F37" i="89"/>
  <c r="F33" i="89"/>
  <c r="D33" i="89"/>
  <c r="B33" i="89"/>
  <c r="F32" i="89"/>
  <c r="D32" i="89"/>
  <c r="B32" i="89"/>
  <c r="F31" i="89"/>
  <c r="D31" i="89"/>
  <c r="B31" i="89"/>
  <c r="F30" i="89"/>
  <c r="D30" i="89"/>
  <c r="B30" i="89"/>
  <c r="F29" i="89"/>
  <c r="D29" i="89"/>
  <c r="B29" i="89"/>
  <c r="F28" i="89"/>
  <c r="D28" i="89"/>
  <c r="B28" i="89"/>
  <c r="F27" i="89"/>
  <c r="D27" i="89"/>
  <c r="B27" i="89"/>
  <c r="F26" i="89"/>
  <c r="D26" i="89"/>
  <c r="B26" i="89"/>
  <c r="F25" i="89"/>
  <c r="D25" i="89"/>
  <c r="B25" i="89"/>
  <c r="F24" i="89"/>
  <c r="D24" i="89"/>
  <c r="B24" i="89"/>
  <c r="B23" i="89"/>
  <c r="D23" i="89"/>
  <c r="F23" i="89"/>
  <c r="O61" i="89"/>
  <c r="N61" i="89"/>
  <c r="J61" i="89"/>
  <c r="J60" i="89"/>
  <c r="G60" i="89"/>
  <c r="K60" i="89" s="1"/>
  <c r="J59" i="89"/>
  <c r="G59" i="89"/>
  <c r="F59" i="89"/>
  <c r="D59" i="89"/>
  <c r="B59" i="89"/>
  <c r="J58" i="89"/>
  <c r="G58" i="89"/>
  <c r="K58" i="89" s="1"/>
  <c r="F58" i="89"/>
  <c r="D58" i="89"/>
  <c r="B58" i="89"/>
  <c r="J57" i="89"/>
  <c r="G57" i="89"/>
  <c r="F57" i="89"/>
  <c r="D57" i="89"/>
  <c r="B57" i="89"/>
  <c r="J56" i="89"/>
  <c r="G56" i="89"/>
  <c r="K56" i="89" s="1"/>
  <c r="F56" i="89"/>
  <c r="D56" i="89"/>
  <c r="B56" i="89"/>
  <c r="J54" i="89"/>
  <c r="F54" i="89"/>
  <c r="D54" i="89"/>
  <c r="B54" i="89"/>
  <c r="J53" i="89"/>
  <c r="F53" i="89"/>
  <c r="D53" i="89"/>
  <c r="B53" i="89"/>
  <c r="J52" i="89"/>
  <c r="F52" i="89"/>
  <c r="D52" i="89"/>
  <c r="B52" i="89"/>
  <c r="J51" i="89"/>
  <c r="F51" i="89"/>
  <c r="H51" i="89" s="1"/>
  <c r="D51" i="89"/>
  <c r="K51" i="89" s="1"/>
  <c r="B51" i="89"/>
  <c r="L35" i="89"/>
  <c r="H35" i="89"/>
  <c r="K60" i="87"/>
  <c r="K59" i="87"/>
  <c r="G60" i="87"/>
  <c r="G59" i="87"/>
  <c r="F49" i="87"/>
  <c r="D49" i="87"/>
  <c r="B49" i="87"/>
  <c r="B48" i="87"/>
  <c r="D48" i="87"/>
  <c r="F48" i="87"/>
  <c r="F44" i="87"/>
  <c r="D44" i="87"/>
  <c r="B44" i="87"/>
  <c r="F43" i="87"/>
  <c r="D43" i="87"/>
  <c r="B43" i="87"/>
  <c r="F42" i="87"/>
  <c r="D42" i="87"/>
  <c r="B42" i="87"/>
  <c r="F41" i="87"/>
  <c r="D41" i="87"/>
  <c r="B41" i="87"/>
  <c r="F40" i="87"/>
  <c r="D40" i="87"/>
  <c r="B40" i="87"/>
  <c r="F39" i="87"/>
  <c r="D39" i="87"/>
  <c r="B39" i="87"/>
  <c r="B37" i="87"/>
  <c r="D37" i="87"/>
  <c r="F37" i="87"/>
  <c r="F33" i="87"/>
  <c r="D33" i="87"/>
  <c r="B33" i="87"/>
  <c r="F32" i="87"/>
  <c r="D32" i="87"/>
  <c r="B32" i="87"/>
  <c r="F31" i="87"/>
  <c r="D31" i="87"/>
  <c r="B31" i="87"/>
  <c r="F30" i="87"/>
  <c r="D30" i="87"/>
  <c r="B30" i="87"/>
  <c r="F29" i="87"/>
  <c r="D29" i="87"/>
  <c r="B29" i="87"/>
  <c r="F28" i="87"/>
  <c r="D28" i="87"/>
  <c r="B28" i="87"/>
  <c r="F27" i="87"/>
  <c r="D27" i="87"/>
  <c r="B27" i="87"/>
  <c r="F26" i="87"/>
  <c r="D26" i="87"/>
  <c r="B26" i="87"/>
  <c r="F25" i="87"/>
  <c r="D25" i="87"/>
  <c r="B25" i="87"/>
  <c r="F24" i="87"/>
  <c r="D24" i="87"/>
  <c r="B24" i="87"/>
  <c r="F23" i="87"/>
  <c r="H23" i="87" s="1"/>
  <c r="D23" i="87"/>
  <c r="B23" i="87"/>
  <c r="K54" i="87"/>
  <c r="G53" i="87"/>
  <c r="F60" i="87"/>
  <c r="J60" i="87" s="1"/>
  <c r="D60" i="87"/>
  <c r="B60" i="87"/>
  <c r="F59" i="87"/>
  <c r="J59" i="87" s="1"/>
  <c r="D59" i="87"/>
  <c r="B59" i="87"/>
  <c r="F58" i="87"/>
  <c r="J58" i="87" s="1"/>
  <c r="D58" i="87"/>
  <c r="B58" i="87"/>
  <c r="F57" i="87"/>
  <c r="J57" i="87" s="1"/>
  <c r="D57" i="87"/>
  <c r="B57" i="87"/>
  <c r="F56" i="87"/>
  <c r="J56" i="87" s="1"/>
  <c r="D56" i="87"/>
  <c r="B56" i="87"/>
  <c r="J55" i="87"/>
  <c r="F55" i="87"/>
  <c r="D55" i="87"/>
  <c r="B55" i="87"/>
  <c r="J54" i="87"/>
  <c r="F54" i="87"/>
  <c r="D54" i="87"/>
  <c r="B54" i="87"/>
  <c r="J53" i="87"/>
  <c r="F53" i="87"/>
  <c r="D53" i="87"/>
  <c r="B53" i="87"/>
  <c r="J52" i="87"/>
  <c r="F52" i="87"/>
  <c r="D52" i="87"/>
  <c r="B52" i="87"/>
  <c r="J51" i="87"/>
  <c r="F51" i="87"/>
  <c r="D51" i="87"/>
  <c r="B51" i="87"/>
  <c r="L38" i="87"/>
  <c r="H38" i="87"/>
  <c r="L35" i="87"/>
  <c r="H35" i="87"/>
  <c r="K23" i="87"/>
  <c r="F17" i="87"/>
  <c r="K49" i="87" l="1"/>
  <c r="K34" i="87"/>
  <c r="L34" i="87" s="1"/>
  <c r="G34" i="87"/>
  <c r="H34" i="87" s="1"/>
  <c r="O34" i="87" s="1"/>
  <c r="E39" i="92"/>
  <c r="K45" i="87"/>
  <c r="G45" i="87"/>
  <c r="H45" i="87" s="1"/>
  <c r="S49" i="87"/>
  <c r="O35" i="76"/>
  <c r="N35" i="76"/>
  <c r="O35" i="87"/>
  <c r="O35" i="90"/>
  <c r="O35" i="89"/>
  <c r="O38" i="87"/>
  <c r="L51" i="89"/>
  <c r="N51" i="89" s="1"/>
  <c r="O51" i="89" s="1"/>
  <c r="G26" i="87"/>
  <c r="H26" i="87" s="1"/>
  <c r="K26" i="87"/>
  <c r="L26" i="87" s="1"/>
  <c r="K30" i="87"/>
  <c r="L30" i="87" s="1"/>
  <c r="G30" i="87"/>
  <c r="H30" i="87" s="1"/>
  <c r="K41" i="87"/>
  <c r="L41" i="87" s="1"/>
  <c r="G41" i="87"/>
  <c r="H41" i="87" s="1"/>
  <c r="G24" i="89"/>
  <c r="H24" i="89" s="1"/>
  <c r="K24" i="89"/>
  <c r="L24" i="89" s="1"/>
  <c r="K28" i="89"/>
  <c r="G28" i="89"/>
  <c r="H28" i="89" s="1"/>
  <c r="G32" i="89"/>
  <c r="K32" i="89"/>
  <c r="L32" i="89" s="1"/>
  <c r="G26" i="90"/>
  <c r="H26" i="90" s="1"/>
  <c r="K26" i="90"/>
  <c r="L26" i="90" s="1"/>
  <c r="K33" i="90"/>
  <c r="L33" i="90" s="1"/>
  <c r="G33" i="90"/>
  <c r="H33" i="90" s="1"/>
  <c r="K37" i="90"/>
  <c r="G37" i="90"/>
  <c r="H37" i="90" s="1"/>
  <c r="K25" i="87"/>
  <c r="G25" i="87"/>
  <c r="H25" i="87" s="1"/>
  <c r="F39" i="92" s="1"/>
  <c r="G29" i="87"/>
  <c r="H29" i="87" s="1"/>
  <c r="K29" i="87"/>
  <c r="L29" i="87" s="1"/>
  <c r="G33" i="87"/>
  <c r="H33" i="87" s="1"/>
  <c r="K33" i="87"/>
  <c r="L33" i="87" s="1"/>
  <c r="K40" i="87"/>
  <c r="G40" i="87"/>
  <c r="H40" i="87" s="1"/>
  <c r="K44" i="87"/>
  <c r="G44" i="87"/>
  <c r="H44" i="87" s="1"/>
  <c r="K23" i="89"/>
  <c r="G23" i="89"/>
  <c r="H23" i="89" s="1"/>
  <c r="K27" i="89"/>
  <c r="L27" i="89" s="1"/>
  <c r="G27" i="89"/>
  <c r="H27" i="89" s="1"/>
  <c r="K31" i="89"/>
  <c r="G31" i="89"/>
  <c r="H31" i="89" s="1"/>
  <c r="H32" i="89"/>
  <c r="K37" i="89"/>
  <c r="G37" i="89"/>
  <c r="H37" i="89" s="1"/>
  <c r="K41" i="89"/>
  <c r="L41" i="89" s="1"/>
  <c r="G41" i="89"/>
  <c r="H41" i="89" s="1"/>
  <c r="G44" i="89"/>
  <c r="H44" i="89" s="1"/>
  <c r="K44" i="89"/>
  <c r="G23" i="90"/>
  <c r="K23" i="90"/>
  <c r="K28" i="90"/>
  <c r="G28" i="90"/>
  <c r="H28" i="90" s="1"/>
  <c r="K30" i="90"/>
  <c r="L30" i="90" s="1"/>
  <c r="G30" i="90"/>
  <c r="K32" i="90"/>
  <c r="L32" i="90" s="1"/>
  <c r="G32" i="90"/>
  <c r="H32" i="90" s="1"/>
  <c r="K40" i="90"/>
  <c r="G40" i="90"/>
  <c r="H40" i="90" s="1"/>
  <c r="G42" i="90"/>
  <c r="H42" i="90" s="1"/>
  <c r="K42" i="90"/>
  <c r="K44" i="90"/>
  <c r="G44" i="90"/>
  <c r="H44" i="90" s="1"/>
  <c r="G52" i="90"/>
  <c r="G48" i="90"/>
  <c r="G49" i="90"/>
  <c r="H30" i="90"/>
  <c r="G51" i="87"/>
  <c r="H51" i="87" s="1"/>
  <c r="K51" i="87"/>
  <c r="L51" i="87" s="1"/>
  <c r="G55" i="87"/>
  <c r="H55" i="87" s="1"/>
  <c r="K55" i="87"/>
  <c r="L55" i="87" s="1"/>
  <c r="G24" i="87"/>
  <c r="H24" i="87" s="1"/>
  <c r="K24" i="87"/>
  <c r="L24" i="87" s="1"/>
  <c r="G28" i="87"/>
  <c r="H28" i="87" s="1"/>
  <c r="K28" i="87"/>
  <c r="G32" i="87"/>
  <c r="H32" i="87" s="1"/>
  <c r="K32" i="87"/>
  <c r="L32" i="87" s="1"/>
  <c r="K39" i="87"/>
  <c r="L39" i="87" s="1"/>
  <c r="G39" i="87"/>
  <c r="H39" i="87" s="1"/>
  <c r="K43" i="87"/>
  <c r="L43" i="87" s="1"/>
  <c r="G43" i="87"/>
  <c r="H43" i="87" s="1"/>
  <c r="G38" i="89"/>
  <c r="G54" i="89"/>
  <c r="H54" i="89" s="1"/>
  <c r="G48" i="89"/>
  <c r="G52" i="89"/>
  <c r="G53" i="89"/>
  <c r="H53" i="89" s="1"/>
  <c r="G26" i="89"/>
  <c r="H26" i="89" s="1"/>
  <c r="K26" i="89"/>
  <c r="L26" i="89" s="1"/>
  <c r="G30" i="89"/>
  <c r="H30" i="89" s="1"/>
  <c r="K30" i="89"/>
  <c r="L30" i="89" s="1"/>
  <c r="G40" i="89"/>
  <c r="H40" i="89" s="1"/>
  <c r="K40" i="89"/>
  <c r="G43" i="89"/>
  <c r="K43" i="89"/>
  <c r="L43" i="89" s="1"/>
  <c r="O43" i="89" s="1"/>
  <c r="K25" i="90"/>
  <c r="G25" i="90"/>
  <c r="H25" i="90" s="1"/>
  <c r="K27" i="90"/>
  <c r="L27" i="90" s="1"/>
  <c r="G27" i="90"/>
  <c r="H27" i="90" s="1"/>
  <c r="K39" i="90"/>
  <c r="L39" i="90" s="1"/>
  <c r="G39" i="90"/>
  <c r="H39" i="90" s="1"/>
  <c r="H51" i="90"/>
  <c r="K51" i="90" s="1"/>
  <c r="L51" i="90" s="1"/>
  <c r="N51" i="90" s="1"/>
  <c r="O51" i="90" s="1"/>
  <c r="K27" i="87"/>
  <c r="L27" i="87" s="1"/>
  <c r="G27" i="87"/>
  <c r="H27" i="87" s="1"/>
  <c r="K31" i="87"/>
  <c r="L31" i="87" s="1"/>
  <c r="G31" i="87"/>
  <c r="H31" i="87" s="1"/>
  <c r="K37" i="87"/>
  <c r="G37" i="87"/>
  <c r="H37" i="87" s="1"/>
  <c r="G42" i="87"/>
  <c r="H42" i="87" s="1"/>
  <c r="K42" i="87"/>
  <c r="K52" i="89"/>
  <c r="L52" i="89" s="1"/>
  <c r="K54" i="89"/>
  <c r="L54" i="89" s="1"/>
  <c r="G25" i="89"/>
  <c r="H25" i="89" s="1"/>
  <c r="K25" i="89"/>
  <c r="K29" i="89"/>
  <c r="L29" i="89" s="1"/>
  <c r="G29" i="89"/>
  <c r="H29" i="89" s="1"/>
  <c r="K33" i="89"/>
  <c r="L33" i="89" s="1"/>
  <c r="G33" i="89"/>
  <c r="H33" i="89" s="1"/>
  <c r="G39" i="89"/>
  <c r="H39" i="89" s="1"/>
  <c r="K39" i="89"/>
  <c r="L39" i="89" s="1"/>
  <c r="K42" i="89"/>
  <c r="G42" i="89"/>
  <c r="H42" i="89" s="1"/>
  <c r="K24" i="90"/>
  <c r="L24" i="90" s="1"/>
  <c r="G24" i="90"/>
  <c r="H24" i="90" s="1"/>
  <c r="G29" i="90"/>
  <c r="H29" i="90" s="1"/>
  <c r="K29" i="90"/>
  <c r="L29" i="90" s="1"/>
  <c r="K31" i="90"/>
  <c r="G31" i="90"/>
  <c r="H31" i="90" s="1"/>
  <c r="K41" i="90"/>
  <c r="L41" i="90" s="1"/>
  <c r="G41" i="90"/>
  <c r="H41" i="90" s="1"/>
  <c r="G43" i="90"/>
  <c r="K43" i="90"/>
  <c r="L43" i="90" s="1"/>
  <c r="O43" i="90" s="1"/>
  <c r="L54" i="90"/>
  <c r="K38" i="90"/>
  <c r="K52" i="90"/>
  <c r="L52" i="90" s="1"/>
  <c r="K48" i="90"/>
  <c r="K49" i="90"/>
  <c r="G38" i="90"/>
  <c r="G53" i="90"/>
  <c r="H53" i="90" s="1"/>
  <c r="G54" i="90"/>
  <c r="H54" i="90" s="1"/>
  <c r="L60" i="87"/>
  <c r="K49" i="89"/>
  <c r="S49" i="89" s="1"/>
  <c r="K53" i="89"/>
  <c r="L53" i="89" s="1"/>
  <c r="L58" i="89"/>
  <c r="J38" i="89"/>
  <c r="H57" i="89"/>
  <c r="L60" i="89"/>
  <c r="F38" i="90"/>
  <c r="H53" i="87"/>
  <c r="H59" i="89"/>
  <c r="L56" i="90"/>
  <c r="L58" i="90"/>
  <c r="L60" i="90"/>
  <c r="L56" i="89"/>
  <c r="K53" i="90"/>
  <c r="L53" i="90" s="1"/>
  <c r="K38" i="89"/>
  <c r="K48" i="89"/>
  <c r="J38" i="90"/>
  <c r="H57" i="90"/>
  <c r="H59" i="90"/>
  <c r="N35" i="90"/>
  <c r="H56" i="90"/>
  <c r="K57" i="90"/>
  <c r="L57" i="90" s="1"/>
  <c r="H58" i="90"/>
  <c r="K59" i="90"/>
  <c r="L59" i="90" s="1"/>
  <c r="H60" i="90"/>
  <c r="F38" i="89"/>
  <c r="N35" i="89"/>
  <c r="H56" i="89"/>
  <c r="K57" i="89"/>
  <c r="L57" i="89" s="1"/>
  <c r="H58" i="89"/>
  <c r="K59" i="89"/>
  <c r="L59" i="89" s="1"/>
  <c r="H60" i="89"/>
  <c r="K48" i="87"/>
  <c r="S48" i="87" s="1"/>
  <c r="S50" i="87" s="1"/>
  <c r="D42" i="91" s="1"/>
  <c r="G49" i="87"/>
  <c r="H49" i="87" s="1"/>
  <c r="G48" i="87"/>
  <c r="H48" i="87" s="1"/>
  <c r="G54" i="87"/>
  <c r="H54" i="87" s="1"/>
  <c r="G52" i="87"/>
  <c r="H52" i="87" s="1"/>
  <c r="N35" i="87"/>
  <c r="L54" i="87"/>
  <c r="K53" i="87"/>
  <c r="L53" i="87" s="1"/>
  <c r="N38" i="87"/>
  <c r="K52" i="87"/>
  <c r="L52" i="87" s="1"/>
  <c r="H60" i="87"/>
  <c r="G53" i="86"/>
  <c r="F60" i="86"/>
  <c r="J60" i="86" s="1"/>
  <c r="F59" i="86"/>
  <c r="J59" i="86" s="1"/>
  <c r="F58" i="86"/>
  <c r="J58" i="86" s="1"/>
  <c r="F57" i="86"/>
  <c r="J57" i="86" s="1"/>
  <c r="F56" i="86"/>
  <c r="F55" i="86"/>
  <c r="F54" i="86"/>
  <c r="F53" i="86"/>
  <c r="F52" i="86"/>
  <c r="F51" i="86"/>
  <c r="F49" i="86"/>
  <c r="F48" i="86"/>
  <c r="F44" i="86"/>
  <c r="F43" i="86"/>
  <c r="F42" i="86"/>
  <c r="F41" i="86"/>
  <c r="F40" i="86"/>
  <c r="F39" i="86"/>
  <c r="F37" i="86"/>
  <c r="F33" i="86"/>
  <c r="F32" i="86"/>
  <c r="F31" i="86"/>
  <c r="F30" i="86"/>
  <c r="F29" i="86"/>
  <c r="F28" i="86"/>
  <c r="F27" i="86"/>
  <c r="F26" i="86"/>
  <c r="F25" i="86"/>
  <c r="F24" i="86"/>
  <c r="F23" i="86"/>
  <c r="H23" i="86" s="1"/>
  <c r="K54" i="86"/>
  <c r="D60" i="86"/>
  <c r="B60" i="86"/>
  <c r="D59" i="86"/>
  <c r="B59" i="86"/>
  <c r="D58" i="86"/>
  <c r="B58" i="86"/>
  <c r="D57" i="86"/>
  <c r="B57" i="86"/>
  <c r="D56" i="86"/>
  <c r="B56" i="86"/>
  <c r="J55" i="86"/>
  <c r="D55" i="86"/>
  <c r="B55" i="86"/>
  <c r="J54" i="86"/>
  <c r="D54" i="86"/>
  <c r="B54" i="86"/>
  <c r="J53" i="86"/>
  <c r="D53" i="86"/>
  <c r="B53" i="86"/>
  <c r="J52" i="86"/>
  <c r="D52" i="86"/>
  <c r="B52" i="86"/>
  <c r="J51" i="86"/>
  <c r="D51" i="86"/>
  <c r="B51" i="86"/>
  <c r="D49" i="86"/>
  <c r="B49" i="86"/>
  <c r="D48" i="86"/>
  <c r="B48" i="86"/>
  <c r="D44" i="86"/>
  <c r="B44" i="86"/>
  <c r="D43" i="86"/>
  <c r="B43" i="86"/>
  <c r="D42" i="86"/>
  <c r="B42" i="86"/>
  <c r="D41" i="86"/>
  <c r="B41" i="86"/>
  <c r="D40" i="86"/>
  <c r="B40" i="86"/>
  <c r="D39" i="86"/>
  <c r="B39" i="86"/>
  <c r="L38" i="86"/>
  <c r="H38" i="86"/>
  <c r="D37" i="86"/>
  <c r="B37" i="86"/>
  <c r="L35" i="86"/>
  <c r="H35" i="86"/>
  <c r="D33" i="86"/>
  <c r="B33" i="86"/>
  <c r="D32" i="86"/>
  <c r="B32" i="86"/>
  <c r="D31" i="86"/>
  <c r="B31" i="86"/>
  <c r="D30" i="86"/>
  <c r="B30" i="86"/>
  <c r="D29" i="86"/>
  <c r="B29" i="86"/>
  <c r="D28" i="86"/>
  <c r="B28" i="86"/>
  <c r="D27" i="86"/>
  <c r="B27" i="86"/>
  <c r="D26" i="86"/>
  <c r="B26" i="86"/>
  <c r="D25" i="86"/>
  <c r="B25" i="86"/>
  <c r="J24" i="86"/>
  <c r="D24" i="86"/>
  <c r="B24" i="86"/>
  <c r="K23" i="86"/>
  <c r="D23" i="86"/>
  <c r="B23" i="86"/>
  <c r="F17" i="86"/>
  <c r="J24" i="85"/>
  <c r="F49" i="85"/>
  <c r="D49" i="85"/>
  <c r="B49" i="85"/>
  <c r="B48" i="85"/>
  <c r="D48" i="85"/>
  <c r="F48" i="85"/>
  <c r="F44" i="85"/>
  <c r="F43" i="85"/>
  <c r="F42" i="85"/>
  <c r="F41" i="85"/>
  <c r="F40" i="85"/>
  <c r="D44" i="85"/>
  <c r="D43" i="85"/>
  <c r="D42" i="85"/>
  <c r="D41" i="85"/>
  <c r="D40" i="85"/>
  <c r="B44" i="85"/>
  <c r="B43" i="85"/>
  <c r="B42" i="85"/>
  <c r="B41" i="85"/>
  <c r="B40" i="85"/>
  <c r="B39" i="85"/>
  <c r="B37" i="85"/>
  <c r="F39" i="85"/>
  <c r="D39" i="85"/>
  <c r="D37" i="85"/>
  <c r="F37" i="85"/>
  <c r="F17" i="85"/>
  <c r="K23" i="85"/>
  <c r="F33" i="85"/>
  <c r="D33" i="85"/>
  <c r="B33" i="85"/>
  <c r="F32" i="85"/>
  <c r="D32" i="85"/>
  <c r="B32" i="85"/>
  <c r="F31" i="85"/>
  <c r="D31" i="85"/>
  <c r="B31" i="85"/>
  <c r="F30" i="85"/>
  <c r="D30" i="85"/>
  <c r="B30" i="85"/>
  <c r="F29" i="85"/>
  <c r="D29" i="85"/>
  <c r="B29" i="85"/>
  <c r="F28" i="85"/>
  <c r="D28" i="85"/>
  <c r="B28" i="85"/>
  <c r="F27" i="85"/>
  <c r="D27" i="85"/>
  <c r="B27" i="85"/>
  <c r="F26" i="85"/>
  <c r="D26" i="85"/>
  <c r="B26" i="85"/>
  <c r="F25" i="85"/>
  <c r="D25" i="85"/>
  <c r="B25" i="85"/>
  <c r="F24" i="85"/>
  <c r="D24" i="85"/>
  <c r="B24" i="85"/>
  <c r="F23" i="85"/>
  <c r="H23" i="85" s="1"/>
  <c r="D23" i="85"/>
  <c r="B23" i="85"/>
  <c r="F60" i="85"/>
  <c r="J60" i="85" s="1"/>
  <c r="D60" i="85"/>
  <c r="B60" i="85"/>
  <c r="F59" i="85"/>
  <c r="J59" i="85" s="1"/>
  <c r="D59" i="85"/>
  <c r="B59" i="85"/>
  <c r="F58" i="85"/>
  <c r="J58" i="85" s="1"/>
  <c r="D58" i="85"/>
  <c r="B58" i="85"/>
  <c r="F57" i="85"/>
  <c r="J57" i="85" s="1"/>
  <c r="D57" i="85"/>
  <c r="B57" i="85"/>
  <c r="F56" i="85"/>
  <c r="D56" i="85"/>
  <c r="B56" i="85"/>
  <c r="J55" i="85"/>
  <c r="F55" i="85"/>
  <c r="D55" i="85"/>
  <c r="B55" i="85"/>
  <c r="J54" i="85"/>
  <c r="F54" i="85"/>
  <c r="D54" i="85"/>
  <c r="B54" i="85"/>
  <c r="J53" i="85"/>
  <c r="F53" i="85"/>
  <c r="D53" i="85"/>
  <c r="B53" i="85"/>
  <c r="J52" i="85"/>
  <c r="F52" i="85"/>
  <c r="D52" i="85"/>
  <c r="B52" i="85"/>
  <c r="J51" i="85"/>
  <c r="F51" i="85"/>
  <c r="D51" i="85"/>
  <c r="B51" i="85"/>
  <c r="L38" i="85"/>
  <c r="H38" i="85"/>
  <c r="L35" i="85"/>
  <c r="H35" i="85"/>
  <c r="J24" i="84"/>
  <c r="F49" i="84"/>
  <c r="D49" i="84"/>
  <c r="B49" i="84"/>
  <c r="D48" i="84"/>
  <c r="B48" i="84"/>
  <c r="F48" i="84"/>
  <c r="F44" i="84"/>
  <c r="D44" i="84"/>
  <c r="B44" i="84"/>
  <c r="F43" i="84"/>
  <c r="D43" i="84"/>
  <c r="B43" i="84"/>
  <c r="F42" i="84"/>
  <c r="D42" i="84"/>
  <c r="B42" i="84"/>
  <c r="F41" i="84"/>
  <c r="D41" i="84"/>
  <c r="B41" i="84"/>
  <c r="F40" i="84"/>
  <c r="D40" i="84"/>
  <c r="B40" i="84"/>
  <c r="F39" i="84"/>
  <c r="D39" i="84"/>
  <c r="B39" i="84"/>
  <c r="B37" i="84"/>
  <c r="D37" i="84"/>
  <c r="F37" i="84"/>
  <c r="K60" i="84"/>
  <c r="F34" i="84"/>
  <c r="F33" i="84"/>
  <c r="F32" i="84"/>
  <c r="F31" i="84"/>
  <c r="F30" i="84"/>
  <c r="F29" i="84"/>
  <c r="F28" i="84"/>
  <c r="F27" i="84"/>
  <c r="F26" i="84"/>
  <c r="F24" i="84"/>
  <c r="B34" i="84"/>
  <c r="D34" i="84"/>
  <c r="D33" i="84"/>
  <c r="B33" i="84"/>
  <c r="D32" i="84"/>
  <c r="B32" i="84"/>
  <c r="D31" i="84"/>
  <c r="B31" i="84"/>
  <c r="D30" i="84"/>
  <c r="B30" i="84"/>
  <c r="D29" i="84"/>
  <c r="B29" i="84"/>
  <c r="D28" i="84"/>
  <c r="B28" i="84"/>
  <c r="D27" i="84"/>
  <c r="B27" i="84"/>
  <c r="D26" i="84"/>
  <c r="B26" i="84"/>
  <c r="D25" i="84"/>
  <c r="B25" i="84"/>
  <c r="D24" i="84"/>
  <c r="B24" i="84"/>
  <c r="D23" i="84"/>
  <c r="B23" i="84"/>
  <c r="F60" i="84"/>
  <c r="J60" i="84" s="1"/>
  <c r="D60" i="84"/>
  <c r="B60" i="84"/>
  <c r="F59" i="84"/>
  <c r="J59" i="84" s="1"/>
  <c r="D59" i="84"/>
  <c r="B59" i="84"/>
  <c r="F58" i="84"/>
  <c r="J58" i="84" s="1"/>
  <c r="D58" i="84"/>
  <c r="B58" i="84"/>
  <c r="F57" i="84"/>
  <c r="J57" i="84" s="1"/>
  <c r="D57" i="84"/>
  <c r="B57" i="84"/>
  <c r="F56" i="84"/>
  <c r="D56" i="84"/>
  <c r="B56" i="84"/>
  <c r="J55" i="84"/>
  <c r="F55" i="84"/>
  <c r="D55" i="84"/>
  <c r="B55" i="84"/>
  <c r="J54" i="84"/>
  <c r="F54" i="84"/>
  <c r="D54" i="84"/>
  <c r="B54" i="84"/>
  <c r="J53" i="84"/>
  <c r="F53" i="84"/>
  <c r="D53" i="84"/>
  <c r="B53" i="84"/>
  <c r="J52" i="84"/>
  <c r="F52" i="84"/>
  <c r="D52" i="84"/>
  <c r="B52" i="84"/>
  <c r="J51" i="84"/>
  <c r="F51" i="84"/>
  <c r="D51" i="84"/>
  <c r="B51" i="84"/>
  <c r="L38" i="84"/>
  <c r="H38" i="84"/>
  <c r="F17" i="84"/>
  <c r="J24" i="83"/>
  <c r="F49" i="83"/>
  <c r="D49" i="83"/>
  <c r="B49" i="83"/>
  <c r="F48" i="83"/>
  <c r="D48" i="83"/>
  <c r="B48" i="83"/>
  <c r="F44" i="83"/>
  <c r="H44" i="83" s="1"/>
  <c r="D44" i="83"/>
  <c r="K44" i="83" s="1"/>
  <c r="B44" i="83"/>
  <c r="F43" i="83"/>
  <c r="D43" i="83"/>
  <c r="B43" i="83"/>
  <c r="F42" i="83"/>
  <c r="D42" i="83"/>
  <c r="B42" i="83"/>
  <c r="F41" i="83"/>
  <c r="D41" i="83"/>
  <c r="B41" i="83"/>
  <c r="F40" i="83"/>
  <c r="D40" i="83"/>
  <c r="B40" i="83"/>
  <c r="F39" i="83"/>
  <c r="D39" i="83"/>
  <c r="B39" i="83"/>
  <c r="D37" i="83"/>
  <c r="B37" i="83"/>
  <c r="F37" i="83"/>
  <c r="F33" i="83"/>
  <c r="D33" i="83"/>
  <c r="B33" i="83"/>
  <c r="F32" i="83"/>
  <c r="D32" i="83"/>
  <c r="B32" i="83"/>
  <c r="F31" i="83"/>
  <c r="D31" i="83"/>
  <c r="B31" i="83"/>
  <c r="F30" i="83"/>
  <c r="D30" i="83"/>
  <c r="B30" i="83"/>
  <c r="F29" i="83"/>
  <c r="D29" i="83"/>
  <c r="B29" i="83"/>
  <c r="F28" i="83"/>
  <c r="D28" i="83"/>
  <c r="B28" i="83"/>
  <c r="F27" i="83"/>
  <c r="D27" i="83"/>
  <c r="B27" i="83"/>
  <c r="F26" i="83"/>
  <c r="D26" i="83"/>
  <c r="B26" i="83"/>
  <c r="F25" i="83"/>
  <c r="D25" i="83"/>
  <c r="B25" i="83"/>
  <c r="F24" i="83"/>
  <c r="D24" i="83"/>
  <c r="B24" i="83"/>
  <c r="F23" i="83"/>
  <c r="D23" i="83"/>
  <c r="B23" i="83"/>
  <c r="K60" i="83"/>
  <c r="G53" i="83"/>
  <c r="F60" i="83"/>
  <c r="J60" i="83" s="1"/>
  <c r="D60" i="83"/>
  <c r="B60" i="83"/>
  <c r="F59" i="83"/>
  <c r="J59" i="83" s="1"/>
  <c r="D59" i="83"/>
  <c r="B59" i="83"/>
  <c r="F58" i="83"/>
  <c r="J58" i="83" s="1"/>
  <c r="D58" i="83"/>
  <c r="B58" i="83"/>
  <c r="F57" i="83"/>
  <c r="J57" i="83" s="1"/>
  <c r="D57" i="83"/>
  <c r="B57" i="83"/>
  <c r="F56" i="83"/>
  <c r="D56" i="83"/>
  <c r="B56" i="83"/>
  <c r="J55" i="83"/>
  <c r="F55" i="83"/>
  <c r="D55" i="83"/>
  <c r="B55" i="83"/>
  <c r="J54" i="83"/>
  <c r="F54" i="83"/>
  <c r="D54" i="83"/>
  <c r="B54" i="83"/>
  <c r="J53" i="83"/>
  <c r="F53" i="83"/>
  <c r="D53" i="83"/>
  <c r="B53" i="83"/>
  <c r="J52" i="83"/>
  <c r="F52" i="83"/>
  <c r="D52" i="83"/>
  <c r="B52" i="83"/>
  <c r="J51" i="83"/>
  <c r="F51" i="83"/>
  <c r="D51" i="83"/>
  <c r="B51" i="83"/>
  <c r="L38" i="83"/>
  <c r="H38" i="83"/>
  <c r="L35" i="83"/>
  <c r="H35" i="83"/>
  <c r="F17" i="83"/>
  <c r="F49" i="82"/>
  <c r="F48" i="82"/>
  <c r="J24" i="82"/>
  <c r="D49" i="82"/>
  <c r="B49" i="82"/>
  <c r="B48" i="82"/>
  <c r="D48" i="82"/>
  <c r="F44" i="82"/>
  <c r="D44" i="82"/>
  <c r="B44" i="82"/>
  <c r="F43" i="82"/>
  <c r="D43" i="82"/>
  <c r="B43" i="82"/>
  <c r="F42" i="82"/>
  <c r="D42" i="82"/>
  <c r="B42" i="82"/>
  <c r="F41" i="82"/>
  <c r="D41" i="82"/>
  <c r="B41" i="82"/>
  <c r="F40" i="82"/>
  <c r="D40" i="82"/>
  <c r="B40" i="82"/>
  <c r="F39" i="82"/>
  <c r="D39" i="82"/>
  <c r="B39" i="82"/>
  <c r="B37" i="82"/>
  <c r="D37" i="82"/>
  <c r="F37" i="82"/>
  <c r="D33" i="82"/>
  <c r="B33" i="82"/>
  <c r="D32" i="82"/>
  <c r="B32" i="82"/>
  <c r="D31" i="82"/>
  <c r="B31" i="82"/>
  <c r="D30" i="82"/>
  <c r="B30" i="82"/>
  <c r="D29" i="82"/>
  <c r="B29" i="82"/>
  <c r="D28" i="82"/>
  <c r="B28" i="82"/>
  <c r="D27" i="82"/>
  <c r="B27" i="82"/>
  <c r="D26" i="82"/>
  <c r="B26" i="82"/>
  <c r="D25" i="82"/>
  <c r="B25" i="82"/>
  <c r="D24" i="82"/>
  <c r="B24" i="82"/>
  <c r="F33" i="82"/>
  <c r="F32" i="82"/>
  <c r="F31" i="82"/>
  <c r="F30" i="82"/>
  <c r="F29" i="82"/>
  <c r="F28" i="82"/>
  <c r="F27" i="82"/>
  <c r="F26" i="82"/>
  <c r="F25" i="82"/>
  <c r="F24" i="82"/>
  <c r="F23" i="82"/>
  <c r="D23" i="82"/>
  <c r="B23" i="82"/>
  <c r="K60" i="82"/>
  <c r="F60" i="82"/>
  <c r="J60" i="82" s="1"/>
  <c r="D60" i="82"/>
  <c r="B60" i="82"/>
  <c r="F59" i="82"/>
  <c r="J59" i="82" s="1"/>
  <c r="D59" i="82"/>
  <c r="B59" i="82"/>
  <c r="F58" i="82"/>
  <c r="J58" i="82" s="1"/>
  <c r="D58" i="82"/>
  <c r="B58" i="82"/>
  <c r="F57" i="82"/>
  <c r="J57" i="82" s="1"/>
  <c r="D57" i="82"/>
  <c r="B57" i="82"/>
  <c r="F56" i="82"/>
  <c r="D56" i="82"/>
  <c r="B56" i="82"/>
  <c r="J55" i="82"/>
  <c r="F55" i="82"/>
  <c r="D55" i="82"/>
  <c r="B55" i="82"/>
  <c r="J54" i="82"/>
  <c r="F54" i="82"/>
  <c r="D54" i="82"/>
  <c r="B54" i="82"/>
  <c r="J53" i="82"/>
  <c r="F53" i="82"/>
  <c r="D53" i="82"/>
  <c r="B53" i="82"/>
  <c r="J52" i="82"/>
  <c r="F52" i="82"/>
  <c r="D52" i="82"/>
  <c r="B52" i="82"/>
  <c r="J51" i="82"/>
  <c r="F51" i="82"/>
  <c r="D51" i="82"/>
  <c r="B51" i="82"/>
  <c r="L38" i="82"/>
  <c r="H38" i="82"/>
  <c r="E14" i="92"/>
  <c r="J48" i="81"/>
  <c r="J47" i="81"/>
  <c r="J24" i="81"/>
  <c r="F48" i="81"/>
  <c r="D48" i="81"/>
  <c r="B48" i="81"/>
  <c r="B47" i="81"/>
  <c r="D47" i="81"/>
  <c r="F47" i="81"/>
  <c r="F43" i="81"/>
  <c r="D43" i="81"/>
  <c r="B43" i="81"/>
  <c r="F42" i="81"/>
  <c r="D42" i="81"/>
  <c r="B42" i="81"/>
  <c r="F41" i="81"/>
  <c r="D41" i="81"/>
  <c r="B41" i="81"/>
  <c r="F40" i="81"/>
  <c r="D40" i="81"/>
  <c r="B40" i="81"/>
  <c r="F39" i="81"/>
  <c r="D39" i="81"/>
  <c r="B39" i="81"/>
  <c r="B37" i="81"/>
  <c r="D37" i="81"/>
  <c r="F37" i="81"/>
  <c r="F33" i="81"/>
  <c r="D33" i="81"/>
  <c r="B33" i="81"/>
  <c r="F32" i="81"/>
  <c r="D32" i="81"/>
  <c r="B32" i="81"/>
  <c r="F31" i="81"/>
  <c r="D31" i="81"/>
  <c r="B31" i="81"/>
  <c r="F30" i="81"/>
  <c r="D30" i="81"/>
  <c r="B30" i="81"/>
  <c r="F29" i="81"/>
  <c r="D29" i="81"/>
  <c r="B29" i="81"/>
  <c r="F28" i="81"/>
  <c r="D28" i="81"/>
  <c r="B28" i="81"/>
  <c r="F27" i="81"/>
  <c r="D27" i="81"/>
  <c r="B27" i="81"/>
  <c r="F26" i="81"/>
  <c r="D26" i="81"/>
  <c r="B26" i="81"/>
  <c r="F25" i="81"/>
  <c r="D25" i="81"/>
  <c r="B25" i="81"/>
  <c r="F24" i="81"/>
  <c r="D24" i="81"/>
  <c r="B24" i="81"/>
  <c r="F23" i="81"/>
  <c r="D23" i="81"/>
  <c r="B23" i="81"/>
  <c r="K59" i="81"/>
  <c r="G52" i="81"/>
  <c r="F59" i="81"/>
  <c r="J59" i="81" s="1"/>
  <c r="D59" i="81"/>
  <c r="B59" i="81"/>
  <c r="F58" i="81"/>
  <c r="J58" i="81" s="1"/>
  <c r="D58" i="81"/>
  <c r="B58" i="81"/>
  <c r="F57" i="81"/>
  <c r="J57" i="81" s="1"/>
  <c r="D57" i="81"/>
  <c r="B57" i="81"/>
  <c r="F56" i="81"/>
  <c r="J56" i="81" s="1"/>
  <c r="D56" i="81"/>
  <c r="B56" i="81"/>
  <c r="F55" i="81"/>
  <c r="D55" i="81"/>
  <c r="B55" i="81"/>
  <c r="F54" i="81"/>
  <c r="D54" i="81"/>
  <c r="B54" i="81"/>
  <c r="J53" i="81"/>
  <c r="F53" i="81"/>
  <c r="D53" i="81"/>
  <c r="B53" i="81"/>
  <c r="J52" i="81"/>
  <c r="F52" i="81"/>
  <c r="D52" i="81"/>
  <c r="B52" i="81"/>
  <c r="J51" i="81"/>
  <c r="F51" i="81"/>
  <c r="D51" i="81"/>
  <c r="B51" i="81"/>
  <c r="J50" i="81"/>
  <c r="F50" i="81"/>
  <c r="D50" i="81"/>
  <c r="B50" i="81"/>
  <c r="L38" i="81"/>
  <c r="H38" i="81"/>
  <c r="L35" i="81"/>
  <c r="H35" i="81"/>
  <c r="F17" i="81"/>
  <c r="F49" i="80"/>
  <c r="D49" i="80"/>
  <c r="B49" i="80"/>
  <c r="F48" i="80"/>
  <c r="D48" i="80"/>
  <c r="B48" i="80"/>
  <c r="F44" i="80"/>
  <c r="D44" i="80"/>
  <c r="B44" i="80"/>
  <c r="F43" i="80"/>
  <c r="D43" i="80"/>
  <c r="B43" i="80"/>
  <c r="F42" i="80"/>
  <c r="D42" i="80"/>
  <c r="B42" i="80"/>
  <c r="F41" i="80"/>
  <c r="D41" i="80"/>
  <c r="B41" i="80"/>
  <c r="F40" i="80"/>
  <c r="D40" i="80"/>
  <c r="B40" i="80"/>
  <c r="F39" i="80"/>
  <c r="D39" i="80"/>
  <c r="B39" i="80"/>
  <c r="B37" i="80"/>
  <c r="D37" i="80"/>
  <c r="F37" i="80"/>
  <c r="F33" i="80"/>
  <c r="D33" i="80"/>
  <c r="B33" i="80"/>
  <c r="F32" i="80"/>
  <c r="D32" i="80"/>
  <c r="B32" i="80"/>
  <c r="F31" i="80"/>
  <c r="D31" i="80"/>
  <c r="B31" i="80"/>
  <c r="F30" i="80"/>
  <c r="D30" i="80"/>
  <c r="B30" i="80"/>
  <c r="F29" i="80"/>
  <c r="D29" i="80"/>
  <c r="B29" i="80"/>
  <c r="F28" i="80"/>
  <c r="D28" i="80"/>
  <c r="B28" i="80"/>
  <c r="F27" i="80"/>
  <c r="D27" i="80"/>
  <c r="B27" i="80"/>
  <c r="F26" i="80"/>
  <c r="D26" i="80"/>
  <c r="B26" i="80"/>
  <c r="F25" i="80"/>
  <c r="D25" i="80"/>
  <c r="B25" i="80"/>
  <c r="F24" i="80"/>
  <c r="D24" i="80"/>
  <c r="B24" i="80"/>
  <c r="F23" i="80"/>
  <c r="D23" i="80"/>
  <c r="B23" i="80"/>
  <c r="K60" i="80"/>
  <c r="G60" i="80"/>
  <c r="F60" i="80"/>
  <c r="J60" i="80" s="1"/>
  <c r="D60" i="80"/>
  <c r="B60" i="80"/>
  <c r="F59" i="80"/>
  <c r="J59" i="80" s="1"/>
  <c r="D59" i="80"/>
  <c r="B59" i="80"/>
  <c r="F58" i="80"/>
  <c r="J58" i="80" s="1"/>
  <c r="D58" i="80"/>
  <c r="B58" i="80"/>
  <c r="F57" i="80"/>
  <c r="J57" i="80" s="1"/>
  <c r="D57" i="80"/>
  <c r="B57" i="80"/>
  <c r="F56" i="80"/>
  <c r="D56" i="80"/>
  <c r="B56" i="80"/>
  <c r="J55" i="80"/>
  <c r="F55" i="80"/>
  <c r="D55" i="80"/>
  <c r="B55" i="80"/>
  <c r="J54" i="80"/>
  <c r="F54" i="80"/>
  <c r="D54" i="80"/>
  <c r="B54" i="80"/>
  <c r="J53" i="80"/>
  <c r="F53" i="80"/>
  <c r="D53" i="80"/>
  <c r="B53" i="80"/>
  <c r="J52" i="80"/>
  <c r="F52" i="80"/>
  <c r="D52" i="80"/>
  <c r="B52" i="80"/>
  <c r="J51" i="80"/>
  <c r="F51" i="80"/>
  <c r="D51" i="80"/>
  <c r="B51" i="80"/>
  <c r="L38" i="80"/>
  <c r="H38" i="80"/>
  <c r="L35" i="80"/>
  <c r="H35" i="80"/>
  <c r="F17" i="80"/>
  <c r="J49" i="79"/>
  <c r="J48" i="79"/>
  <c r="J24" i="79"/>
  <c r="F49" i="79"/>
  <c r="D49" i="79"/>
  <c r="B49" i="79"/>
  <c r="F48" i="79"/>
  <c r="D48" i="79"/>
  <c r="B48" i="79"/>
  <c r="F44" i="79"/>
  <c r="D44" i="79"/>
  <c r="B44" i="79"/>
  <c r="F43" i="79"/>
  <c r="D43" i="79"/>
  <c r="B43" i="79"/>
  <c r="F42" i="79"/>
  <c r="D42" i="79"/>
  <c r="B42" i="79"/>
  <c r="F41" i="79"/>
  <c r="D41" i="79"/>
  <c r="B41" i="79"/>
  <c r="F40" i="79"/>
  <c r="D40" i="79"/>
  <c r="B40" i="79"/>
  <c r="F39" i="79"/>
  <c r="D39" i="79"/>
  <c r="B39" i="79"/>
  <c r="F37" i="79"/>
  <c r="D37" i="79"/>
  <c r="B37" i="79"/>
  <c r="F33" i="79"/>
  <c r="D33" i="79"/>
  <c r="B33" i="79"/>
  <c r="F32" i="79"/>
  <c r="D32" i="79"/>
  <c r="B32" i="79"/>
  <c r="F31" i="79"/>
  <c r="D31" i="79"/>
  <c r="B31" i="79"/>
  <c r="F30" i="79"/>
  <c r="D30" i="79"/>
  <c r="B30" i="79"/>
  <c r="F29" i="79"/>
  <c r="D29" i="79"/>
  <c r="B29" i="79"/>
  <c r="F28" i="79"/>
  <c r="D28" i="79"/>
  <c r="B28" i="79"/>
  <c r="F27" i="79"/>
  <c r="D27" i="79"/>
  <c r="B27" i="79"/>
  <c r="F26" i="79"/>
  <c r="D26" i="79"/>
  <c r="B26" i="79"/>
  <c r="F25" i="79"/>
  <c r="D25" i="79"/>
  <c r="B25" i="79"/>
  <c r="F24" i="79"/>
  <c r="D24" i="79"/>
  <c r="B24" i="79"/>
  <c r="F23" i="79"/>
  <c r="D23" i="79"/>
  <c r="B23" i="79"/>
  <c r="G60" i="79"/>
  <c r="F60" i="79"/>
  <c r="J60" i="79" s="1"/>
  <c r="D60" i="79"/>
  <c r="B60" i="79"/>
  <c r="F59" i="79"/>
  <c r="J59" i="79" s="1"/>
  <c r="D59" i="79"/>
  <c r="B59" i="79"/>
  <c r="F58" i="79"/>
  <c r="J58" i="79" s="1"/>
  <c r="D58" i="79"/>
  <c r="B58" i="79"/>
  <c r="F57" i="79"/>
  <c r="J57" i="79" s="1"/>
  <c r="D57" i="79"/>
  <c r="B57" i="79"/>
  <c r="F56" i="79"/>
  <c r="D56" i="79"/>
  <c r="B56" i="79"/>
  <c r="J55" i="79"/>
  <c r="F55" i="79"/>
  <c r="D55" i="79"/>
  <c r="B55" i="79"/>
  <c r="J54" i="79"/>
  <c r="F54" i="79"/>
  <c r="D54" i="79"/>
  <c r="B54" i="79"/>
  <c r="J53" i="79"/>
  <c r="F53" i="79"/>
  <c r="D53" i="79"/>
  <c r="B53" i="79"/>
  <c r="J52" i="79"/>
  <c r="F52" i="79"/>
  <c r="D52" i="79"/>
  <c r="B52" i="79"/>
  <c r="J51" i="79"/>
  <c r="F51" i="79"/>
  <c r="D51" i="79"/>
  <c r="B51" i="79"/>
  <c r="L38" i="79"/>
  <c r="H38" i="79"/>
  <c r="L35" i="79"/>
  <c r="H35" i="79"/>
  <c r="F17" i="79"/>
  <c r="F60" i="78"/>
  <c r="J60" i="78" s="1"/>
  <c r="F59" i="78"/>
  <c r="J59" i="78" s="1"/>
  <c r="F58" i="78"/>
  <c r="J58" i="78" s="1"/>
  <c r="F57" i="78"/>
  <c r="J57" i="78" s="1"/>
  <c r="F56" i="78"/>
  <c r="F55" i="78"/>
  <c r="F54" i="78"/>
  <c r="F53" i="78"/>
  <c r="F52" i="78"/>
  <c r="F51" i="78"/>
  <c r="F49" i="78"/>
  <c r="F48" i="78"/>
  <c r="F44" i="78"/>
  <c r="F43" i="78"/>
  <c r="F42" i="78"/>
  <c r="F41" i="78"/>
  <c r="F40" i="78"/>
  <c r="F39" i="78"/>
  <c r="F37" i="78"/>
  <c r="F34" i="78"/>
  <c r="F33" i="78"/>
  <c r="F32" i="78"/>
  <c r="F31" i="78"/>
  <c r="F30" i="78"/>
  <c r="F29" i="78"/>
  <c r="F28" i="78"/>
  <c r="F27" i="78"/>
  <c r="F26" i="78"/>
  <c r="F25" i="78"/>
  <c r="F24" i="78"/>
  <c r="F23" i="78"/>
  <c r="K60" i="78"/>
  <c r="G53" i="78"/>
  <c r="D60" i="78"/>
  <c r="B60" i="78"/>
  <c r="D59" i="78"/>
  <c r="B59" i="78"/>
  <c r="D58" i="78"/>
  <c r="B58" i="78"/>
  <c r="D57" i="78"/>
  <c r="B57" i="78"/>
  <c r="D56" i="78"/>
  <c r="B56" i="78"/>
  <c r="J55" i="78"/>
  <c r="D55" i="78"/>
  <c r="B55" i="78"/>
  <c r="J54" i="78"/>
  <c r="D54" i="78"/>
  <c r="B54" i="78"/>
  <c r="J53" i="78"/>
  <c r="D53" i="78"/>
  <c r="B53" i="78"/>
  <c r="J52" i="78"/>
  <c r="D52" i="78"/>
  <c r="B52" i="78"/>
  <c r="J51" i="78"/>
  <c r="D51" i="78"/>
  <c r="B51" i="78"/>
  <c r="J49" i="78"/>
  <c r="D49" i="78"/>
  <c r="B49" i="78"/>
  <c r="D48" i="78"/>
  <c r="B48" i="78"/>
  <c r="D44" i="78"/>
  <c r="B44" i="78"/>
  <c r="D43" i="78"/>
  <c r="B43" i="78"/>
  <c r="D42" i="78"/>
  <c r="B42" i="78"/>
  <c r="D41" i="78"/>
  <c r="B41" i="78"/>
  <c r="D40" i="78"/>
  <c r="B40" i="78"/>
  <c r="D39" i="78"/>
  <c r="B39" i="78"/>
  <c r="L38" i="78"/>
  <c r="H38" i="78"/>
  <c r="D37" i="78"/>
  <c r="B37" i="78"/>
  <c r="D34" i="78"/>
  <c r="B34" i="78"/>
  <c r="D33" i="78"/>
  <c r="B33" i="78"/>
  <c r="D32" i="78"/>
  <c r="B32" i="78"/>
  <c r="D31" i="78"/>
  <c r="B31" i="78"/>
  <c r="D30" i="78"/>
  <c r="B30" i="78"/>
  <c r="D29" i="78"/>
  <c r="B29" i="78"/>
  <c r="D28" i="78"/>
  <c r="B28" i="78"/>
  <c r="D27" i="78"/>
  <c r="B27" i="78"/>
  <c r="D26" i="78"/>
  <c r="B26" i="78"/>
  <c r="D25" i="78"/>
  <c r="B25" i="78"/>
  <c r="J24" i="78"/>
  <c r="D24" i="78"/>
  <c r="B24" i="78"/>
  <c r="D23" i="78"/>
  <c r="B23" i="78"/>
  <c r="F17" i="78"/>
  <c r="J49" i="77"/>
  <c r="J24" i="77"/>
  <c r="F49" i="77"/>
  <c r="D49" i="77"/>
  <c r="B49" i="77"/>
  <c r="F48" i="77"/>
  <c r="D48" i="77"/>
  <c r="B48" i="77"/>
  <c r="F44" i="77"/>
  <c r="D44" i="77"/>
  <c r="B44" i="77"/>
  <c r="F43" i="77"/>
  <c r="D43" i="77"/>
  <c r="B43" i="77"/>
  <c r="F42" i="77"/>
  <c r="D42" i="77"/>
  <c r="B42" i="77"/>
  <c r="F41" i="77"/>
  <c r="D41" i="77"/>
  <c r="B41" i="77"/>
  <c r="F40" i="77"/>
  <c r="D40" i="77"/>
  <c r="B40" i="77"/>
  <c r="F39" i="77"/>
  <c r="D39" i="77"/>
  <c r="B39" i="77"/>
  <c r="F37" i="77"/>
  <c r="D37" i="77"/>
  <c r="B37" i="77"/>
  <c r="F34" i="77"/>
  <c r="D34" i="77"/>
  <c r="B34" i="77"/>
  <c r="F33" i="77"/>
  <c r="D33" i="77"/>
  <c r="B33" i="77"/>
  <c r="F32" i="77"/>
  <c r="D32" i="77"/>
  <c r="B32" i="77"/>
  <c r="F31" i="77"/>
  <c r="D31" i="77"/>
  <c r="B31" i="77"/>
  <c r="F30" i="77"/>
  <c r="D30" i="77"/>
  <c r="B30" i="77"/>
  <c r="F29" i="77"/>
  <c r="D29" i="77"/>
  <c r="B29" i="77"/>
  <c r="F28" i="77"/>
  <c r="D28" i="77"/>
  <c r="B28" i="77"/>
  <c r="F27" i="77"/>
  <c r="D27" i="77"/>
  <c r="B27" i="77"/>
  <c r="F26" i="77"/>
  <c r="D26" i="77"/>
  <c r="B26" i="77"/>
  <c r="F25" i="77"/>
  <c r="D25" i="77"/>
  <c r="B25" i="77"/>
  <c r="F24" i="77"/>
  <c r="D24" i="77"/>
  <c r="B24" i="77"/>
  <c r="F23" i="77"/>
  <c r="D23" i="77"/>
  <c r="B23" i="77"/>
  <c r="K60" i="77"/>
  <c r="G53" i="77"/>
  <c r="F60" i="77"/>
  <c r="J60" i="77" s="1"/>
  <c r="D60" i="77"/>
  <c r="B60" i="77"/>
  <c r="F59" i="77"/>
  <c r="J59" i="77" s="1"/>
  <c r="D59" i="77"/>
  <c r="B59" i="77"/>
  <c r="F58" i="77"/>
  <c r="J58" i="77" s="1"/>
  <c r="D58" i="77"/>
  <c r="B58" i="77"/>
  <c r="F57" i="77"/>
  <c r="J57" i="77" s="1"/>
  <c r="D57" i="77"/>
  <c r="B57" i="77"/>
  <c r="F56" i="77"/>
  <c r="D56" i="77"/>
  <c r="B56" i="77"/>
  <c r="J55" i="77"/>
  <c r="F55" i="77"/>
  <c r="D55" i="77"/>
  <c r="B55" i="77"/>
  <c r="J54" i="77"/>
  <c r="F54" i="77"/>
  <c r="D54" i="77"/>
  <c r="B54" i="77"/>
  <c r="J53" i="77"/>
  <c r="F53" i="77"/>
  <c r="D53" i="77"/>
  <c r="B53" i="77"/>
  <c r="J52" i="77"/>
  <c r="F52" i="77"/>
  <c r="D52" i="77"/>
  <c r="B52" i="77"/>
  <c r="J51" i="77"/>
  <c r="H51" i="77"/>
  <c r="D51" i="77"/>
  <c r="K51" i="77" s="1"/>
  <c r="B51" i="77"/>
  <c r="L38" i="77"/>
  <c r="H38" i="77"/>
  <c r="F17" i="77"/>
  <c r="G54" i="76"/>
  <c r="F62" i="76"/>
  <c r="J62" i="76" s="1"/>
  <c r="F61" i="76"/>
  <c r="J61" i="76" s="1"/>
  <c r="F60" i="76"/>
  <c r="J60" i="76" s="1"/>
  <c r="F59" i="76"/>
  <c r="J59" i="76" s="1"/>
  <c r="F58" i="76"/>
  <c r="F57" i="76"/>
  <c r="F56" i="76"/>
  <c r="F55" i="76"/>
  <c r="F54" i="76"/>
  <c r="F53" i="76"/>
  <c r="F50" i="76"/>
  <c r="F48" i="76"/>
  <c r="F44" i="76"/>
  <c r="F43" i="76"/>
  <c r="F42" i="76"/>
  <c r="F41" i="76"/>
  <c r="F40" i="76"/>
  <c r="F39" i="76"/>
  <c r="F37" i="76"/>
  <c r="F34" i="76"/>
  <c r="F33" i="76"/>
  <c r="F32" i="76"/>
  <c r="F31" i="76"/>
  <c r="F30" i="76"/>
  <c r="F29" i="76"/>
  <c r="F28" i="76"/>
  <c r="F27" i="76"/>
  <c r="F26" i="76"/>
  <c r="F25" i="76"/>
  <c r="F24" i="76"/>
  <c r="F23" i="76"/>
  <c r="K61" i="76"/>
  <c r="K60" i="76" s="1"/>
  <c r="D62" i="76"/>
  <c r="B62" i="76"/>
  <c r="D61" i="76"/>
  <c r="B61" i="76"/>
  <c r="D60" i="76"/>
  <c r="B60" i="76"/>
  <c r="D59" i="76"/>
  <c r="B59" i="76"/>
  <c r="D58" i="76"/>
  <c r="B58" i="76"/>
  <c r="J57" i="76"/>
  <c r="D57" i="76"/>
  <c r="B57" i="76"/>
  <c r="J56" i="76"/>
  <c r="D56" i="76"/>
  <c r="B56" i="76"/>
  <c r="J55" i="76"/>
  <c r="D55" i="76"/>
  <c r="B55" i="76"/>
  <c r="J54" i="76"/>
  <c r="D54" i="76"/>
  <c r="B54" i="76"/>
  <c r="J53" i="76"/>
  <c r="D53" i="76"/>
  <c r="B53" i="76"/>
  <c r="D51" i="76"/>
  <c r="B51" i="76"/>
  <c r="D50" i="76"/>
  <c r="B50" i="76"/>
  <c r="D49" i="76"/>
  <c r="B49" i="76"/>
  <c r="D48" i="76"/>
  <c r="B48" i="76"/>
  <c r="D44" i="76"/>
  <c r="B44" i="76"/>
  <c r="D43" i="76"/>
  <c r="B43" i="76"/>
  <c r="D42" i="76"/>
  <c r="B42" i="76"/>
  <c r="D41" i="76"/>
  <c r="B41" i="76"/>
  <c r="D40" i="76"/>
  <c r="B40" i="76"/>
  <c r="D39" i="76"/>
  <c r="B39" i="76"/>
  <c r="L38" i="76"/>
  <c r="H38" i="76"/>
  <c r="D37" i="76"/>
  <c r="B37" i="76"/>
  <c r="D34" i="76"/>
  <c r="B34" i="76"/>
  <c r="D33" i="76"/>
  <c r="B33" i="76"/>
  <c r="D32" i="76"/>
  <c r="B32" i="76"/>
  <c r="D31" i="76"/>
  <c r="B31" i="76"/>
  <c r="D30" i="76"/>
  <c r="B30" i="76"/>
  <c r="D29" i="76"/>
  <c r="B29" i="76"/>
  <c r="D28" i="76"/>
  <c r="B28" i="76"/>
  <c r="D27" i="76"/>
  <c r="B27" i="76"/>
  <c r="D26" i="76"/>
  <c r="B26" i="76"/>
  <c r="D25" i="76"/>
  <c r="B25" i="76"/>
  <c r="J24" i="76"/>
  <c r="D24" i="76"/>
  <c r="B24" i="76"/>
  <c r="D23" i="76"/>
  <c r="B23" i="76"/>
  <c r="L38" i="67"/>
  <c r="J57" i="67"/>
  <c r="J56" i="67"/>
  <c r="J55" i="67"/>
  <c r="J54" i="67"/>
  <c r="J53" i="67"/>
  <c r="J24" i="67"/>
  <c r="K61" i="67"/>
  <c r="G56" i="67"/>
  <c r="K34" i="86" l="1"/>
  <c r="L34" i="86" s="1"/>
  <c r="N34" i="86" s="1"/>
  <c r="G34" i="86"/>
  <c r="H34" i="86" s="1"/>
  <c r="O34" i="86" s="1"/>
  <c r="G35" i="77"/>
  <c r="H35" i="77" s="1"/>
  <c r="O35" i="77" s="1"/>
  <c r="K35" i="77"/>
  <c r="L35" i="77" s="1"/>
  <c r="N35" i="77" s="1"/>
  <c r="E37" i="92"/>
  <c r="K45" i="77"/>
  <c r="G45" i="77"/>
  <c r="H45" i="77" s="1"/>
  <c r="G48" i="78"/>
  <c r="G34" i="81"/>
  <c r="H34" i="81" s="1"/>
  <c r="K34" i="81"/>
  <c r="L34" i="81" s="1"/>
  <c r="N34" i="81" s="1"/>
  <c r="E41" i="92"/>
  <c r="G44" i="81"/>
  <c r="H44" i="81" s="1"/>
  <c r="K44" i="81"/>
  <c r="K49" i="84"/>
  <c r="K35" i="84"/>
  <c r="L35" i="84" s="1"/>
  <c r="N35" i="84" s="1"/>
  <c r="G35" i="84"/>
  <c r="H35" i="84" s="1"/>
  <c r="E10" i="92"/>
  <c r="G45" i="84"/>
  <c r="H45" i="84" s="1"/>
  <c r="K45" i="84"/>
  <c r="K49" i="77"/>
  <c r="K35" i="78"/>
  <c r="L35" i="78" s="1"/>
  <c r="G35" i="78"/>
  <c r="H35" i="78" s="1"/>
  <c r="O35" i="78" s="1"/>
  <c r="E9" i="92"/>
  <c r="K45" i="78"/>
  <c r="G45" i="78"/>
  <c r="H45" i="78" s="1"/>
  <c r="G48" i="83"/>
  <c r="K34" i="83"/>
  <c r="L34" i="83" s="1"/>
  <c r="N34" i="83" s="1"/>
  <c r="G34" i="83"/>
  <c r="H34" i="83" s="1"/>
  <c r="O34" i="83" s="1"/>
  <c r="E13" i="92"/>
  <c r="K45" i="83"/>
  <c r="N34" i="87"/>
  <c r="K48" i="77"/>
  <c r="G49" i="78"/>
  <c r="K34" i="79"/>
  <c r="L34" i="79" s="1"/>
  <c r="N34" i="79" s="1"/>
  <c r="G34" i="79"/>
  <c r="H34" i="79" s="1"/>
  <c r="O34" i="79" s="1"/>
  <c r="K34" i="80"/>
  <c r="L34" i="80" s="1"/>
  <c r="N34" i="80" s="1"/>
  <c r="G34" i="80"/>
  <c r="H34" i="80" s="1"/>
  <c r="K34" i="85"/>
  <c r="L34" i="85" s="1"/>
  <c r="G34" i="85"/>
  <c r="H34" i="85" s="1"/>
  <c r="O34" i="85" s="1"/>
  <c r="E40" i="92"/>
  <c r="K45" i="85"/>
  <c r="G45" i="85"/>
  <c r="H45" i="85" s="1"/>
  <c r="H36" i="87"/>
  <c r="H47" i="87" s="1"/>
  <c r="N35" i="81"/>
  <c r="O35" i="80"/>
  <c r="N35" i="83"/>
  <c r="O35" i="83"/>
  <c r="N35" i="80"/>
  <c r="N35" i="85"/>
  <c r="E12" i="92"/>
  <c r="G45" i="86"/>
  <c r="H45" i="86" s="1"/>
  <c r="K45" i="86"/>
  <c r="O35" i="86"/>
  <c r="N35" i="79"/>
  <c r="N38" i="76"/>
  <c r="E42" i="92"/>
  <c r="G45" i="79"/>
  <c r="H45" i="79" s="1"/>
  <c r="K45" i="79"/>
  <c r="E43" i="92"/>
  <c r="K45" i="80"/>
  <c r="G45" i="80"/>
  <c r="H45" i="80" s="1"/>
  <c r="N27" i="90"/>
  <c r="O27" i="89"/>
  <c r="N32" i="89"/>
  <c r="H38" i="89"/>
  <c r="N39" i="90"/>
  <c r="N32" i="87"/>
  <c r="N51" i="87"/>
  <c r="O51" i="87" s="1"/>
  <c r="O39" i="90"/>
  <c r="N32" i="90"/>
  <c r="N24" i="90"/>
  <c r="O32" i="89"/>
  <c r="O29" i="90"/>
  <c r="N54" i="89"/>
  <c r="O54" i="89" s="1"/>
  <c r="O41" i="90"/>
  <c r="O29" i="89"/>
  <c r="N27" i="89"/>
  <c r="O33" i="89"/>
  <c r="O26" i="90"/>
  <c r="O27" i="90"/>
  <c r="O33" i="90"/>
  <c r="O32" i="90"/>
  <c r="N26" i="89"/>
  <c r="N24" i="89"/>
  <c r="F38" i="92"/>
  <c r="N39" i="89"/>
  <c r="O39" i="89"/>
  <c r="O39" i="87"/>
  <c r="N39" i="87"/>
  <c r="H36" i="89"/>
  <c r="B19" i="72" s="1"/>
  <c r="K23" i="76"/>
  <c r="G23" i="76"/>
  <c r="H23" i="76" s="1"/>
  <c r="G30" i="76"/>
  <c r="H30" i="76" s="1"/>
  <c r="K30" i="76"/>
  <c r="L30" i="76" s="1"/>
  <c r="G32" i="76"/>
  <c r="H32" i="76" s="1"/>
  <c r="K32" i="76"/>
  <c r="G34" i="76"/>
  <c r="H34" i="76" s="1"/>
  <c r="K34" i="76"/>
  <c r="L34" i="76" s="1"/>
  <c r="G37" i="76"/>
  <c r="H37" i="76" s="1"/>
  <c r="K37" i="76"/>
  <c r="G39" i="76"/>
  <c r="H39" i="76" s="1"/>
  <c r="K39" i="76"/>
  <c r="L39" i="76" s="1"/>
  <c r="K24" i="77"/>
  <c r="L24" i="77" s="1"/>
  <c r="G24" i="77"/>
  <c r="H24" i="77" s="1"/>
  <c r="K28" i="77"/>
  <c r="L28" i="77" s="1"/>
  <c r="G28" i="77"/>
  <c r="H28" i="77" s="1"/>
  <c r="K32" i="77"/>
  <c r="L32" i="77" s="1"/>
  <c r="G32" i="77"/>
  <c r="H32" i="77" s="1"/>
  <c r="G39" i="77"/>
  <c r="H39" i="77" s="1"/>
  <c r="K39" i="77"/>
  <c r="L39" i="77" s="1"/>
  <c r="G43" i="77"/>
  <c r="H43" i="77" s="1"/>
  <c r="K43" i="77"/>
  <c r="K25" i="78"/>
  <c r="G25" i="78"/>
  <c r="H25" i="78" s="1"/>
  <c r="K27" i="78"/>
  <c r="G27" i="78"/>
  <c r="H27" i="78" s="1"/>
  <c r="G32" i="78"/>
  <c r="H32" i="78" s="1"/>
  <c r="K32" i="78"/>
  <c r="L32" i="78" s="1"/>
  <c r="K34" i="78"/>
  <c r="L34" i="78" s="1"/>
  <c r="G34" i="78"/>
  <c r="H34" i="78" s="1"/>
  <c r="K37" i="78"/>
  <c r="G37" i="78"/>
  <c r="H37" i="78" s="1"/>
  <c r="G39" i="78"/>
  <c r="H39" i="78" s="1"/>
  <c r="K39" i="78"/>
  <c r="L39" i="78" s="1"/>
  <c r="G26" i="79"/>
  <c r="H26" i="79" s="1"/>
  <c r="K26" i="79"/>
  <c r="L26" i="79" s="1"/>
  <c r="K30" i="79"/>
  <c r="L30" i="79" s="1"/>
  <c r="G30" i="79"/>
  <c r="H30" i="79" s="1"/>
  <c r="K40" i="79"/>
  <c r="G40" i="79"/>
  <c r="H40" i="79" s="1"/>
  <c r="G44" i="79"/>
  <c r="H44" i="79" s="1"/>
  <c r="K44" i="79"/>
  <c r="K51" i="80"/>
  <c r="L51" i="80" s="1"/>
  <c r="G51" i="80"/>
  <c r="H51" i="80" s="1"/>
  <c r="G24" i="80"/>
  <c r="H24" i="80" s="1"/>
  <c r="K24" i="80"/>
  <c r="L24" i="80" s="1"/>
  <c r="G28" i="80"/>
  <c r="H28" i="80" s="1"/>
  <c r="K28" i="80"/>
  <c r="G32" i="80"/>
  <c r="H32" i="80" s="1"/>
  <c r="K32" i="80"/>
  <c r="L32" i="80" s="1"/>
  <c r="G40" i="80"/>
  <c r="H40" i="80" s="1"/>
  <c r="K40" i="80"/>
  <c r="G44" i="80"/>
  <c r="H44" i="80" s="1"/>
  <c r="K44" i="80"/>
  <c r="K26" i="81"/>
  <c r="L26" i="81" s="1"/>
  <c r="G26" i="81"/>
  <c r="H26" i="81" s="1"/>
  <c r="K30" i="81"/>
  <c r="L30" i="81" s="1"/>
  <c r="G30" i="81"/>
  <c r="H30" i="81" s="1"/>
  <c r="K40" i="81"/>
  <c r="G40" i="81"/>
  <c r="H40" i="81" s="1"/>
  <c r="G47" i="81"/>
  <c r="K47" i="81"/>
  <c r="G25" i="82"/>
  <c r="H25" i="82" s="1"/>
  <c r="K25" i="82"/>
  <c r="K27" i="82"/>
  <c r="L27" i="82" s="1"/>
  <c r="G27" i="82"/>
  <c r="H27" i="82" s="1"/>
  <c r="G29" i="82"/>
  <c r="H29" i="82" s="1"/>
  <c r="K29" i="82"/>
  <c r="L29" i="82" s="1"/>
  <c r="G31" i="82"/>
  <c r="H31" i="82" s="1"/>
  <c r="K31" i="82"/>
  <c r="L31" i="82" s="1"/>
  <c r="G33" i="82"/>
  <c r="H33" i="82" s="1"/>
  <c r="K33" i="82"/>
  <c r="L33" i="82" s="1"/>
  <c r="G40" i="82"/>
  <c r="H40" i="82" s="1"/>
  <c r="K40" i="82"/>
  <c r="G44" i="82"/>
  <c r="H44" i="82" s="1"/>
  <c r="K44" i="82"/>
  <c r="G51" i="83"/>
  <c r="H51" i="83" s="1"/>
  <c r="K51" i="83"/>
  <c r="L51" i="83" s="1"/>
  <c r="G24" i="83"/>
  <c r="H24" i="83" s="1"/>
  <c r="K24" i="83"/>
  <c r="L24" i="83" s="1"/>
  <c r="K28" i="83"/>
  <c r="G28" i="83"/>
  <c r="H28" i="83" s="1"/>
  <c r="K32" i="83"/>
  <c r="L32" i="83" s="1"/>
  <c r="G32" i="83"/>
  <c r="H32" i="83" s="1"/>
  <c r="G40" i="83"/>
  <c r="H40" i="83" s="1"/>
  <c r="K40" i="83"/>
  <c r="K41" i="84"/>
  <c r="L41" i="84" s="1"/>
  <c r="G41" i="84"/>
  <c r="H41" i="84" s="1"/>
  <c r="G51" i="85"/>
  <c r="H51" i="85" s="1"/>
  <c r="K51" i="85"/>
  <c r="L51" i="85" s="1"/>
  <c r="G55" i="85"/>
  <c r="H55" i="85" s="1"/>
  <c r="K55" i="85"/>
  <c r="L55" i="85" s="1"/>
  <c r="K26" i="85"/>
  <c r="L26" i="85" s="1"/>
  <c r="G26" i="85"/>
  <c r="H26" i="85" s="1"/>
  <c r="K30" i="85"/>
  <c r="L30" i="85" s="1"/>
  <c r="G30" i="85"/>
  <c r="H30" i="85" s="1"/>
  <c r="K40" i="85"/>
  <c r="G40" i="85"/>
  <c r="H40" i="85" s="1"/>
  <c r="K44" i="85"/>
  <c r="G44" i="85"/>
  <c r="H44" i="85" s="1"/>
  <c r="K26" i="86"/>
  <c r="L26" i="86" s="1"/>
  <c r="G26" i="86"/>
  <c r="H26" i="86" s="1"/>
  <c r="G28" i="86"/>
  <c r="H28" i="86" s="1"/>
  <c r="K28" i="86"/>
  <c r="K30" i="86"/>
  <c r="L30" i="86" s="1"/>
  <c r="G30" i="86"/>
  <c r="H30" i="86" s="1"/>
  <c r="G32" i="86"/>
  <c r="H32" i="86" s="1"/>
  <c r="K32" i="86"/>
  <c r="L32" i="86" s="1"/>
  <c r="K25" i="76"/>
  <c r="G25" i="76"/>
  <c r="H25" i="76" s="1"/>
  <c r="K27" i="76"/>
  <c r="G27" i="76"/>
  <c r="H27" i="76" s="1"/>
  <c r="K41" i="76"/>
  <c r="L41" i="76" s="1"/>
  <c r="G41" i="76"/>
  <c r="H41" i="76" s="1"/>
  <c r="G43" i="76"/>
  <c r="H43" i="76" s="1"/>
  <c r="K43" i="76"/>
  <c r="G48" i="76"/>
  <c r="H48" i="76" s="1"/>
  <c r="K48" i="76"/>
  <c r="K53" i="76"/>
  <c r="L53" i="76" s="1"/>
  <c r="G53" i="76"/>
  <c r="H53" i="76" s="1"/>
  <c r="G23" i="77"/>
  <c r="H23" i="77" s="1"/>
  <c r="K23" i="77"/>
  <c r="G27" i="77"/>
  <c r="H27" i="77" s="1"/>
  <c r="K27" i="77"/>
  <c r="G31" i="77"/>
  <c r="H31" i="77" s="1"/>
  <c r="K31" i="77"/>
  <c r="G37" i="77"/>
  <c r="H37" i="77" s="1"/>
  <c r="K37" i="77"/>
  <c r="K42" i="77"/>
  <c r="G42" i="77"/>
  <c r="H42" i="77" s="1"/>
  <c r="G24" i="78"/>
  <c r="H24" i="78" s="1"/>
  <c r="K24" i="78"/>
  <c r="L24" i="78" s="1"/>
  <c r="K29" i="78"/>
  <c r="L29" i="78" s="1"/>
  <c r="G29" i="78"/>
  <c r="H29" i="78" s="1"/>
  <c r="K41" i="78"/>
  <c r="L41" i="78" s="1"/>
  <c r="G41" i="78"/>
  <c r="H41" i="78" s="1"/>
  <c r="G43" i="78"/>
  <c r="H43" i="78" s="1"/>
  <c r="K43" i="78"/>
  <c r="K25" i="79"/>
  <c r="G25" i="79"/>
  <c r="H25" i="79" s="1"/>
  <c r="K29" i="79"/>
  <c r="L29" i="79" s="1"/>
  <c r="G29" i="79"/>
  <c r="H29" i="79" s="1"/>
  <c r="K33" i="79"/>
  <c r="L33" i="79" s="1"/>
  <c r="G33" i="79"/>
  <c r="H33" i="79" s="1"/>
  <c r="G39" i="79"/>
  <c r="H39" i="79" s="1"/>
  <c r="K39" i="79"/>
  <c r="L39" i="79" s="1"/>
  <c r="G43" i="79"/>
  <c r="H43" i="79" s="1"/>
  <c r="K43" i="79"/>
  <c r="L43" i="79" s="1"/>
  <c r="K23" i="80"/>
  <c r="G23" i="80"/>
  <c r="H23" i="80" s="1"/>
  <c r="K27" i="80"/>
  <c r="L27" i="80" s="1"/>
  <c r="G27" i="80"/>
  <c r="H27" i="80" s="1"/>
  <c r="K31" i="80"/>
  <c r="L31" i="80" s="1"/>
  <c r="G31" i="80"/>
  <c r="H31" i="80" s="1"/>
  <c r="K39" i="80"/>
  <c r="L39" i="80" s="1"/>
  <c r="G39" i="80"/>
  <c r="H39" i="80" s="1"/>
  <c r="K43" i="80"/>
  <c r="L43" i="80" s="1"/>
  <c r="G43" i="80"/>
  <c r="H43" i="80" s="1"/>
  <c r="K25" i="81"/>
  <c r="G25" i="81"/>
  <c r="H25" i="81" s="1"/>
  <c r="G29" i="81"/>
  <c r="H29" i="81" s="1"/>
  <c r="K29" i="81"/>
  <c r="L29" i="81" s="1"/>
  <c r="K33" i="81"/>
  <c r="L33" i="81" s="1"/>
  <c r="G33" i="81"/>
  <c r="H33" i="81" s="1"/>
  <c r="G39" i="81"/>
  <c r="H39" i="81" s="1"/>
  <c r="K39" i="81"/>
  <c r="L39" i="81" s="1"/>
  <c r="G43" i="81"/>
  <c r="H43" i="81" s="1"/>
  <c r="K43" i="81"/>
  <c r="K51" i="82"/>
  <c r="L51" i="82" s="1"/>
  <c r="G51" i="82"/>
  <c r="H51" i="82" s="1"/>
  <c r="K23" i="82"/>
  <c r="G23" i="82"/>
  <c r="H23" i="82" s="1"/>
  <c r="G39" i="82"/>
  <c r="H39" i="82" s="1"/>
  <c r="K39" i="82"/>
  <c r="L39" i="82" s="1"/>
  <c r="G43" i="82"/>
  <c r="H43" i="82" s="1"/>
  <c r="K43" i="82"/>
  <c r="L43" i="82" s="1"/>
  <c r="K23" i="83"/>
  <c r="G23" i="83"/>
  <c r="H23" i="83" s="1"/>
  <c r="G27" i="83"/>
  <c r="H27" i="83" s="1"/>
  <c r="K27" i="83"/>
  <c r="L27" i="83" s="1"/>
  <c r="G31" i="83"/>
  <c r="H31" i="83" s="1"/>
  <c r="K31" i="83"/>
  <c r="L31" i="83" s="1"/>
  <c r="K39" i="83"/>
  <c r="L39" i="83" s="1"/>
  <c r="G39" i="83"/>
  <c r="H39" i="83" s="1"/>
  <c r="K43" i="83"/>
  <c r="L43" i="83" s="1"/>
  <c r="G43" i="83"/>
  <c r="H43" i="83" s="1"/>
  <c r="K23" i="84"/>
  <c r="G23" i="84"/>
  <c r="K25" i="84"/>
  <c r="G25" i="84"/>
  <c r="K27" i="84"/>
  <c r="G27" i="84"/>
  <c r="H27" i="84" s="1"/>
  <c r="K29" i="84"/>
  <c r="L29" i="84" s="1"/>
  <c r="G29" i="84"/>
  <c r="H29" i="84" s="1"/>
  <c r="K31" i="84"/>
  <c r="G31" i="84"/>
  <c r="H31" i="84" s="1"/>
  <c r="K33" i="84"/>
  <c r="G33" i="84"/>
  <c r="K40" i="84"/>
  <c r="G40" i="84"/>
  <c r="H40" i="84" s="1"/>
  <c r="K44" i="84"/>
  <c r="G44" i="84"/>
  <c r="H44" i="84" s="1"/>
  <c r="K25" i="85"/>
  <c r="G25" i="85"/>
  <c r="H25" i="85" s="1"/>
  <c r="F40" i="92" s="1"/>
  <c r="K29" i="85"/>
  <c r="L29" i="85" s="1"/>
  <c r="G29" i="85"/>
  <c r="H29" i="85" s="1"/>
  <c r="G33" i="85"/>
  <c r="K33" i="85"/>
  <c r="K41" i="85"/>
  <c r="L41" i="85" s="1"/>
  <c r="G41" i="85"/>
  <c r="H41" i="85" s="1"/>
  <c r="K40" i="86"/>
  <c r="G40" i="86"/>
  <c r="H40" i="86" s="1"/>
  <c r="K42" i="86"/>
  <c r="G42" i="86"/>
  <c r="H42" i="86" s="1"/>
  <c r="K44" i="86"/>
  <c r="G44" i="86"/>
  <c r="H44" i="86" s="1"/>
  <c r="G51" i="86"/>
  <c r="H51" i="86" s="1"/>
  <c r="K51" i="86"/>
  <c r="L51" i="86" s="1"/>
  <c r="G55" i="86"/>
  <c r="H55" i="86" s="1"/>
  <c r="K55" i="86"/>
  <c r="L55" i="86" s="1"/>
  <c r="N30" i="89"/>
  <c r="K24" i="76"/>
  <c r="L24" i="76" s="1"/>
  <c r="G24" i="76"/>
  <c r="H24" i="76" s="1"/>
  <c r="K29" i="76"/>
  <c r="L29" i="76" s="1"/>
  <c r="G29" i="76"/>
  <c r="H29" i="76" s="1"/>
  <c r="K31" i="76"/>
  <c r="G31" i="76"/>
  <c r="H31" i="76" s="1"/>
  <c r="G33" i="76"/>
  <c r="H33" i="76" s="1"/>
  <c r="K33" i="76"/>
  <c r="L33" i="76" s="1"/>
  <c r="L51" i="77"/>
  <c r="N51" i="77" s="1"/>
  <c r="O51" i="77" s="1"/>
  <c r="G26" i="77"/>
  <c r="H26" i="77" s="1"/>
  <c r="K26" i="77"/>
  <c r="L26" i="77" s="1"/>
  <c r="G30" i="77"/>
  <c r="H30" i="77" s="1"/>
  <c r="K30" i="77"/>
  <c r="L30" i="77" s="1"/>
  <c r="K34" i="77"/>
  <c r="L34" i="77" s="1"/>
  <c r="G34" i="77"/>
  <c r="H34" i="77" s="1"/>
  <c r="K41" i="77"/>
  <c r="L41" i="77" s="1"/>
  <c r="G41" i="77"/>
  <c r="H41" i="77" s="1"/>
  <c r="G26" i="78"/>
  <c r="H26" i="78" s="1"/>
  <c r="K26" i="78"/>
  <c r="L26" i="78" s="1"/>
  <c r="G28" i="78"/>
  <c r="H28" i="78" s="1"/>
  <c r="K28" i="78"/>
  <c r="L28" i="78" s="1"/>
  <c r="G31" i="78"/>
  <c r="H31" i="78" s="1"/>
  <c r="K31" i="78"/>
  <c r="K33" i="78"/>
  <c r="L33" i="78" s="1"/>
  <c r="G33" i="78"/>
  <c r="H33" i="78" s="1"/>
  <c r="G51" i="79"/>
  <c r="H51" i="79" s="1"/>
  <c r="K51" i="79"/>
  <c r="L51" i="79" s="1"/>
  <c r="G24" i="79"/>
  <c r="H24" i="79" s="1"/>
  <c r="K24" i="79"/>
  <c r="L24" i="79" s="1"/>
  <c r="K28" i="79"/>
  <c r="G28" i="79"/>
  <c r="H28" i="79" s="1"/>
  <c r="G32" i="79"/>
  <c r="H32" i="79" s="1"/>
  <c r="K32" i="79"/>
  <c r="L32" i="79" s="1"/>
  <c r="K37" i="79"/>
  <c r="G37" i="79"/>
  <c r="H37" i="79" s="1"/>
  <c r="K42" i="79"/>
  <c r="G42" i="79"/>
  <c r="H42" i="79" s="1"/>
  <c r="G49" i="79"/>
  <c r="H49" i="79" s="1"/>
  <c r="K49" i="79"/>
  <c r="L49" i="79" s="1"/>
  <c r="K26" i="80"/>
  <c r="L26" i="80" s="1"/>
  <c r="G26" i="80"/>
  <c r="H26" i="80" s="1"/>
  <c r="K30" i="80"/>
  <c r="L30" i="80" s="1"/>
  <c r="G30" i="80"/>
  <c r="H30" i="80" s="1"/>
  <c r="G37" i="80"/>
  <c r="H37" i="80" s="1"/>
  <c r="K37" i="80"/>
  <c r="L37" i="80" s="1"/>
  <c r="K42" i="80"/>
  <c r="G42" i="80"/>
  <c r="H42" i="80" s="1"/>
  <c r="K49" i="80"/>
  <c r="G49" i="80"/>
  <c r="K50" i="81"/>
  <c r="L50" i="81" s="1"/>
  <c r="G50" i="81"/>
  <c r="H50" i="81" s="1"/>
  <c r="K54" i="81"/>
  <c r="L54" i="81" s="1"/>
  <c r="G54" i="81"/>
  <c r="H54" i="81" s="1"/>
  <c r="K24" i="81"/>
  <c r="L24" i="81" s="1"/>
  <c r="G24" i="81"/>
  <c r="H24" i="81" s="1"/>
  <c r="G28" i="81"/>
  <c r="H28" i="81" s="1"/>
  <c r="K28" i="81"/>
  <c r="K32" i="81"/>
  <c r="L32" i="81" s="1"/>
  <c r="G32" i="81"/>
  <c r="H32" i="81" s="1"/>
  <c r="G37" i="81"/>
  <c r="H37" i="81" s="1"/>
  <c r="K37" i="81"/>
  <c r="K42" i="81"/>
  <c r="L42" i="81" s="1"/>
  <c r="G42" i="81"/>
  <c r="H42" i="81" s="1"/>
  <c r="K24" i="82"/>
  <c r="L24" i="82" s="1"/>
  <c r="G24" i="82"/>
  <c r="H24" i="82" s="1"/>
  <c r="K26" i="82"/>
  <c r="L26" i="82" s="1"/>
  <c r="G26" i="82"/>
  <c r="H26" i="82" s="1"/>
  <c r="K28" i="82"/>
  <c r="G28" i="82"/>
  <c r="H28" i="82" s="1"/>
  <c r="G30" i="82"/>
  <c r="H30" i="82" s="1"/>
  <c r="K30" i="82"/>
  <c r="L30" i="82" s="1"/>
  <c r="K32" i="82"/>
  <c r="L32" i="82" s="1"/>
  <c r="G32" i="82"/>
  <c r="H32" i="82" s="1"/>
  <c r="K37" i="82"/>
  <c r="G37" i="82"/>
  <c r="K42" i="82"/>
  <c r="G42" i="82"/>
  <c r="H42" i="82" s="1"/>
  <c r="G49" i="82"/>
  <c r="H49" i="82" s="1"/>
  <c r="K49" i="82"/>
  <c r="K26" i="83"/>
  <c r="L26" i="83" s="1"/>
  <c r="G26" i="83"/>
  <c r="H26" i="83" s="1"/>
  <c r="K30" i="83"/>
  <c r="L30" i="83" s="1"/>
  <c r="G30" i="83"/>
  <c r="H30" i="83" s="1"/>
  <c r="G42" i="83"/>
  <c r="H42" i="83" s="1"/>
  <c r="K42" i="83"/>
  <c r="K51" i="84"/>
  <c r="L51" i="84" s="1"/>
  <c r="G51" i="84"/>
  <c r="H51" i="84" s="1"/>
  <c r="K34" i="84"/>
  <c r="G34" i="84"/>
  <c r="K39" i="84"/>
  <c r="L39" i="84" s="1"/>
  <c r="G39" i="84"/>
  <c r="H39" i="84" s="1"/>
  <c r="K43" i="84"/>
  <c r="L43" i="84" s="1"/>
  <c r="G43" i="84"/>
  <c r="H43" i="84" s="1"/>
  <c r="K24" i="85"/>
  <c r="L24" i="85" s="1"/>
  <c r="G24" i="85"/>
  <c r="H24" i="85" s="1"/>
  <c r="G28" i="85"/>
  <c r="K28" i="85"/>
  <c r="G32" i="85"/>
  <c r="H32" i="85" s="1"/>
  <c r="K32" i="85"/>
  <c r="L32" i="85" s="1"/>
  <c r="K37" i="85"/>
  <c r="G37" i="85"/>
  <c r="H37" i="85" s="1"/>
  <c r="G42" i="85"/>
  <c r="H42" i="85" s="1"/>
  <c r="K42" i="85"/>
  <c r="K49" i="85"/>
  <c r="S49" i="85" s="1"/>
  <c r="G49" i="85"/>
  <c r="H49" i="85" s="1"/>
  <c r="K25" i="86"/>
  <c r="G25" i="86"/>
  <c r="H25" i="86" s="1"/>
  <c r="F12" i="92" s="1"/>
  <c r="K27" i="86"/>
  <c r="L27" i="86" s="1"/>
  <c r="G27" i="86"/>
  <c r="H27" i="86" s="1"/>
  <c r="G29" i="86"/>
  <c r="H29" i="86" s="1"/>
  <c r="K29" i="86"/>
  <c r="L29" i="86" s="1"/>
  <c r="K31" i="86"/>
  <c r="G31" i="86"/>
  <c r="H31" i="86" s="1"/>
  <c r="G33" i="86"/>
  <c r="K33" i="86"/>
  <c r="K37" i="86"/>
  <c r="G37" i="86"/>
  <c r="H37" i="86" s="1"/>
  <c r="G39" i="86"/>
  <c r="H39" i="86" s="1"/>
  <c r="K39" i="86"/>
  <c r="L39" i="86" s="1"/>
  <c r="K49" i="86"/>
  <c r="S49" i="86" s="1"/>
  <c r="G49" i="86"/>
  <c r="H49" i="86" s="1"/>
  <c r="O30" i="90"/>
  <c r="G26" i="76"/>
  <c r="H26" i="76" s="1"/>
  <c r="K26" i="76"/>
  <c r="L26" i="76" s="1"/>
  <c r="G28" i="76"/>
  <c r="H28" i="76" s="1"/>
  <c r="K28" i="76"/>
  <c r="L28" i="76" s="1"/>
  <c r="G40" i="76"/>
  <c r="H40" i="76" s="1"/>
  <c r="K40" i="76"/>
  <c r="G42" i="76"/>
  <c r="H42" i="76" s="1"/>
  <c r="K42" i="76"/>
  <c r="K44" i="76"/>
  <c r="G44" i="76"/>
  <c r="H44" i="76" s="1"/>
  <c r="K50" i="76"/>
  <c r="G50" i="76"/>
  <c r="G25" i="77"/>
  <c r="H25" i="77" s="1"/>
  <c r="K25" i="77"/>
  <c r="K29" i="77"/>
  <c r="L29" i="77" s="1"/>
  <c r="G29" i="77"/>
  <c r="H29" i="77" s="1"/>
  <c r="K33" i="77"/>
  <c r="L33" i="77" s="1"/>
  <c r="G33" i="77"/>
  <c r="H33" i="77" s="1"/>
  <c r="K40" i="77"/>
  <c r="G40" i="77"/>
  <c r="H40" i="77" s="1"/>
  <c r="G44" i="77"/>
  <c r="H44" i="77" s="1"/>
  <c r="K44" i="77"/>
  <c r="K23" i="78"/>
  <c r="G23" i="78"/>
  <c r="H23" i="78" s="1"/>
  <c r="G30" i="78"/>
  <c r="H30" i="78" s="1"/>
  <c r="K30" i="78"/>
  <c r="L30" i="78" s="1"/>
  <c r="K40" i="78"/>
  <c r="G40" i="78"/>
  <c r="H40" i="78" s="1"/>
  <c r="K42" i="78"/>
  <c r="G42" i="78"/>
  <c r="H42" i="78" s="1"/>
  <c r="K44" i="78"/>
  <c r="G44" i="78"/>
  <c r="H44" i="78" s="1"/>
  <c r="K51" i="78"/>
  <c r="L51" i="78" s="1"/>
  <c r="G51" i="78"/>
  <c r="H51" i="78" s="1"/>
  <c r="K23" i="79"/>
  <c r="G23" i="79"/>
  <c r="H23" i="79" s="1"/>
  <c r="K27" i="79"/>
  <c r="L27" i="79" s="1"/>
  <c r="G27" i="79"/>
  <c r="H27" i="79" s="1"/>
  <c r="K31" i="79"/>
  <c r="L31" i="79" s="1"/>
  <c r="G31" i="79"/>
  <c r="H31" i="79" s="1"/>
  <c r="G41" i="79"/>
  <c r="H41" i="79" s="1"/>
  <c r="K41" i="79"/>
  <c r="L41" i="79" s="1"/>
  <c r="G48" i="79"/>
  <c r="H48" i="79" s="1"/>
  <c r="K48" i="79"/>
  <c r="S48" i="79" s="1"/>
  <c r="K25" i="80"/>
  <c r="L25" i="80" s="1"/>
  <c r="G25" i="80"/>
  <c r="H25" i="80" s="1"/>
  <c r="G29" i="80"/>
  <c r="H29" i="80" s="1"/>
  <c r="K29" i="80"/>
  <c r="L29" i="80" s="1"/>
  <c r="K33" i="80"/>
  <c r="L33" i="80" s="1"/>
  <c r="G33" i="80"/>
  <c r="H33" i="80" s="1"/>
  <c r="G41" i="80"/>
  <c r="H41" i="80" s="1"/>
  <c r="K41" i="80"/>
  <c r="L41" i="80" s="1"/>
  <c r="K48" i="80"/>
  <c r="L48" i="80" s="1"/>
  <c r="G48" i="80"/>
  <c r="K23" i="81"/>
  <c r="G23" i="81"/>
  <c r="H23" i="81" s="1"/>
  <c r="G27" i="81"/>
  <c r="H27" i="81" s="1"/>
  <c r="K27" i="81"/>
  <c r="L27" i="81" s="1"/>
  <c r="G31" i="81"/>
  <c r="H31" i="81" s="1"/>
  <c r="K31" i="81"/>
  <c r="L31" i="81" s="1"/>
  <c r="G41" i="81"/>
  <c r="H41" i="81" s="1"/>
  <c r="K41" i="81"/>
  <c r="K48" i="81"/>
  <c r="S48" i="81" s="1"/>
  <c r="G48" i="81"/>
  <c r="G41" i="82"/>
  <c r="H41" i="82" s="1"/>
  <c r="K41" i="82"/>
  <c r="L41" i="82" s="1"/>
  <c r="K48" i="82"/>
  <c r="S48" i="82" s="1"/>
  <c r="G48" i="82"/>
  <c r="H48" i="82" s="1"/>
  <c r="G25" i="83"/>
  <c r="H25" i="83" s="1"/>
  <c r="F13" i="92" s="1"/>
  <c r="K25" i="83"/>
  <c r="K29" i="83"/>
  <c r="L29" i="83" s="1"/>
  <c r="G29" i="83"/>
  <c r="H29" i="83" s="1"/>
  <c r="G33" i="83"/>
  <c r="H33" i="83" s="1"/>
  <c r="K33" i="83"/>
  <c r="L33" i="83" s="1"/>
  <c r="G37" i="83"/>
  <c r="H37" i="83" s="1"/>
  <c r="K37" i="83"/>
  <c r="G41" i="83"/>
  <c r="H41" i="83" s="1"/>
  <c r="K41" i="83"/>
  <c r="L41" i="83" s="1"/>
  <c r="K24" i="84"/>
  <c r="L24" i="84" s="1"/>
  <c r="G24" i="84"/>
  <c r="H24" i="84" s="1"/>
  <c r="G26" i="84"/>
  <c r="H26" i="84" s="1"/>
  <c r="K26" i="84"/>
  <c r="L26" i="84" s="1"/>
  <c r="K28" i="84"/>
  <c r="L28" i="84" s="1"/>
  <c r="G28" i="84"/>
  <c r="G30" i="84"/>
  <c r="K30" i="84"/>
  <c r="G32" i="84"/>
  <c r="H32" i="84" s="1"/>
  <c r="K32" i="84"/>
  <c r="L32" i="84" s="1"/>
  <c r="G37" i="84"/>
  <c r="H37" i="84" s="1"/>
  <c r="K37" i="84"/>
  <c r="G42" i="84"/>
  <c r="H42" i="84" s="1"/>
  <c r="K42" i="84"/>
  <c r="G27" i="85"/>
  <c r="H27" i="85" s="1"/>
  <c r="K27" i="85"/>
  <c r="L27" i="85" s="1"/>
  <c r="K31" i="85"/>
  <c r="G31" i="85"/>
  <c r="H31" i="85" s="1"/>
  <c r="K39" i="85"/>
  <c r="L39" i="85" s="1"/>
  <c r="G39" i="85"/>
  <c r="H39" i="85" s="1"/>
  <c r="K43" i="85"/>
  <c r="L43" i="85" s="1"/>
  <c r="G43" i="85"/>
  <c r="H43" i="85" s="1"/>
  <c r="G48" i="85"/>
  <c r="H48" i="85" s="1"/>
  <c r="K48" i="85"/>
  <c r="S48" i="85" s="1"/>
  <c r="K24" i="86"/>
  <c r="L24" i="86" s="1"/>
  <c r="G24" i="86"/>
  <c r="H24" i="86" s="1"/>
  <c r="G41" i="86"/>
  <c r="H41" i="86" s="1"/>
  <c r="K41" i="86"/>
  <c r="L41" i="86" s="1"/>
  <c r="K43" i="86"/>
  <c r="L43" i="86" s="1"/>
  <c r="G43" i="86"/>
  <c r="H43" i="86" s="1"/>
  <c r="K48" i="86"/>
  <c r="S48" i="86" s="1"/>
  <c r="G48" i="86"/>
  <c r="H48" i="86" s="1"/>
  <c r="L38" i="90"/>
  <c r="N54" i="90"/>
  <c r="O54" i="90" s="1"/>
  <c r="O38" i="86"/>
  <c r="G53" i="84"/>
  <c r="H53" i="84" s="1"/>
  <c r="G52" i="84"/>
  <c r="H52" i="84" s="1"/>
  <c r="G54" i="84"/>
  <c r="H54" i="84" s="1"/>
  <c r="H38" i="90"/>
  <c r="N30" i="87"/>
  <c r="O30" i="87" s="1"/>
  <c r="N33" i="87"/>
  <c r="O26" i="89"/>
  <c r="O41" i="89"/>
  <c r="N29" i="89"/>
  <c r="G49" i="89"/>
  <c r="H49" i="89" s="1"/>
  <c r="G59" i="79"/>
  <c r="G57" i="79" s="1"/>
  <c r="H57" i="79" s="1"/>
  <c r="H52" i="89"/>
  <c r="E19" i="72" s="1"/>
  <c r="H48" i="90"/>
  <c r="N60" i="87"/>
  <c r="H52" i="90"/>
  <c r="E18" i="72" s="1"/>
  <c r="H49" i="90"/>
  <c r="N53" i="90"/>
  <c r="O53" i="90" s="1"/>
  <c r="O60" i="90"/>
  <c r="N53" i="87"/>
  <c r="O53" i="87" s="1"/>
  <c r="H48" i="89"/>
  <c r="N33" i="90"/>
  <c r="N53" i="89"/>
  <c r="O53" i="89" s="1"/>
  <c r="N41" i="87"/>
  <c r="S48" i="90"/>
  <c r="N30" i="90"/>
  <c r="N24" i="87"/>
  <c r="N59" i="89"/>
  <c r="S49" i="84"/>
  <c r="N41" i="90"/>
  <c r="N29" i="90"/>
  <c r="L38" i="89"/>
  <c r="F19" i="72"/>
  <c r="O24" i="89"/>
  <c r="N33" i="89"/>
  <c r="O29" i="87"/>
  <c r="N43" i="90"/>
  <c r="O30" i="89"/>
  <c r="N58" i="90"/>
  <c r="O58" i="90" s="1"/>
  <c r="E20" i="91"/>
  <c r="F19" i="91"/>
  <c r="G53" i="85"/>
  <c r="H53" i="85" s="1"/>
  <c r="K60" i="85"/>
  <c r="L60" i="85" s="1"/>
  <c r="K59" i="85"/>
  <c r="K57" i="85" s="1"/>
  <c r="L57" i="85" s="1"/>
  <c r="G59" i="85"/>
  <c r="G57" i="85" s="1"/>
  <c r="H57" i="85" s="1"/>
  <c r="G60" i="85"/>
  <c r="H60" i="85" s="1"/>
  <c r="K59" i="86"/>
  <c r="K60" i="86"/>
  <c r="L60" i="86" s="1"/>
  <c r="G60" i="86"/>
  <c r="H60" i="86" s="1"/>
  <c r="G59" i="86"/>
  <c r="F18" i="91"/>
  <c r="F18" i="72"/>
  <c r="O24" i="90"/>
  <c r="G54" i="82"/>
  <c r="H54" i="82" s="1"/>
  <c r="N57" i="90"/>
  <c r="O57" i="90" s="1"/>
  <c r="F40" i="91"/>
  <c r="F40" i="72"/>
  <c r="N26" i="90"/>
  <c r="E20" i="72"/>
  <c r="N57" i="89"/>
  <c r="O57" i="89" s="1"/>
  <c r="F41" i="91"/>
  <c r="F41" i="72"/>
  <c r="E40" i="72"/>
  <c r="E40" i="91"/>
  <c r="E41" i="72"/>
  <c r="E41" i="91"/>
  <c r="S49" i="90"/>
  <c r="K54" i="84"/>
  <c r="L54" i="84" s="1"/>
  <c r="S48" i="89"/>
  <c r="S50" i="89" s="1"/>
  <c r="D41" i="91" s="1"/>
  <c r="K53" i="82"/>
  <c r="L53" i="82" s="1"/>
  <c r="E42" i="91"/>
  <c r="E42" i="72"/>
  <c r="N59" i="90"/>
  <c r="N60" i="90"/>
  <c r="N56" i="90"/>
  <c r="O56" i="90" s="1"/>
  <c r="O59" i="90"/>
  <c r="O43" i="87"/>
  <c r="O31" i="87"/>
  <c r="N43" i="89"/>
  <c r="N41" i="89"/>
  <c r="O60" i="89"/>
  <c r="O59" i="89"/>
  <c r="N56" i="89"/>
  <c r="O56" i="89" s="1"/>
  <c r="N58" i="89"/>
  <c r="O58" i="89" s="1"/>
  <c r="N60" i="89"/>
  <c r="N52" i="87"/>
  <c r="O52" i="87" s="1"/>
  <c r="O32" i="87"/>
  <c r="O27" i="87"/>
  <c r="O33" i="87"/>
  <c r="N26" i="87"/>
  <c r="O41" i="87"/>
  <c r="L59" i="87"/>
  <c r="K57" i="87"/>
  <c r="L57" i="87" s="1"/>
  <c r="K58" i="87"/>
  <c r="L58" i="87" s="1"/>
  <c r="K56" i="87"/>
  <c r="O60" i="87"/>
  <c r="G57" i="87"/>
  <c r="H57" i="87" s="1"/>
  <c r="G56" i="87"/>
  <c r="H56" i="87" s="1"/>
  <c r="G58" i="87"/>
  <c r="H58" i="87" s="1"/>
  <c r="H59" i="87"/>
  <c r="N31" i="87"/>
  <c r="N27" i="87"/>
  <c r="N55" i="87"/>
  <c r="O55" i="87" s="1"/>
  <c r="N43" i="87"/>
  <c r="N29" i="87"/>
  <c r="O26" i="87"/>
  <c r="N54" i="87"/>
  <c r="O54" i="87" s="1"/>
  <c r="O24" i="87"/>
  <c r="H53" i="86"/>
  <c r="G54" i="86"/>
  <c r="H54" i="86" s="1"/>
  <c r="G52" i="86"/>
  <c r="H52" i="86" s="1"/>
  <c r="N35" i="86"/>
  <c r="L54" i="86"/>
  <c r="K53" i="86"/>
  <c r="L53" i="86" s="1"/>
  <c r="N38" i="86"/>
  <c r="K52" i="86"/>
  <c r="L52" i="86" s="1"/>
  <c r="O38" i="82"/>
  <c r="O38" i="84"/>
  <c r="O38" i="81"/>
  <c r="O35" i="85"/>
  <c r="N38" i="85"/>
  <c r="G52" i="85"/>
  <c r="H52" i="85" s="1"/>
  <c r="N38" i="79"/>
  <c r="N38" i="80"/>
  <c r="N38" i="83"/>
  <c r="N38" i="77"/>
  <c r="N38" i="84"/>
  <c r="K53" i="85"/>
  <c r="L53" i="85" s="1"/>
  <c r="G52" i="82"/>
  <c r="H52" i="82" s="1"/>
  <c r="L55" i="82"/>
  <c r="G59" i="82"/>
  <c r="G57" i="82" s="1"/>
  <c r="H57" i="82" s="1"/>
  <c r="G60" i="82"/>
  <c r="H60" i="82" s="1"/>
  <c r="K54" i="83"/>
  <c r="L54" i="83" s="1"/>
  <c r="H52" i="81"/>
  <c r="L60" i="84"/>
  <c r="G54" i="85"/>
  <c r="H54" i="85" s="1"/>
  <c r="K52" i="85"/>
  <c r="L52" i="85" s="1"/>
  <c r="H60" i="79"/>
  <c r="L60" i="83"/>
  <c r="K54" i="85"/>
  <c r="L54" i="85" s="1"/>
  <c r="O38" i="85"/>
  <c r="G48" i="84"/>
  <c r="H48" i="84" s="1"/>
  <c r="K48" i="84"/>
  <c r="G49" i="84"/>
  <c r="H49" i="84" s="1"/>
  <c r="K52" i="82"/>
  <c r="L52" i="82" s="1"/>
  <c r="G53" i="82"/>
  <c r="H53" i="82" s="1"/>
  <c r="K54" i="82"/>
  <c r="L54" i="82" s="1"/>
  <c r="K59" i="82"/>
  <c r="K57" i="82" s="1"/>
  <c r="L57" i="82" s="1"/>
  <c r="H53" i="83"/>
  <c r="K52" i="80"/>
  <c r="L52" i="80" s="1"/>
  <c r="G53" i="80"/>
  <c r="H53" i="80" s="1"/>
  <c r="G59" i="84"/>
  <c r="L55" i="84"/>
  <c r="K53" i="84"/>
  <c r="L53" i="84" s="1"/>
  <c r="K59" i="84"/>
  <c r="H55" i="84"/>
  <c r="L52" i="84"/>
  <c r="G60" i="84"/>
  <c r="H60" i="84" s="1"/>
  <c r="G49" i="83"/>
  <c r="H49" i="83" s="1"/>
  <c r="G59" i="83"/>
  <c r="G54" i="83"/>
  <c r="H54" i="83" s="1"/>
  <c r="H52" i="83"/>
  <c r="H48" i="83"/>
  <c r="K55" i="83"/>
  <c r="L55" i="83" s="1"/>
  <c r="K53" i="83"/>
  <c r="L53" i="83" s="1"/>
  <c r="K59" i="83"/>
  <c r="K49" i="83"/>
  <c r="S49" i="83" s="1"/>
  <c r="G55" i="83"/>
  <c r="H55" i="83" s="1"/>
  <c r="O38" i="83"/>
  <c r="K48" i="83"/>
  <c r="S48" i="83" s="1"/>
  <c r="S50" i="83" s="1"/>
  <c r="D34" i="91" s="1"/>
  <c r="K52" i="83"/>
  <c r="L52" i="83" s="1"/>
  <c r="G60" i="83"/>
  <c r="H60" i="83" s="1"/>
  <c r="L60" i="82"/>
  <c r="N38" i="82"/>
  <c r="H55" i="82"/>
  <c r="N38" i="81"/>
  <c r="O35" i="81"/>
  <c r="K53" i="81"/>
  <c r="L53" i="81" s="1"/>
  <c r="H55" i="80"/>
  <c r="O38" i="78"/>
  <c r="G53" i="79"/>
  <c r="H53" i="79" s="1"/>
  <c r="K54" i="80"/>
  <c r="L54" i="80" s="1"/>
  <c r="H60" i="80"/>
  <c r="L59" i="81"/>
  <c r="G59" i="80"/>
  <c r="G57" i="80" s="1"/>
  <c r="H57" i="80" s="1"/>
  <c r="G52" i="80"/>
  <c r="H52" i="80" s="1"/>
  <c r="K53" i="80"/>
  <c r="L53" i="80" s="1"/>
  <c r="G54" i="80"/>
  <c r="H54" i="80" s="1"/>
  <c r="L55" i="80"/>
  <c r="K59" i="80"/>
  <c r="K57" i="80" s="1"/>
  <c r="L57" i="80" s="1"/>
  <c r="G52" i="79"/>
  <c r="H52" i="79" s="1"/>
  <c r="G58" i="81"/>
  <c r="G53" i="81"/>
  <c r="H53" i="81" s="1"/>
  <c r="G51" i="81"/>
  <c r="H51" i="81" s="1"/>
  <c r="K52" i="81"/>
  <c r="L52" i="81" s="1"/>
  <c r="K58" i="81"/>
  <c r="K51" i="81"/>
  <c r="L51" i="81" s="1"/>
  <c r="G59" i="81"/>
  <c r="H59" i="81" s="1"/>
  <c r="L60" i="80"/>
  <c r="O38" i="80"/>
  <c r="O35" i="79"/>
  <c r="O38" i="77"/>
  <c r="N38" i="78"/>
  <c r="O38" i="76"/>
  <c r="O38" i="79"/>
  <c r="K54" i="78"/>
  <c r="L54" i="78" s="1"/>
  <c r="G54" i="79"/>
  <c r="H54" i="79" s="1"/>
  <c r="L55" i="79"/>
  <c r="H55" i="79"/>
  <c r="K54" i="79"/>
  <c r="L54" i="79" s="1"/>
  <c r="K59" i="79"/>
  <c r="K57" i="79" s="1"/>
  <c r="L57" i="79" s="1"/>
  <c r="K53" i="79"/>
  <c r="L53" i="79" s="1"/>
  <c r="K60" i="79"/>
  <c r="L60" i="79" s="1"/>
  <c r="K52" i="79"/>
  <c r="L52" i="79" s="1"/>
  <c r="L60" i="78"/>
  <c r="H53" i="78"/>
  <c r="G59" i="78"/>
  <c r="G54" i="78"/>
  <c r="H54" i="78" s="1"/>
  <c r="G52" i="78"/>
  <c r="H52" i="78" s="1"/>
  <c r="L55" i="78"/>
  <c r="K53" i="78"/>
  <c r="L53" i="78" s="1"/>
  <c r="K59" i="78"/>
  <c r="H55" i="78"/>
  <c r="K52" i="78"/>
  <c r="L52" i="78" s="1"/>
  <c r="G60" i="78"/>
  <c r="H60" i="78" s="1"/>
  <c r="K62" i="76"/>
  <c r="L62" i="76" s="1"/>
  <c r="K56" i="67"/>
  <c r="L56" i="67" s="1"/>
  <c r="K54" i="77"/>
  <c r="L54" i="77" s="1"/>
  <c r="G54" i="67"/>
  <c r="G61" i="67"/>
  <c r="G60" i="67" s="1"/>
  <c r="K62" i="67"/>
  <c r="K55" i="67"/>
  <c r="L55" i="67" s="1"/>
  <c r="K55" i="76"/>
  <c r="L55" i="76" s="1"/>
  <c r="K60" i="67"/>
  <c r="K59" i="67"/>
  <c r="K58" i="67"/>
  <c r="G55" i="76"/>
  <c r="H55" i="76" s="1"/>
  <c r="G56" i="76"/>
  <c r="H56" i="76" s="1"/>
  <c r="G61" i="76"/>
  <c r="K56" i="76"/>
  <c r="L56" i="76" s="1"/>
  <c r="H53" i="77"/>
  <c r="L60" i="77"/>
  <c r="G55" i="67"/>
  <c r="G62" i="67"/>
  <c r="H57" i="76"/>
  <c r="G62" i="76"/>
  <c r="H62" i="76" s="1"/>
  <c r="L57" i="76"/>
  <c r="K54" i="67"/>
  <c r="L54" i="67" s="1"/>
  <c r="K54" i="76"/>
  <c r="L54" i="76" s="1"/>
  <c r="G59" i="77"/>
  <c r="G54" i="77"/>
  <c r="H54" i="77" s="1"/>
  <c r="G52" i="77"/>
  <c r="H52" i="77" s="1"/>
  <c r="L55" i="77"/>
  <c r="K53" i="77"/>
  <c r="L53" i="77" s="1"/>
  <c r="K59" i="77"/>
  <c r="G48" i="77"/>
  <c r="H48" i="77" s="1"/>
  <c r="H55" i="77"/>
  <c r="L52" i="77"/>
  <c r="G60" i="77"/>
  <c r="H60" i="77" s="1"/>
  <c r="K58" i="76"/>
  <c r="K59" i="76"/>
  <c r="H49" i="76"/>
  <c r="H54" i="76"/>
  <c r="H38" i="67"/>
  <c r="F62" i="67"/>
  <c r="F61" i="67"/>
  <c r="F60" i="67"/>
  <c r="F59" i="67"/>
  <c r="F58" i="67"/>
  <c r="F57" i="67"/>
  <c r="F56" i="67"/>
  <c r="F55" i="67"/>
  <c r="F54" i="67"/>
  <c r="F53" i="67"/>
  <c r="D62" i="67"/>
  <c r="D61" i="67"/>
  <c r="D60" i="67"/>
  <c r="D59" i="67"/>
  <c r="D58" i="67"/>
  <c r="B62" i="67"/>
  <c r="B61" i="67"/>
  <c r="B60" i="67"/>
  <c r="B59" i="67"/>
  <c r="B58" i="67"/>
  <c r="D57" i="67"/>
  <c r="D56" i="67"/>
  <c r="D55" i="67"/>
  <c r="D54" i="67"/>
  <c r="D53" i="67"/>
  <c r="D34" i="67"/>
  <c r="D33" i="67"/>
  <c r="D32" i="67"/>
  <c r="D31" i="67"/>
  <c r="D30" i="67"/>
  <c r="D29" i="67"/>
  <c r="D28" i="67"/>
  <c r="D27" i="67"/>
  <c r="D26" i="67"/>
  <c r="D25" i="67"/>
  <c r="D24" i="67"/>
  <c r="D23" i="67"/>
  <c r="D44" i="67"/>
  <c r="D43" i="67"/>
  <c r="D42" i="67"/>
  <c r="D41" i="67"/>
  <c r="D40" i="67"/>
  <c r="D39" i="67"/>
  <c r="D37" i="67"/>
  <c r="D51" i="67"/>
  <c r="D50" i="67"/>
  <c r="D48" i="67"/>
  <c r="D49" i="67"/>
  <c r="B56" i="67"/>
  <c r="B55" i="67"/>
  <c r="B54" i="67"/>
  <c r="B53" i="67"/>
  <c r="F51" i="67"/>
  <c r="F50" i="67"/>
  <c r="F49" i="67"/>
  <c r="F48" i="67"/>
  <c r="B51" i="67"/>
  <c r="B50" i="67"/>
  <c r="B49" i="67"/>
  <c r="B48" i="67"/>
  <c r="F44" i="67"/>
  <c r="F43" i="67"/>
  <c r="F42" i="67"/>
  <c r="F41" i="67"/>
  <c r="F40" i="67"/>
  <c r="F39" i="67"/>
  <c r="B44" i="67"/>
  <c r="B43" i="67"/>
  <c r="B42" i="67"/>
  <c r="B41" i="67"/>
  <c r="B40" i="67"/>
  <c r="B39" i="67"/>
  <c r="B37" i="67"/>
  <c r="B34" i="67"/>
  <c r="B33" i="67"/>
  <c r="B32" i="67"/>
  <c r="B31" i="67"/>
  <c r="B30" i="67"/>
  <c r="B29" i="67"/>
  <c r="B28" i="67"/>
  <c r="B27" i="67"/>
  <c r="B26" i="67"/>
  <c r="B25" i="67"/>
  <c r="B24" i="67"/>
  <c r="B23" i="67"/>
  <c r="F37" i="67"/>
  <c r="F34" i="67"/>
  <c r="F33" i="67"/>
  <c r="F32" i="67"/>
  <c r="F31" i="67"/>
  <c r="F30" i="67"/>
  <c r="F29" i="67"/>
  <c r="F28" i="67"/>
  <c r="F27" i="67"/>
  <c r="F26" i="67"/>
  <c r="F25" i="67"/>
  <c r="F24" i="67"/>
  <c r="F23" i="67"/>
  <c r="F60" i="75"/>
  <c r="F59" i="75"/>
  <c r="F58" i="75"/>
  <c r="F57" i="75"/>
  <c r="F56" i="75"/>
  <c r="F53" i="75"/>
  <c r="F52" i="75"/>
  <c r="F51" i="75"/>
  <c r="F49" i="75"/>
  <c r="F48" i="75"/>
  <c r="F44" i="75"/>
  <c r="F43" i="75"/>
  <c r="F42" i="75"/>
  <c r="F41" i="75"/>
  <c r="F40" i="75"/>
  <c r="F39" i="75"/>
  <c r="F37" i="75"/>
  <c r="F34" i="75"/>
  <c r="F33" i="75"/>
  <c r="F32" i="75"/>
  <c r="F31" i="75"/>
  <c r="F30" i="75"/>
  <c r="F29" i="75"/>
  <c r="F28" i="75"/>
  <c r="F27" i="75"/>
  <c r="F26" i="75"/>
  <c r="F25" i="75"/>
  <c r="F24" i="75"/>
  <c r="F23" i="75"/>
  <c r="G48" i="75"/>
  <c r="G52" i="75" s="1"/>
  <c r="O61" i="75"/>
  <c r="N61" i="75"/>
  <c r="J61" i="75"/>
  <c r="K60" i="75"/>
  <c r="J60" i="75"/>
  <c r="G60" i="75"/>
  <c r="D60" i="75"/>
  <c r="B60" i="75"/>
  <c r="J59" i="75"/>
  <c r="G59" i="75"/>
  <c r="K59" i="75" s="1"/>
  <c r="D59" i="75"/>
  <c r="B59" i="75"/>
  <c r="J58" i="75"/>
  <c r="G58" i="75"/>
  <c r="K58" i="75" s="1"/>
  <c r="D58" i="75"/>
  <c r="B58" i="75"/>
  <c r="J57" i="75"/>
  <c r="G57" i="75"/>
  <c r="K57" i="75" s="1"/>
  <c r="D57" i="75"/>
  <c r="B57" i="75"/>
  <c r="K56" i="75"/>
  <c r="J56" i="75"/>
  <c r="G56" i="75"/>
  <c r="D56" i="75"/>
  <c r="B56" i="75"/>
  <c r="J54" i="75"/>
  <c r="D54" i="75"/>
  <c r="B54" i="75"/>
  <c r="J53" i="75"/>
  <c r="D53" i="75"/>
  <c r="B53" i="75"/>
  <c r="J52" i="75"/>
  <c r="D52" i="75"/>
  <c r="B52" i="75"/>
  <c r="J51" i="75"/>
  <c r="D51" i="75"/>
  <c r="B51" i="75"/>
  <c r="D49" i="75"/>
  <c r="B49" i="75"/>
  <c r="D48" i="75"/>
  <c r="B48" i="75"/>
  <c r="D44" i="75"/>
  <c r="B44" i="75"/>
  <c r="D43" i="75"/>
  <c r="B43" i="75"/>
  <c r="D42" i="75"/>
  <c r="B42" i="75"/>
  <c r="D41" i="75"/>
  <c r="B41" i="75"/>
  <c r="D40" i="75"/>
  <c r="B40" i="75"/>
  <c r="D39" i="75"/>
  <c r="B39" i="75"/>
  <c r="D37" i="75"/>
  <c r="B37" i="75"/>
  <c r="D34" i="75"/>
  <c r="B34" i="75"/>
  <c r="D33" i="75"/>
  <c r="B33" i="75"/>
  <c r="D32" i="75"/>
  <c r="B32" i="75"/>
  <c r="D31" i="75"/>
  <c r="B31" i="75"/>
  <c r="D30" i="75"/>
  <c r="B30" i="75"/>
  <c r="D29" i="75"/>
  <c r="B29" i="75"/>
  <c r="D28" i="75"/>
  <c r="B28" i="75"/>
  <c r="D27" i="75"/>
  <c r="B27" i="75"/>
  <c r="D26" i="75"/>
  <c r="B26" i="75"/>
  <c r="D25" i="75"/>
  <c r="B25" i="75"/>
  <c r="J24" i="75"/>
  <c r="D24" i="75"/>
  <c r="B24" i="75"/>
  <c r="D23" i="75"/>
  <c r="B23" i="75"/>
  <c r="J60" i="74"/>
  <c r="J59" i="74"/>
  <c r="J58" i="74"/>
  <c r="J57" i="74"/>
  <c r="J56" i="74"/>
  <c r="J54" i="74"/>
  <c r="J53" i="74"/>
  <c r="J52" i="74"/>
  <c r="J51" i="74"/>
  <c r="J24" i="74"/>
  <c r="J59" i="64"/>
  <c r="J58" i="64"/>
  <c r="J57" i="64"/>
  <c r="J56" i="64"/>
  <c r="J54" i="64"/>
  <c r="J53" i="64"/>
  <c r="J52" i="64"/>
  <c r="J51" i="64"/>
  <c r="J25" i="64"/>
  <c r="J24" i="64"/>
  <c r="J59" i="73"/>
  <c r="J58" i="73"/>
  <c r="J57" i="73"/>
  <c r="J56" i="73"/>
  <c r="J55" i="73"/>
  <c r="J54" i="73"/>
  <c r="J53" i="73"/>
  <c r="J52" i="73"/>
  <c r="J51" i="73"/>
  <c r="J25" i="73"/>
  <c r="J24" i="73"/>
  <c r="F60" i="74"/>
  <c r="F59" i="74"/>
  <c r="F58" i="74"/>
  <c r="F57" i="74"/>
  <c r="F56" i="74"/>
  <c r="F54" i="74"/>
  <c r="F53" i="74"/>
  <c r="F52" i="74"/>
  <c r="F51" i="74"/>
  <c r="F49" i="74"/>
  <c r="F48" i="74"/>
  <c r="D49" i="74"/>
  <c r="D48" i="74"/>
  <c r="B49" i="74"/>
  <c r="B48" i="74"/>
  <c r="F44" i="74"/>
  <c r="F43" i="74"/>
  <c r="F42" i="74"/>
  <c r="F41" i="74"/>
  <c r="F40" i="74"/>
  <c r="F39" i="74"/>
  <c r="D44" i="74"/>
  <c r="D43" i="74"/>
  <c r="D42" i="74"/>
  <c r="D41" i="74"/>
  <c r="D40" i="74"/>
  <c r="D39" i="74"/>
  <c r="B44" i="74"/>
  <c r="B43" i="74"/>
  <c r="B42" i="74"/>
  <c r="B41" i="74"/>
  <c r="B40" i="74"/>
  <c r="B39" i="74"/>
  <c r="B37" i="74"/>
  <c r="D37" i="74"/>
  <c r="F37" i="74"/>
  <c r="F34" i="74"/>
  <c r="F33" i="74"/>
  <c r="F32" i="74"/>
  <c r="F31" i="74"/>
  <c r="F30" i="74"/>
  <c r="F29" i="74"/>
  <c r="F28" i="74"/>
  <c r="F27" i="74"/>
  <c r="F26" i="74"/>
  <c r="F25" i="74"/>
  <c r="F24" i="74"/>
  <c r="F23" i="74"/>
  <c r="H59" i="75" l="1"/>
  <c r="N34" i="85"/>
  <c r="H57" i="75"/>
  <c r="O34" i="80"/>
  <c r="N35" i="78"/>
  <c r="O34" i="81"/>
  <c r="O35" i="84"/>
  <c r="H36" i="81"/>
  <c r="H36" i="82"/>
  <c r="H36" i="83"/>
  <c r="H47" i="83" s="1"/>
  <c r="H36" i="78"/>
  <c r="H47" i="78" s="1"/>
  <c r="H36" i="77"/>
  <c r="H47" i="77" s="1"/>
  <c r="H36" i="76"/>
  <c r="H47" i="76" s="1"/>
  <c r="H47" i="89"/>
  <c r="C19" i="91" s="1"/>
  <c r="H37" i="82"/>
  <c r="N38" i="89"/>
  <c r="O38" i="89" s="1"/>
  <c r="O39" i="82"/>
  <c r="N51" i="82"/>
  <c r="O51" i="82" s="1"/>
  <c r="O24" i="76"/>
  <c r="O43" i="85"/>
  <c r="N24" i="77"/>
  <c r="B19" i="91"/>
  <c r="N24" i="82"/>
  <c r="O39" i="76"/>
  <c r="O39" i="81"/>
  <c r="N39" i="81"/>
  <c r="N39" i="86"/>
  <c r="O39" i="83"/>
  <c r="N50" i="81"/>
  <c r="O50" i="81" s="1"/>
  <c r="N30" i="77"/>
  <c r="N39" i="80"/>
  <c r="O32" i="83"/>
  <c r="O29" i="83"/>
  <c r="O29" i="84"/>
  <c r="N51" i="83"/>
  <c r="O51" i="83" s="1"/>
  <c r="O30" i="81"/>
  <c r="N39" i="77"/>
  <c r="N33" i="80"/>
  <c r="N39" i="79"/>
  <c r="N39" i="82"/>
  <c r="S50" i="86"/>
  <c r="D38" i="91" s="1"/>
  <c r="O39" i="84"/>
  <c r="O33" i="76"/>
  <c r="O27" i="83"/>
  <c r="O33" i="82"/>
  <c r="O39" i="79"/>
  <c r="O30" i="80"/>
  <c r="O28" i="76"/>
  <c r="N51" i="85"/>
  <c r="O51" i="85" s="1"/>
  <c r="O39" i="78"/>
  <c r="F14" i="92"/>
  <c r="N24" i="85"/>
  <c r="O24" i="85"/>
  <c r="N29" i="83"/>
  <c r="O28" i="78"/>
  <c r="N29" i="84"/>
  <c r="O39" i="77"/>
  <c r="L48" i="79"/>
  <c r="N48" i="79" s="1"/>
  <c r="O48" i="79" s="1"/>
  <c r="N51" i="84"/>
  <c r="O51" i="84" s="1"/>
  <c r="S49" i="82"/>
  <c r="N51" i="79"/>
  <c r="O51" i="79" s="1"/>
  <c r="S47" i="81"/>
  <c r="L47" i="81"/>
  <c r="O39" i="86"/>
  <c r="O29" i="86"/>
  <c r="O30" i="78"/>
  <c r="O24" i="77"/>
  <c r="N39" i="76"/>
  <c r="F37" i="92"/>
  <c r="N33" i="79"/>
  <c r="O29" i="85"/>
  <c r="O39" i="85"/>
  <c r="N28" i="76"/>
  <c r="N39" i="84"/>
  <c r="O24" i="82"/>
  <c r="O24" i="81"/>
  <c r="N24" i="79"/>
  <c r="N24" i="76"/>
  <c r="N51" i="86"/>
  <c r="O51" i="86" s="1"/>
  <c r="N39" i="83"/>
  <c r="N27" i="83"/>
  <c r="N32" i="83"/>
  <c r="N30" i="79"/>
  <c r="S50" i="82"/>
  <c r="D33" i="91" s="1"/>
  <c r="F41" i="92"/>
  <c r="S49" i="81"/>
  <c r="D37" i="91" s="1"/>
  <c r="S50" i="85"/>
  <c r="D39" i="91" s="1"/>
  <c r="N28" i="77"/>
  <c r="O28" i="77"/>
  <c r="N51" i="78"/>
  <c r="O51" i="78" s="1"/>
  <c r="N51" i="80"/>
  <c r="O51" i="80" s="1"/>
  <c r="F42" i="92"/>
  <c r="O24" i="83"/>
  <c r="N24" i="83"/>
  <c r="N39" i="85"/>
  <c r="O32" i="84"/>
  <c r="N32" i="84"/>
  <c r="N24" i="84"/>
  <c r="O24" i="84"/>
  <c r="N24" i="81"/>
  <c r="O24" i="79"/>
  <c r="N28" i="78"/>
  <c r="O24" i="78"/>
  <c r="N24" i="78"/>
  <c r="O24" i="80"/>
  <c r="N24" i="80"/>
  <c r="F9" i="92"/>
  <c r="F43" i="92"/>
  <c r="N33" i="77"/>
  <c r="N33" i="78"/>
  <c r="N33" i="81"/>
  <c r="N38" i="90"/>
  <c r="O38" i="90" s="1"/>
  <c r="S49" i="79"/>
  <c r="S50" i="79" s="1"/>
  <c r="D35" i="91" s="1"/>
  <c r="O30" i="76"/>
  <c r="N39" i="78"/>
  <c r="F36" i="92"/>
  <c r="L48" i="81"/>
  <c r="G25" i="75"/>
  <c r="H25" i="75" s="1"/>
  <c r="K25" i="75"/>
  <c r="K32" i="75"/>
  <c r="G32" i="75"/>
  <c r="H32" i="75" s="1"/>
  <c r="K41" i="75"/>
  <c r="G41" i="75"/>
  <c r="H41" i="75" s="1"/>
  <c r="K28" i="67"/>
  <c r="L28" i="67" s="1"/>
  <c r="G28" i="67"/>
  <c r="K42" i="74"/>
  <c r="G42" i="74"/>
  <c r="K27" i="75"/>
  <c r="L27" i="75" s="1"/>
  <c r="G27" i="75"/>
  <c r="H27" i="75" s="1"/>
  <c r="K43" i="74"/>
  <c r="G43" i="74"/>
  <c r="K26" i="75"/>
  <c r="L26" i="75" s="1"/>
  <c r="G26" i="75"/>
  <c r="H26" i="75" s="1"/>
  <c r="K31" i="75"/>
  <c r="G31" i="75"/>
  <c r="H31" i="75" s="1"/>
  <c r="G33" i="75"/>
  <c r="H33" i="75" s="1"/>
  <c r="K33" i="75"/>
  <c r="L33" i="75" s="1"/>
  <c r="K42" i="75"/>
  <c r="G42" i="75"/>
  <c r="H42" i="75" s="1"/>
  <c r="K52" i="75"/>
  <c r="L52" i="75" s="1"/>
  <c r="K54" i="75"/>
  <c r="L54" i="75" s="1"/>
  <c r="K44" i="67"/>
  <c r="G44" i="67"/>
  <c r="H44" i="67" s="1"/>
  <c r="K30" i="67"/>
  <c r="L30" i="67" s="1"/>
  <c r="G30" i="67"/>
  <c r="K41" i="74"/>
  <c r="G41" i="74"/>
  <c r="K30" i="75"/>
  <c r="L30" i="75" s="1"/>
  <c r="G30" i="75"/>
  <c r="H30" i="75" s="1"/>
  <c r="K34" i="75"/>
  <c r="L34" i="75" s="1"/>
  <c r="G34" i="75"/>
  <c r="H34" i="75" s="1"/>
  <c r="K43" i="75"/>
  <c r="L43" i="75" s="1"/>
  <c r="O43" i="75" s="1"/>
  <c r="G43" i="75"/>
  <c r="K24" i="67"/>
  <c r="L24" i="67" s="1"/>
  <c r="G24" i="67"/>
  <c r="K32" i="67"/>
  <c r="G32" i="67"/>
  <c r="G24" i="75"/>
  <c r="K24" i="75"/>
  <c r="L24" i="75" s="1"/>
  <c r="G29" i="75"/>
  <c r="H29" i="75" s="1"/>
  <c r="K29" i="75"/>
  <c r="L29" i="75" s="1"/>
  <c r="K37" i="75"/>
  <c r="G37" i="75"/>
  <c r="H37" i="75" s="1"/>
  <c r="G40" i="75"/>
  <c r="H40" i="75" s="1"/>
  <c r="K40" i="75"/>
  <c r="L40" i="75" s="1"/>
  <c r="H24" i="75"/>
  <c r="K39" i="67"/>
  <c r="L39" i="67" s="1"/>
  <c r="G39" i="67"/>
  <c r="H39" i="67" s="1"/>
  <c r="K33" i="67"/>
  <c r="L33" i="67" s="1"/>
  <c r="G33" i="67"/>
  <c r="K37" i="74"/>
  <c r="G37" i="74"/>
  <c r="H37" i="74" s="1"/>
  <c r="K39" i="74"/>
  <c r="L39" i="74" s="1"/>
  <c r="G39" i="74"/>
  <c r="H39" i="74" s="1"/>
  <c r="K40" i="74"/>
  <c r="G40" i="74"/>
  <c r="H40" i="74" s="1"/>
  <c r="K44" i="74"/>
  <c r="G44" i="74"/>
  <c r="K23" i="75"/>
  <c r="G23" i="75"/>
  <c r="H23" i="75" s="1"/>
  <c r="G28" i="75"/>
  <c r="H28" i="75" s="1"/>
  <c r="K28" i="75"/>
  <c r="K39" i="75"/>
  <c r="L39" i="75" s="1"/>
  <c r="G39" i="75"/>
  <c r="H39" i="75" s="1"/>
  <c r="K44" i="75"/>
  <c r="G44" i="75"/>
  <c r="H44" i="75" s="1"/>
  <c r="G51" i="75"/>
  <c r="H51" i="75" s="1"/>
  <c r="K51" i="75"/>
  <c r="L51" i="75" s="1"/>
  <c r="K23" i="67"/>
  <c r="G23" i="67"/>
  <c r="G53" i="67"/>
  <c r="K53" i="67"/>
  <c r="K57" i="67"/>
  <c r="L57" i="67" s="1"/>
  <c r="G57" i="67"/>
  <c r="H57" i="67" s="1"/>
  <c r="O31" i="83"/>
  <c r="E19" i="91"/>
  <c r="E85" i="91" s="1"/>
  <c r="O43" i="86"/>
  <c r="N52" i="89"/>
  <c r="O52" i="89" s="1"/>
  <c r="H59" i="79"/>
  <c r="G58" i="79"/>
  <c r="H58" i="79" s="1"/>
  <c r="G56" i="79"/>
  <c r="H66" i="79" s="1"/>
  <c r="H68" i="79" s="1"/>
  <c r="E85" i="72"/>
  <c r="N52" i="90"/>
  <c r="O52" i="90" s="1"/>
  <c r="E18" i="91"/>
  <c r="E62" i="91" s="1"/>
  <c r="K56" i="85"/>
  <c r="L66" i="85" s="1"/>
  <c r="S50" i="90"/>
  <c r="D40" i="91" s="1"/>
  <c r="K58" i="85"/>
  <c r="L58" i="85" s="1"/>
  <c r="N32" i="86"/>
  <c r="L59" i="85"/>
  <c r="E63" i="72"/>
  <c r="S48" i="84"/>
  <c r="S50" i="84" s="1"/>
  <c r="D32" i="91" s="1"/>
  <c r="L34" i="84"/>
  <c r="H34" i="84"/>
  <c r="S48" i="77"/>
  <c r="S48" i="76"/>
  <c r="H50" i="76"/>
  <c r="H51" i="76"/>
  <c r="S50" i="76"/>
  <c r="N30" i="85"/>
  <c r="O27" i="86"/>
  <c r="N53" i="86"/>
  <c r="O53" i="86" s="1"/>
  <c r="N24" i="86"/>
  <c r="F84" i="91"/>
  <c r="E17" i="72"/>
  <c r="E13" i="72"/>
  <c r="E10" i="91"/>
  <c r="E9" i="91"/>
  <c r="E8" i="72"/>
  <c r="E15" i="72"/>
  <c r="E13" i="91"/>
  <c r="E10" i="72"/>
  <c r="E11" i="91"/>
  <c r="E12" i="91"/>
  <c r="E16" i="72"/>
  <c r="E14" i="91"/>
  <c r="E16" i="91"/>
  <c r="E17" i="91"/>
  <c r="E15" i="91"/>
  <c r="O32" i="86"/>
  <c r="F63" i="72"/>
  <c r="F85" i="72"/>
  <c r="E12" i="72"/>
  <c r="E14" i="72"/>
  <c r="F62" i="72"/>
  <c r="F84" i="72"/>
  <c r="E9" i="72"/>
  <c r="F62" i="91"/>
  <c r="N53" i="76"/>
  <c r="O53" i="76" s="1"/>
  <c r="E7" i="91"/>
  <c r="E7" i="72"/>
  <c r="G58" i="85"/>
  <c r="H58" i="85" s="1"/>
  <c r="F85" i="91"/>
  <c r="F63" i="91"/>
  <c r="E11" i="72"/>
  <c r="E8" i="91"/>
  <c r="N53" i="83"/>
  <c r="F20" i="91"/>
  <c r="F20" i="72"/>
  <c r="B20" i="91"/>
  <c r="B20" i="72"/>
  <c r="E34" i="72"/>
  <c r="E34" i="91"/>
  <c r="E32" i="72"/>
  <c r="E32" i="91"/>
  <c r="E31" i="91"/>
  <c r="E29" i="91"/>
  <c r="E37" i="91"/>
  <c r="E36" i="91"/>
  <c r="E33" i="72"/>
  <c r="E33" i="91"/>
  <c r="E39" i="91"/>
  <c r="E64" i="91"/>
  <c r="E86" i="91"/>
  <c r="E84" i="72"/>
  <c r="E62" i="72"/>
  <c r="E38" i="91"/>
  <c r="E30" i="91"/>
  <c r="E35" i="91"/>
  <c r="E29" i="72"/>
  <c r="E39" i="72"/>
  <c r="E38" i="72"/>
  <c r="E31" i="72"/>
  <c r="E37" i="72"/>
  <c r="E36" i="72"/>
  <c r="N54" i="76"/>
  <c r="O54" i="76" s="1"/>
  <c r="E30" i="72"/>
  <c r="E35" i="72"/>
  <c r="E86" i="72"/>
  <c r="E64" i="72"/>
  <c r="N60" i="85"/>
  <c r="O60" i="85" s="1"/>
  <c r="N57" i="87"/>
  <c r="O57" i="87" s="1"/>
  <c r="L56" i="87"/>
  <c r="N58" i="87"/>
  <c r="O58" i="87" s="1"/>
  <c r="N59" i="87"/>
  <c r="O59" i="87" s="1"/>
  <c r="N60" i="86"/>
  <c r="O60" i="86" s="1"/>
  <c r="N52" i="86"/>
  <c r="O52" i="86" s="1"/>
  <c r="N26" i="86"/>
  <c r="N41" i="86"/>
  <c r="O41" i="86"/>
  <c r="L33" i="86"/>
  <c r="H33" i="86"/>
  <c r="H36" i="86" s="1"/>
  <c r="H47" i="86" s="1"/>
  <c r="N30" i="86"/>
  <c r="L59" i="86"/>
  <c r="K57" i="86"/>
  <c r="L57" i="86" s="1"/>
  <c r="K58" i="86"/>
  <c r="L58" i="86" s="1"/>
  <c r="K56" i="86"/>
  <c r="N27" i="86"/>
  <c r="N55" i="86"/>
  <c r="O55" i="86" s="1"/>
  <c r="N43" i="86"/>
  <c r="N29" i="86"/>
  <c r="O26" i="86"/>
  <c r="N54" i="86"/>
  <c r="O54" i="86" s="1"/>
  <c r="O24" i="86"/>
  <c r="G57" i="86"/>
  <c r="H57" i="86" s="1"/>
  <c r="G56" i="86"/>
  <c r="G58" i="86"/>
  <c r="H58" i="86" s="1"/>
  <c r="H59" i="86"/>
  <c r="O30" i="86"/>
  <c r="N26" i="85"/>
  <c r="O41" i="85"/>
  <c r="H33" i="85"/>
  <c r="L33" i="85"/>
  <c r="H28" i="85"/>
  <c r="G56" i="85"/>
  <c r="H66" i="85" s="1"/>
  <c r="H68" i="85" s="1"/>
  <c r="N54" i="85"/>
  <c r="O54" i="85" s="1"/>
  <c r="N53" i="84"/>
  <c r="O53" i="84" s="1"/>
  <c r="O57" i="85"/>
  <c r="N29" i="85"/>
  <c r="H59" i="82"/>
  <c r="G56" i="82"/>
  <c r="H66" i="82" s="1"/>
  <c r="H68" i="82" s="1"/>
  <c r="O34" i="78"/>
  <c r="K58" i="80"/>
  <c r="L58" i="80" s="1"/>
  <c r="G58" i="82"/>
  <c r="H58" i="82" s="1"/>
  <c r="N54" i="82"/>
  <c r="O54" i="82" s="1"/>
  <c r="H59" i="85"/>
  <c r="N41" i="85"/>
  <c r="N31" i="82"/>
  <c r="O32" i="85"/>
  <c r="N52" i="85"/>
  <c r="O52" i="85" s="1"/>
  <c r="N30" i="81"/>
  <c r="O43" i="82"/>
  <c r="N52" i="82"/>
  <c r="O52" i="82" s="1"/>
  <c r="N55" i="85"/>
  <c r="O55" i="85" s="1"/>
  <c r="N57" i="85"/>
  <c r="K56" i="82"/>
  <c r="N33" i="82"/>
  <c r="O27" i="85"/>
  <c r="N60" i="80"/>
  <c r="O60" i="80" s="1"/>
  <c r="N31" i="81"/>
  <c r="N52" i="81"/>
  <c r="O52" i="81" s="1"/>
  <c r="N53" i="82"/>
  <c r="O53" i="82" s="1"/>
  <c r="O37" i="80"/>
  <c r="O27" i="81"/>
  <c r="N55" i="83"/>
  <c r="N53" i="85"/>
  <c r="O53" i="85" s="1"/>
  <c r="O26" i="85"/>
  <c r="O32" i="81"/>
  <c r="K58" i="82"/>
  <c r="L58" i="82" s="1"/>
  <c r="O26" i="79"/>
  <c r="N60" i="82"/>
  <c r="O60" i="82" s="1"/>
  <c r="N43" i="85"/>
  <c r="O57" i="80"/>
  <c r="L59" i="82"/>
  <c r="N55" i="82"/>
  <c r="O55" i="82" s="1"/>
  <c r="O30" i="82"/>
  <c r="N43" i="82"/>
  <c r="N60" i="83"/>
  <c r="N26" i="83"/>
  <c r="O43" i="83"/>
  <c r="N52" i="80"/>
  <c r="O52" i="80" s="1"/>
  <c r="O57" i="82"/>
  <c r="O30" i="85"/>
  <c r="N27" i="85"/>
  <c r="N32" i="85"/>
  <c r="O26" i="84"/>
  <c r="N54" i="80"/>
  <c r="O54" i="80" s="1"/>
  <c r="H59" i="80"/>
  <c r="N41" i="84"/>
  <c r="N26" i="84"/>
  <c r="N57" i="82"/>
  <c r="G56" i="80"/>
  <c r="H66" i="80" s="1"/>
  <c r="H67" i="80" s="1"/>
  <c r="N52" i="84"/>
  <c r="O52" i="84" s="1"/>
  <c r="L59" i="84"/>
  <c r="K57" i="84"/>
  <c r="L57" i="84" s="1"/>
  <c r="K58" i="84"/>
  <c r="L58" i="84" s="1"/>
  <c r="K56" i="84"/>
  <c r="N60" i="84"/>
  <c r="O60" i="84" s="1"/>
  <c r="G57" i="84"/>
  <c r="H57" i="84" s="1"/>
  <c r="G56" i="84"/>
  <c r="G58" i="84"/>
  <c r="H58" i="84" s="1"/>
  <c r="H59" i="84"/>
  <c r="H28" i="84"/>
  <c r="H33" i="84"/>
  <c r="H30" i="84"/>
  <c r="L33" i="84"/>
  <c r="L30" i="84"/>
  <c r="N55" i="84"/>
  <c r="O55" i="84" s="1"/>
  <c r="O41" i="84"/>
  <c r="N43" i="84"/>
  <c r="O43" i="84" s="1"/>
  <c r="N54" i="84"/>
  <c r="O54" i="84" s="1"/>
  <c r="N43" i="83"/>
  <c r="O33" i="83"/>
  <c r="O30" i="83"/>
  <c r="N52" i="83"/>
  <c r="N41" i="83"/>
  <c r="O26" i="83"/>
  <c r="L59" i="83"/>
  <c r="K57" i="83"/>
  <c r="L57" i="83" s="1"/>
  <c r="K58" i="83"/>
  <c r="L58" i="83" s="1"/>
  <c r="K56" i="83"/>
  <c r="O52" i="83"/>
  <c r="N33" i="83"/>
  <c r="O60" i="83"/>
  <c r="O41" i="83"/>
  <c r="O55" i="83"/>
  <c r="N31" i="83"/>
  <c r="N54" i="83"/>
  <c r="O54" i="83" s="1"/>
  <c r="N30" i="83"/>
  <c r="G57" i="83"/>
  <c r="H57" i="83" s="1"/>
  <c r="G56" i="83"/>
  <c r="G58" i="83"/>
  <c r="H58" i="83" s="1"/>
  <c r="H59" i="83"/>
  <c r="O53" i="83"/>
  <c r="O27" i="82"/>
  <c r="N29" i="82"/>
  <c r="N30" i="82"/>
  <c r="N32" i="82"/>
  <c r="N27" i="82"/>
  <c r="N26" i="82"/>
  <c r="N41" i="82"/>
  <c r="O41" i="82"/>
  <c r="O29" i="82"/>
  <c r="O32" i="82"/>
  <c r="O26" i="82"/>
  <c r="O31" i="82"/>
  <c r="O43" i="80"/>
  <c r="N32" i="81"/>
  <c r="G58" i="80"/>
  <c r="H58" i="80" s="1"/>
  <c r="N57" i="80"/>
  <c r="N27" i="80"/>
  <c r="N42" i="81"/>
  <c r="N59" i="81"/>
  <c r="O59" i="81" s="1"/>
  <c r="O42" i="81"/>
  <c r="N53" i="81"/>
  <c r="O53" i="81" s="1"/>
  <c r="L59" i="80"/>
  <c r="K56" i="80"/>
  <c r="O39" i="80"/>
  <c r="N25" i="80"/>
  <c r="N37" i="80"/>
  <c r="N51" i="81"/>
  <c r="O51" i="81" s="1"/>
  <c r="N54" i="81"/>
  <c r="O54" i="81" s="1"/>
  <c r="N27" i="81"/>
  <c r="O26" i="81"/>
  <c r="G56" i="81"/>
  <c r="H56" i="81" s="1"/>
  <c r="G55" i="81"/>
  <c r="G57" i="81"/>
  <c r="H57" i="81" s="1"/>
  <c r="H58" i="81"/>
  <c r="H46" i="81"/>
  <c r="O33" i="81"/>
  <c r="O31" i="81"/>
  <c r="L58" i="81"/>
  <c r="K56" i="81"/>
  <c r="L56" i="81" s="1"/>
  <c r="K57" i="81"/>
  <c r="L57" i="81" s="1"/>
  <c r="K55" i="81"/>
  <c r="N26" i="81"/>
  <c r="H47" i="81"/>
  <c r="H48" i="81"/>
  <c r="N29" i="81"/>
  <c r="O29" i="81" s="1"/>
  <c r="H36" i="80"/>
  <c r="H47" i="80" s="1"/>
  <c r="N26" i="80"/>
  <c r="N32" i="80"/>
  <c r="N30" i="80"/>
  <c r="N31" i="80"/>
  <c r="N41" i="80"/>
  <c r="O32" i="80"/>
  <c r="O27" i="80"/>
  <c r="H49" i="80"/>
  <c r="L49" i="80"/>
  <c r="H48" i="80"/>
  <c r="N53" i="80"/>
  <c r="O53" i="80" s="1"/>
  <c r="O33" i="80"/>
  <c r="O26" i="80"/>
  <c r="O41" i="80"/>
  <c r="N43" i="80"/>
  <c r="N29" i="80"/>
  <c r="O29" i="80" s="1"/>
  <c r="O31" i="80"/>
  <c r="N55" i="80"/>
  <c r="O55" i="80" s="1"/>
  <c r="O25" i="80"/>
  <c r="O43" i="79"/>
  <c r="O29" i="78"/>
  <c r="N52" i="79"/>
  <c r="O52" i="79" s="1"/>
  <c r="N31" i="79"/>
  <c r="N54" i="79"/>
  <c r="O54" i="79" s="1"/>
  <c r="O41" i="78"/>
  <c r="O41" i="79"/>
  <c r="N53" i="79"/>
  <c r="O53" i="79" s="1"/>
  <c r="O33" i="79"/>
  <c r="O31" i="79"/>
  <c r="O32" i="78"/>
  <c r="N57" i="79"/>
  <c r="L59" i="79"/>
  <c r="N29" i="79"/>
  <c r="O29" i="79" s="1"/>
  <c r="N32" i="78"/>
  <c r="N26" i="79"/>
  <c r="N41" i="79"/>
  <c r="K56" i="79"/>
  <c r="N60" i="79"/>
  <c r="O60" i="79" s="1"/>
  <c r="N32" i="79"/>
  <c r="O30" i="79"/>
  <c r="K58" i="79"/>
  <c r="L58" i="79" s="1"/>
  <c r="N43" i="79"/>
  <c r="O26" i="76"/>
  <c r="N60" i="78"/>
  <c r="O60" i="78" s="1"/>
  <c r="N53" i="78"/>
  <c r="O53" i="78" s="1"/>
  <c r="N27" i="79"/>
  <c r="O57" i="79"/>
  <c r="O32" i="79"/>
  <c r="O27" i="79"/>
  <c r="H36" i="79"/>
  <c r="H47" i="79" s="1"/>
  <c r="N55" i="79"/>
  <c r="O55" i="79" s="1"/>
  <c r="N49" i="79"/>
  <c r="O49" i="79" s="1"/>
  <c r="N26" i="78"/>
  <c r="N54" i="78"/>
  <c r="O54" i="78" s="1"/>
  <c r="N30" i="78"/>
  <c r="N34" i="78"/>
  <c r="L59" i="78"/>
  <c r="K57" i="78"/>
  <c r="L57" i="78" s="1"/>
  <c r="K58" i="78"/>
  <c r="L58" i="78" s="1"/>
  <c r="K56" i="78"/>
  <c r="N52" i="78"/>
  <c r="O52" i="78" s="1"/>
  <c r="H48" i="78"/>
  <c r="K48" i="78" s="1"/>
  <c r="H49" i="78"/>
  <c r="K49" i="78" s="1"/>
  <c r="L49" i="78" s="1"/>
  <c r="N29" i="78"/>
  <c r="G57" i="78"/>
  <c r="H57" i="78" s="1"/>
  <c r="G56" i="78"/>
  <c r="H56" i="78" s="1"/>
  <c r="G58" i="78"/>
  <c r="H58" i="78" s="1"/>
  <c r="H59" i="78"/>
  <c r="O26" i="78"/>
  <c r="N55" i="78"/>
  <c r="O55" i="78" s="1"/>
  <c r="N41" i="78"/>
  <c r="O33" i="78"/>
  <c r="N26" i="77"/>
  <c r="O30" i="77"/>
  <c r="N62" i="76"/>
  <c r="O62" i="76" s="1"/>
  <c r="N29" i="77"/>
  <c r="O29" i="77" s="1"/>
  <c r="N53" i="77"/>
  <c r="O53" i="77" s="1"/>
  <c r="N32" i="77"/>
  <c r="N56" i="76"/>
  <c r="O56" i="76" s="1"/>
  <c r="N52" i="77"/>
  <c r="O52" i="77" s="1"/>
  <c r="O41" i="77"/>
  <c r="N55" i="77"/>
  <c r="O55" i="77" s="1"/>
  <c r="G59" i="67"/>
  <c r="G58" i="67"/>
  <c r="O32" i="77"/>
  <c r="N30" i="76"/>
  <c r="O34" i="77"/>
  <c r="N54" i="77"/>
  <c r="O54" i="77" s="1"/>
  <c r="O41" i="76"/>
  <c r="N33" i="76"/>
  <c r="G58" i="76"/>
  <c r="G59" i="76"/>
  <c r="H59" i="76" s="1"/>
  <c r="G60" i="76"/>
  <c r="H60" i="76" s="1"/>
  <c r="O34" i="76"/>
  <c r="G49" i="77"/>
  <c r="H49" i="77" s="1"/>
  <c r="G57" i="77"/>
  <c r="H57" i="77" s="1"/>
  <c r="G56" i="77"/>
  <c r="G58" i="77"/>
  <c r="H58" i="77" s="1"/>
  <c r="H59" i="77"/>
  <c r="O26" i="77"/>
  <c r="N41" i="77"/>
  <c r="O33" i="77"/>
  <c r="N60" i="77"/>
  <c r="O60" i="77" s="1"/>
  <c r="N34" i="77"/>
  <c r="L59" i="77"/>
  <c r="K57" i="77"/>
  <c r="L57" i="77" s="1"/>
  <c r="K58" i="77"/>
  <c r="L58" i="77" s="1"/>
  <c r="K56" i="77"/>
  <c r="L60" i="76"/>
  <c r="H61" i="76"/>
  <c r="L61" i="76"/>
  <c r="L59" i="76"/>
  <c r="N57" i="76"/>
  <c r="O57" i="76" s="1"/>
  <c r="N26" i="76"/>
  <c r="N55" i="76"/>
  <c r="O55" i="76" s="1"/>
  <c r="N41" i="76"/>
  <c r="N34" i="76"/>
  <c r="N29" i="76"/>
  <c r="O29" i="76" s="1"/>
  <c r="O38" i="67"/>
  <c r="N38" i="67"/>
  <c r="F38" i="75"/>
  <c r="K48" i="75"/>
  <c r="L58" i="75"/>
  <c r="K38" i="75"/>
  <c r="L56" i="75"/>
  <c r="L60" i="75"/>
  <c r="J38" i="75"/>
  <c r="G38" i="75"/>
  <c r="L57" i="75"/>
  <c r="N57" i="75" s="1"/>
  <c r="O57" i="75" s="1"/>
  <c r="L59" i="75"/>
  <c r="N59" i="75" s="1"/>
  <c r="H52" i="75"/>
  <c r="G53" i="75"/>
  <c r="H53" i="75" s="1"/>
  <c r="G49" i="75"/>
  <c r="H48" i="75"/>
  <c r="H56" i="75"/>
  <c r="H58" i="75"/>
  <c r="H60" i="75"/>
  <c r="K53" i="75"/>
  <c r="L53" i="75" s="1"/>
  <c r="K49" i="75"/>
  <c r="D34" i="74"/>
  <c r="D33" i="74"/>
  <c r="D32" i="74"/>
  <c r="D31" i="74"/>
  <c r="D30" i="74"/>
  <c r="D29" i="74"/>
  <c r="D28" i="74"/>
  <c r="D27" i="74"/>
  <c r="D26" i="74"/>
  <c r="D25" i="74"/>
  <c r="D24" i="74"/>
  <c r="B34" i="74"/>
  <c r="B33" i="74"/>
  <c r="B32" i="74"/>
  <c r="B31" i="74"/>
  <c r="B30" i="74"/>
  <c r="B29" i="74"/>
  <c r="B28" i="74"/>
  <c r="B27" i="74"/>
  <c r="B26" i="74"/>
  <c r="B25" i="74"/>
  <c r="B24" i="74"/>
  <c r="D23" i="74"/>
  <c r="B23" i="74"/>
  <c r="K54" i="74"/>
  <c r="L54" i="74" s="1"/>
  <c r="O61" i="74"/>
  <c r="N61" i="74"/>
  <c r="J61" i="74"/>
  <c r="G60" i="74"/>
  <c r="K60" i="74" s="1"/>
  <c r="L60" i="74" s="1"/>
  <c r="D60" i="74"/>
  <c r="B60" i="74"/>
  <c r="G59" i="74"/>
  <c r="K59" i="74" s="1"/>
  <c r="D59" i="74"/>
  <c r="B59" i="74"/>
  <c r="K58" i="74"/>
  <c r="G58" i="74"/>
  <c r="D58" i="74"/>
  <c r="B58" i="74"/>
  <c r="L57" i="74"/>
  <c r="G57" i="74"/>
  <c r="K57" i="74" s="1"/>
  <c r="D57" i="74"/>
  <c r="B57" i="74"/>
  <c r="G56" i="74"/>
  <c r="D56" i="74"/>
  <c r="B56" i="74"/>
  <c r="D54" i="74"/>
  <c r="B54" i="74"/>
  <c r="D53" i="74"/>
  <c r="B53" i="74"/>
  <c r="D52" i="74"/>
  <c r="B52" i="74"/>
  <c r="D51" i="74"/>
  <c r="B51" i="74"/>
  <c r="G38" i="73"/>
  <c r="O60" i="73"/>
  <c r="N60" i="73"/>
  <c r="J60" i="73"/>
  <c r="G59" i="73"/>
  <c r="K59" i="73" s="1"/>
  <c r="D59" i="73"/>
  <c r="B59" i="73"/>
  <c r="G58" i="73"/>
  <c r="K58" i="73" s="1"/>
  <c r="D58" i="73"/>
  <c r="B58" i="73"/>
  <c r="G57" i="73"/>
  <c r="K57" i="73" s="1"/>
  <c r="D57" i="73"/>
  <c r="B57" i="73"/>
  <c r="K56" i="73"/>
  <c r="G56" i="73"/>
  <c r="D56" i="73"/>
  <c r="B56" i="73"/>
  <c r="K55" i="73"/>
  <c r="D55" i="73"/>
  <c r="B55" i="73"/>
  <c r="D54" i="73"/>
  <c r="B54" i="73"/>
  <c r="D53" i="73"/>
  <c r="B53" i="73"/>
  <c r="D52" i="73"/>
  <c r="B52" i="73"/>
  <c r="D51" i="73"/>
  <c r="B51" i="73"/>
  <c r="D49" i="73"/>
  <c r="B49" i="73"/>
  <c r="D48" i="73"/>
  <c r="B48" i="73"/>
  <c r="D44" i="73"/>
  <c r="B44" i="73"/>
  <c r="D43" i="73"/>
  <c r="B43" i="73"/>
  <c r="D42" i="73"/>
  <c r="B42" i="73"/>
  <c r="B41" i="73"/>
  <c r="D40" i="73"/>
  <c r="B40" i="73"/>
  <c r="D39" i="73"/>
  <c r="B39" i="73"/>
  <c r="D37" i="73"/>
  <c r="B37" i="73"/>
  <c r="D34" i="73"/>
  <c r="B34" i="73"/>
  <c r="D33" i="73"/>
  <c r="B33" i="73"/>
  <c r="D32" i="73"/>
  <c r="B32" i="73"/>
  <c r="D31" i="73"/>
  <c r="B31" i="73"/>
  <c r="D30" i="73"/>
  <c r="B30" i="73"/>
  <c r="D29" i="73"/>
  <c r="B29" i="73"/>
  <c r="D28" i="73"/>
  <c r="B28" i="73"/>
  <c r="D27" i="73"/>
  <c r="B27" i="73"/>
  <c r="D26" i="73"/>
  <c r="B26" i="73"/>
  <c r="D25" i="73"/>
  <c r="B25" i="73"/>
  <c r="D24" i="73"/>
  <c r="B24" i="73"/>
  <c r="D23" i="73"/>
  <c r="G23" i="73" s="1"/>
  <c r="B23" i="73"/>
  <c r="G57" i="64"/>
  <c r="G56" i="64"/>
  <c r="G55" i="64"/>
  <c r="G59" i="64"/>
  <c r="G58" i="64"/>
  <c r="F59" i="64"/>
  <c r="F58" i="64"/>
  <c r="F57" i="64"/>
  <c r="F56" i="64"/>
  <c r="F55" i="64"/>
  <c r="F54" i="64"/>
  <c r="F53" i="64"/>
  <c r="F52" i="64"/>
  <c r="F51" i="64"/>
  <c r="F49" i="64"/>
  <c r="F48" i="64"/>
  <c r="F44" i="64"/>
  <c r="F43" i="64"/>
  <c r="F42" i="64"/>
  <c r="F41" i="64"/>
  <c r="F40" i="64"/>
  <c r="F39" i="64"/>
  <c r="B37" i="64"/>
  <c r="F37" i="64"/>
  <c r="F34" i="64"/>
  <c r="F33" i="64"/>
  <c r="F32" i="64"/>
  <c r="F31" i="64"/>
  <c r="F30" i="64"/>
  <c r="F29" i="64"/>
  <c r="F28" i="64"/>
  <c r="F27" i="64"/>
  <c r="F26" i="64"/>
  <c r="F25" i="64"/>
  <c r="F24" i="64"/>
  <c r="G38" i="64"/>
  <c r="F23" i="64"/>
  <c r="H36" i="75" l="1"/>
  <c r="H47" i="82"/>
  <c r="H50" i="89"/>
  <c r="D19" i="91" s="1"/>
  <c r="C19" i="72"/>
  <c r="O34" i="75"/>
  <c r="N43" i="75"/>
  <c r="N51" i="75"/>
  <c r="O51" i="75" s="1"/>
  <c r="O26" i="75"/>
  <c r="N40" i="75"/>
  <c r="O40" i="75" s="1"/>
  <c r="O24" i="75"/>
  <c r="N29" i="75"/>
  <c r="O29" i="75"/>
  <c r="F34" i="92"/>
  <c r="N24" i="75"/>
  <c r="N27" i="75"/>
  <c r="N26" i="75"/>
  <c r="O39" i="67"/>
  <c r="N39" i="67"/>
  <c r="K27" i="74"/>
  <c r="L27" i="74" s="1"/>
  <c r="G27" i="74"/>
  <c r="H27" i="74" s="1"/>
  <c r="K31" i="74"/>
  <c r="G31" i="74"/>
  <c r="H31" i="74" s="1"/>
  <c r="K51" i="73"/>
  <c r="L51" i="73" s="1"/>
  <c r="G51" i="73"/>
  <c r="H51" i="73" s="1"/>
  <c r="K38" i="73"/>
  <c r="K54" i="73"/>
  <c r="L54" i="73" s="1"/>
  <c r="K52" i="73"/>
  <c r="L52" i="73" s="1"/>
  <c r="K23" i="74"/>
  <c r="G23" i="74"/>
  <c r="H23" i="74" s="1"/>
  <c r="K24" i="74"/>
  <c r="L24" i="74" s="1"/>
  <c r="G24" i="74"/>
  <c r="H24" i="74" s="1"/>
  <c r="K28" i="74"/>
  <c r="G28" i="74"/>
  <c r="H28" i="74" s="1"/>
  <c r="K32" i="74"/>
  <c r="G32" i="74"/>
  <c r="H32" i="74" s="1"/>
  <c r="N33" i="75"/>
  <c r="G25" i="74"/>
  <c r="H25" i="74" s="1"/>
  <c r="K25" i="74"/>
  <c r="G29" i="74"/>
  <c r="H29" i="74" s="1"/>
  <c r="K29" i="74"/>
  <c r="L29" i="74" s="1"/>
  <c r="K33" i="74"/>
  <c r="L33" i="74" s="1"/>
  <c r="G33" i="74"/>
  <c r="H33" i="74" s="1"/>
  <c r="O39" i="75"/>
  <c r="K53" i="64"/>
  <c r="K54" i="64"/>
  <c r="K51" i="74"/>
  <c r="L51" i="74" s="1"/>
  <c r="G51" i="74"/>
  <c r="H51" i="74" s="1"/>
  <c r="K26" i="74"/>
  <c r="L26" i="74" s="1"/>
  <c r="G26" i="74"/>
  <c r="H26" i="74" s="1"/>
  <c r="K30" i="74"/>
  <c r="L30" i="74" s="1"/>
  <c r="G30" i="74"/>
  <c r="H30" i="74" s="1"/>
  <c r="K34" i="74"/>
  <c r="L34" i="74" s="1"/>
  <c r="G34" i="74"/>
  <c r="H34" i="74" s="1"/>
  <c r="H49" i="75"/>
  <c r="G54" i="75"/>
  <c r="H54" i="75" s="1"/>
  <c r="N54" i="75" s="1"/>
  <c r="O54" i="75" s="1"/>
  <c r="K43" i="73"/>
  <c r="L43" i="73" s="1"/>
  <c r="O43" i="73" s="1"/>
  <c r="G43" i="73"/>
  <c r="H23" i="73"/>
  <c r="K23" i="73"/>
  <c r="J18" i="73"/>
  <c r="K25" i="73"/>
  <c r="L25" i="73" s="1"/>
  <c r="G25" i="73"/>
  <c r="H25" i="73" s="1"/>
  <c r="G27" i="73"/>
  <c r="H27" i="73" s="1"/>
  <c r="K27" i="73"/>
  <c r="K29" i="73"/>
  <c r="L29" i="73" s="1"/>
  <c r="G29" i="73"/>
  <c r="H29" i="73" s="1"/>
  <c r="G31" i="73"/>
  <c r="H31" i="73" s="1"/>
  <c r="K31" i="73"/>
  <c r="K34" i="73"/>
  <c r="L34" i="73" s="1"/>
  <c r="G34" i="73"/>
  <c r="H34" i="73" s="1"/>
  <c r="K39" i="73"/>
  <c r="L39" i="73" s="1"/>
  <c r="G39" i="73"/>
  <c r="H39" i="73" s="1"/>
  <c r="K33" i="73"/>
  <c r="L33" i="73" s="1"/>
  <c r="G33" i="73"/>
  <c r="H33" i="73" s="1"/>
  <c r="G42" i="73"/>
  <c r="H42" i="73" s="1"/>
  <c r="K42" i="73"/>
  <c r="K44" i="73"/>
  <c r="G44" i="73"/>
  <c r="H44" i="73" s="1"/>
  <c r="K24" i="73"/>
  <c r="L24" i="73" s="1"/>
  <c r="G24" i="73"/>
  <c r="H24" i="73" s="1"/>
  <c r="K26" i="73"/>
  <c r="L26" i="73" s="1"/>
  <c r="G26" i="73"/>
  <c r="H26" i="73" s="1"/>
  <c r="K28" i="73"/>
  <c r="L28" i="73" s="1"/>
  <c r="G28" i="73"/>
  <c r="H28" i="73" s="1"/>
  <c r="K30" i="73"/>
  <c r="L30" i="73" s="1"/>
  <c r="G30" i="73"/>
  <c r="H30" i="73" s="1"/>
  <c r="K32" i="73"/>
  <c r="G32" i="73"/>
  <c r="H32" i="73" s="1"/>
  <c r="G37" i="73"/>
  <c r="H37" i="73" s="1"/>
  <c r="K37" i="73"/>
  <c r="K40" i="73"/>
  <c r="L40" i="73" s="1"/>
  <c r="G40" i="73"/>
  <c r="H40" i="73" s="1"/>
  <c r="H49" i="81"/>
  <c r="H61" i="81" s="1"/>
  <c r="K53" i="74"/>
  <c r="L53" i="74" s="1"/>
  <c r="K52" i="74"/>
  <c r="L52" i="74" s="1"/>
  <c r="H57" i="74"/>
  <c r="N57" i="74" s="1"/>
  <c r="O57" i="74" s="1"/>
  <c r="E84" i="91"/>
  <c r="E63" i="91"/>
  <c r="H55" i="73"/>
  <c r="F38" i="73"/>
  <c r="N58" i="79"/>
  <c r="N59" i="79"/>
  <c r="O59" i="79" s="1"/>
  <c r="H56" i="79"/>
  <c r="F13" i="91" s="1"/>
  <c r="H67" i="79"/>
  <c r="H69" i="79" s="1"/>
  <c r="H70" i="79" s="1"/>
  <c r="H71" i="79" s="1"/>
  <c r="N59" i="85"/>
  <c r="O59" i="85" s="1"/>
  <c r="L56" i="85"/>
  <c r="F39" i="72" s="1"/>
  <c r="N58" i="85"/>
  <c r="E78" i="72"/>
  <c r="H56" i="80"/>
  <c r="F14" i="72" s="1"/>
  <c r="E54" i="72"/>
  <c r="O34" i="84"/>
  <c r="N34" i="84"/>
  <c r="L49" i="77"/>
  <c r="N49" i="77" s="1"/>
  <c r="O49" i="77" s="1"/>
  <c r="S49" i="77"/>
  <c r="S50" i="77" s="1"/>
  <c r="D31" i="91" s="1"/>
  <c r="S51" i="76"/>
  <c r="S49" i="76"/>
  <c r="O58" i="85"/>
  <c r="H56" i="85"/>
  <c r="F17" i="91" s="1"/>
  <c r="E76" i="72"/>
  <c r="G48" i="73"/>
  <c r="G52" i="73" s="1"/>
  <c r="H52" i="73" s="1"/>
  <c r="F5" i="91"/>
  <c r="F5" i="72"/>
  <c r="B7" i="91"/>
  <c r="B7" i="72"/>
  <c r="F27" i="91"/>
  <c r="F27" i="72"/>
  <c r="H50" i="77"/>
  <c r="B9" i="91"/>
  <c r="B9" i="72"/>
  <c r="B8" i="91"/>
  <c r="B8" i="72"/>
  <c r="B13" i="91"/>
  <c r="B13" i="72"/>
  <c r="B15" i="91"/>
  <c r="B15" i="72"/>
  <c r="H50" i="86"/>
  <c r="B16" i="91"/>
  <c r="B16" i="72"/>
  <c r="F42" i="72"/>
  <c r="F86" i="72" s="1"/>
  <c r="F42" i="91"/>
  <c r="F64" i="91" s="1"/>
  <c r="C20" i="91"/>
  <c r="C20" i="72"/>
  <c r="B11" i="91"/>
  <c r="B11" i="72"/>
  <c r="O48" i="80"/>
  <c r="D36" i="91"/>
  <c r="H50" i="80"/>
  <c r="B14" i="91"/>
  <c r="B14" i="72"/>
  <c r="B12" i="91"/>
  <c r="B12" i="72"/>
  <c r="O33" i="85"/>
  <c r="H50" i="87"/>
  <c r="H66" i="87" s="1"/>
  <c r="H67" i="87" s="1"/>
  <c r="E77" i="72"/>
  <c r="S48" i="75"/>
  <c r="E52" i="91"/>
  <c r="E74" i="91"/>
  <c r="E75" i="91"/>
  <c r="E53" i="91"/>
  <c r="S49" i="75"/>
  <c r="E27" i="72"/>
  <c r="E27" i="91"/>
  <c r="E56" i="72"/>
  <c r="E80" i="91"/>
  <c r="E58" i="91"/>
  <c r="E54" i="91"/>
  <c r="E76" i="91"/>
  <c r="E55" i="72"/>
  <c r="E82" i="91"/>
  <c r="E60" i="91"/>
  <c r="E83" i="91"/>
  <c r="E61" i="91"/>
  <c r="E59" i="91"/>
  <c r="E81" i="91"/>
  <c r="E57" i="91"/>
  <c r="E79" i="91"/>
  <c r="E77" i="91"/>
  <c r="E55" i="91"/>
  <c r="E73" i="91"/>
  <c r="E51" i="91"/>
  <c r="E78" i="91"/>
  <c r="E56" i="91"/>
  <c r="D30" i="91"/>
  <c r="H67" i="82"/>
  <c r="H69" i="82" s="1"/>
  <c r="H70" i="82" s="1"/>
  <c r="E74" i="72"/>
  <c r="E52" i="72"/>
  <c r="E75" i="72"/>
  <c r="E53" i="72"/>
  <c r="E60" i="72"/>
  <c r="E82" i="72"/>
  <c r="E79" i="72"/>
  <c r="E57" i="72"/>
  <c r="E81" i="72"/>
  <c r="E59" i="72"/>
  <c r="E83" i="72"/>
  <c r="E61" i="72"/>
  <c r="K53" i="73"/>
  <c r="L53" i="73" s="1"/>
  <c r="K48" i="73"/>
  <c r="S48" i="73" s="1"/>
  <c r="E80" i="72"/>
  <c r="E58" i="72"/>
  <c r="E73" i="72"/>
  <c r="E51" i="72"/>
  <c r="N56" i="87"/>
  <c r="O56" i="87" s="1"/>
  <c r="O58" i="86"/>
  <c r="N33" i="86"/>
  <c r="N57" i="86"/>
  <c r="N59" i="86"/>
  <c r="O59" i="86" s="1"/>
  <c r="O33" i="86"/>
  <c r="O57" i="86"/>
  <c r="L56" i="86"/>
  <c r="L66" i="86"/>
  <c r="H56" i="86"/>
  <c r="H66" i="86"/>
  <c r="N58" i="86"/>
  <c r="N33" i="85"/>
  <c r="H36" i="85"/>
  <c r="H47" i="85" s="1"/>
  <c r="H67" i="85"/>
  <c r="H69" i="85" s="1"/>
  <c r="H70" i="85" s="1"/>
  <c r="N33" i="84"/>
  <c r="N58" i="82"/>
  <c r="N58" i="80"/>
  <c r="H56" i="82"/>
  <c r="L56" i="82"/>
  <c r="L66" i="82" s="1"/>
  <c r="N59" i="82"/>
  <c r="O59" i="82" s="1"/>
  <c r="O58" i="80"/>
  <c r="L56" i="79"/>
  <c r="F35" i="91" s="1"/>
  <c r="L56" i="80"/>
  <c r="F36" i="91" s="1"/>
  <c r="H68" i="80"/>
  <c r="H69" i="80" s="1"/>
  <c r="H70" i="80" s="1"/>
  <c r="H71" i="80" s="1"/>
  <c r="O57" i="83"/>
  <c r="O58" i="82"/>
  <c r="L68" i="85"/>
  <c r="N68" i="85" s="1"/>
  <c r="L67" i="85"/>
  <c r="N66" i="85"/>
  <c r="O66" i="85"/>
  <c r="O58" i="84"/>
  <c r="N59" i="84"/>
  <c r="O59" i="84" s="1"/>
  <c r="N30" i="84"/>
  <c r="N59" i="83"/>
  <c r="N57" i="84"/>
  <c r="O28" i="84"/>
  <c r="H56" i="84"/>
  <c r="H66" i="84"/>
  <c r="O57" i="84"/>
  <c r="O30" i="84"/>
  <c r="N28" i="84"/>
  <c r="L56" i="84"/>
  <c r="L66" i="84"/>
  <c r="O33" i="84"/>
  <c r="N58" i="84"/>
  <c r="O58" i="83"/>
  <c r="H56" i="83"/>
  <c r="H66" i="83"/>
  <c r="L56" i="83"/>
  <c r="L66" i="83"/>
  <c r="N58" i="83"/>
  <c r="O59" i="83"/>
  <c r="N57" i="83"/>
  <c r="N59" i="80"/>
  <c r="O59" i="80" s="1"/>
  <c r="N56" i="81"/>
  <c r="N57" i="81"/>
  <c r="N48" i="81"/>
  <c r="O48" i="81" s="1"/>
  <c r="L55" i="81"/>
  <c r="L65" i="81"/>
  <c r="O57" i="81"/>
  <c r="H55" i="81"/>
  <c r="H65" i="81"/>
  <c r="N47" i="81"/>
  <c r="O47" i="81" s="1"/>
  <c r="N58" i="81"/>
  <c r="O58" i="81" s="1"/>
  <c r="O56" i="81"/>
  <c r="N49" i="80"/>
  <c r="N48" i="80"/>
  <c r="O49" i="80"/>
  <c r="O58" i="79"/>
  <c r="N58" i="78"/>
  <c r="N57" i="78"/>
  <c r="O58" i="78"/>
  <c r="H66" i="78"/>
  <c r="N59" i="78"/>
  <c r="O59" i="78" s="1"/>
  <c r="O57" i="78"/>
  <c r="N49" i="78"/>
  <c r="O49" i="78" s="1"/>
  <c r="L56" i="78"/>
  <c r="L66" i="78"/>
  <c r="N59" i="77"/>
  <c r="O59" i="77" s="1"/>
  <c r="O27" i="75"/>
  <c r="O57" i="77"/>
  <c r="N59" i="76"/>
  <c r="N58" i="77"/>
  <c r="H56" i="77"/>
  <c r="H66" i="77"/>
  <c r="L56" i="77"/>
  <c r="L66" i="77"/>
  <c r="N57" i="77"/>
  <c r="O58" i="77"/>
  <c r="N61" i="76"/>
  <c r="O61" i="76" s="1"/>
  <c r="N60" i="76"/>
  <c r="O59" i="76"/>
  <c r="H68" i="76"/>
  <c r="H58" i="76"/>
  <c r="L68" i="76"/>
  <c r="L58" i="76"/>
  <c r="O60" i="76"/>
  <c r="L58" i="67"/>
  <c r="L38" i="75"/>
  <c r="N39" i="75"/>
  <c r="H38" i="75"/>
  <c r="O33" i="75"/>
  <c r="N58" i="75"/>
  <c r="O58" i="75" s="1"/>
  <c r="K48" i="64"/>
  <c r="S48" i="64" s="1"/>
  <c r="J38" i="64"/>
  <c r="O60" i="75"/>
  <c r="N30" i="75"/>
  <c r="O30" i="75" s="1"/>
  <c r="N60" i="75"/>
  <c r="N34" i="75"/>
  <c r="N52" i="75"/>
  <c r="O52" i="75" s="1"/>
  <c r="N53" i="75"/>
  <c r="O53" i="75" s="1"/>
  <c r="O59" i="75"/>
  <c r="N56" i="75"/>
  <c r="O56" i="75" s="1"/>
  <c r="K52" i="64"/>
  <c r="J38" i="74"/>
  <c r="H41" i="73"/>
  <c r="K49" i="73"/>
  <c r="L56" i="73"/>
  <c r="L59" i="73"/>
  <c r="L55" i="73"/>
  <c r="N39" i="74"/>
  <c r="O39" i="74" s="1"/>
  <c r="L59" i="74"/>
  <c r="J38" i="73"/>
  <c r="L58" i="73"/>
  <c r="K48" i="74"/>
  <c r="L57" i="73"/>
  <c r="H58" i="73"/>
  <c r="L40" i="74"/>
  <c r="N40" i="74" s="1"/>
  <c r="H56" i="74"/>
  <c r="H41" i="74"/>
  <c r="K56" i="74"/>
  <c r="L56" i="74" s="1"/>
  <c r="G38" i="74"/>
  <c r="G48" i="74"/>
  <c r="H44" i="74"/>
  <c r="L58" i="74"/>
  <c r="H42" i="74"/>
  <c r="H60" i="74"/>
  <c r="O60" i="74" s="1"/>
  <c r="L43" i="74"/>
  <c r="F38" i="74"/>
  <c r="H58" i="74"/>
  <c r="H59" i="74"/>
  <c r="K38" i="74"/>
  <c r="K49" i="74"/>
  <c r="H56" i="73"/>
  <c r="H59" i="73"/>
  <c r="H57" i="73"/>
  <c r="K49" i="64"/>
  <c r="S49" i="64" s="1"/>
  <c r="F38" i="64"/>
  <c r="D59" i="64"/>
  <c r="B59" i="64"/>
  <c r="D58" i="64"/>
  <c r="B58" i="64"/>
  <c r="D57" i="64"/>
  <c r="B57" i="64"/>
  <c r="D56" i="64"/>
  <c r="B56" i="64"/>
  <c r="D55" i="64"/>
  <c r="B55" i="64"/>
  <c r="D54" i="64"/>
  <c r="B54" i="64"/>
  <c r="D53" i="64"/>
  <c r="B53" i="64"/>
  <c r="D52" i="64"/>
  <c r="B52" i="64"/>
  <c r="D51" i="64"/>
  <c r="B51" i="64"/>
  <c r="D49" i="64"/>
  <c r="B49" i="64"/>
  <c r="D48" i="64"/>
  <c r="B48" i="64"/>
  <c r="D44" i="64"/>
  <c r="B44" i="64"/>
  <c r="D43" i="64"/>
  <c r="B43" i="64"/>
  <c r="D42" i="64"/>
  <c r="B42" i="64"/>
  <c r="D41" i="64"/>
  <c r="B41" i="64"/>
  <c r="D40" i="64"/>
  <c r="B40" i="64"/>
  <c r="D39" i="64"/>
  <c r="B39" i="64"/>
  <c r="D37" i="64"/>
  <c r="D34" i="64"/>
  <c r="D33" i="64"/>
  <c r="D32" i="64"/>
  <c r="D31" i="64"/>
  <c r="D30" i="64"/>
  <c r="D29" i="64"/>
  <c r="D28" i="64"/>
  <c r="D27" i="64"/>
  <c r="D26" i="64"/>
  <c r="D25" i="64"/>
  <c r="D24" i="64"/>
  <c r="D23" i="64"/>
  <c r="B34" i="64"/>
  <c r="B33" i="64"/>
  <c r="B32" i="64"/>
  <c r="B31" i="64"/>
  <c r="B30" i="64"/>
  <c r="B29" i="64"/>
  <c r="B28" i="64"/>
  <c r="B27" i="64"/>
  <c r="B26" i="64"/>
  <c r="B25" i="64"/>
  <c r="B24" i="64"/>
  <c r="B23" i="64"/>
  <c r="H36" i="73" l="1"/>
  <c r="H47" i="75"/>
  <c r="N66" i="82"/>
  <c r="O66" i="82"/>
  <c r="L68" i="82"/>
  <c r="N68" i="82" s="1"/>
  <c r="L67" i="82"/>
  <c r="L66" i="80"/>
  <c r="L66" i="79"/>
  <c r="F7" i="92"/>
  <c r="D19" i="72"/>
  <c r="H63" i="89"/>
  <c r="J38" i="92" s="1"/>
  <c r="N24" i="74"/>
  <c r="N29" i="74"/>
  <c r="O27" i="74"/>
  <c r="N51" i="74"/>
  <c r="O51" i="74" s="1"/>
  <c r="N33" i="74"/>
  <c r="O33" i="73"/>
  <c r="N25" i="73"/>
  <c r="O24" i="74"/>
  <c r="E5" i="72"/>
  <c r="E49" i="72" s="1"/>
  <c r="E5" i="91"/>
  <c r="E71" i="91" s="1"/>
  <c r="N33" i="73"/>
  <c r="N24" i="73"/>
  <c r="N51" i="73"/>
  <c r="O51" i="73" s="1"/>
  <c r="N27" i="74"/>
  <c r="G25" i="64"/>
  <c r="K25" i="64"/>
  <c r="G29" i="64"/>
  <c r="K29" i="64"/>
  <c r="G33" i="64"/>
  <c r="K33" i="64"/>
  <c r="K26" i="64"/>
  <c r="G26" i="64"/>
  <c r="K30" i="64"/>
  <c r="G30" i="64"/>
  <c r="K34" i="64"/>
  <c r="G34" i="64"/>
  <c r="K39" i="64"/>
  <c r="G39" i="64"/>
  <c r="K41" i="64"/>
  <c r="G41" i="64"/>
  <c r="K43" i="64"/>
  <c r="G43" i="64"/>
  <c r="K51" i="64"/>
  <c r="G51" i="64"/>
  <c r="K23" i="64"/>
  <c r="G23" i="64"/>
  <c r="H23" i="64" s="1"/>
  <c r="K27" i="64"/>
  <c r="G27" i="64"/>
  <c r="K31" i="64"/>
  <c r="G31" i="64"/>
  <c r="G24" i="64"/>
  <c r="K24" i="64"/>
  <c r="G28" i="64"/>
  <c r="K28" i="64"/>
  <c r="G32" i="64"/>
  <c r="K32" i="64"/>
  <c r="K37" i="64"/>
  <c r="G37" i="64"/>
  <c r="K40" i="64"/>
  <c r="G40" i="64"/>
  <c r="K42" i="64"/>
  <c r="G42" i="64"/>
  <c r="G44" i="64"/>
  <c r="K44" i="64"/>
  <c r="O30" i="73"/>
  <c r="F5" i="92"/>
  <c r="N29" i="73"/>
  <c r="F14" i="91"/>
  <c r="F58" i="91" s="1"/>
  <c r="N26" i="74"/>
  <c r="D20" i="72"/>
  <c r="F13" i="72"/>
  <c r="G49" i="73"/>
  <c r="F39" i="91"/>
  <c r="F61" i="91" s="1"/>
  <c r="N56" i="85"/>
  <c r="O56" i="85"/>
  <c r="N67" i="85"/>
  <c r="F17" i="72"/>
  <c r="F83" i="72" s="1"/>
  <c r="S52" i="76"/>
  <c r="D29" i="91" s="1"/>
  <c r="F64" i="72"/>
  <c r="H48" i="73"/>
  <c r="G53" i="73"/>
  <c r="H53" i="73" s="1"/>
  <c r="O56" i="82"/>
  <c r="F4" i="91"/>
  <c r="F4" i="72"/>
  <c r="F8" i="91"/>
  <c r="F8" i="72"/>
  <c r="F15" i="91"/>
  <c r="F15" i="72"/>
  <c r="C12" i="91"/>
  <c r="C12" i="72"/>
  <c r="C9" i="91"/>
  <c r="C9" i="72"/>
  <c r="D63" i="91"/>
  <c r="D85" i="91"/>
  <c r="F2" i="91"/>
  <c r="F2" i="72"/>
  <c r="C8" i="91"/>
  <c r="C8" i="72"/>
  <c r="C13" i="91"/>
  <c r="C13" i="72"/>
  <c r="D14" i="91"/>
  <c r="D80" i="91" s="1"/>
  <c r="D14" i="72"/>
  <c r="C15" i="91"/>
  <c r="C15" i="72"/>
  <c r="B17" i="91"/>
  <c r="B17" i="72"/>
  <c r="F16" i="91"/>
  <c r="F16" i="72"/>
  <c r="H62" i="87"/>
  <c r="C16" i="91"/>
  <c r="C16" i="72"/>
  <c r="F71" i="72"/>
  <c r="F49" i="72"/>
  <c r="B5" i="91"/>
  <c r="B5" i="72"/>
  <c r="F7" i="91"/>
  <c r="F7" i="72"/>
  <c r="F10" i="91"/>
  <c r="F10" i="72"/>
  <c r="D20" i="91"/>
  <c r="D86" i="91" s="1"/>
  <c r="C14" i="91"/>
  <c r="C14" i="72"/>
  <c r="F71" i="91"/>
  <c r="F49" i="91"/>
  <c r="F11" i="91"/>
  <c r="F11" i="72"/>
  <c r="F26" i="91"/>
  <c r="F26" i="72"/>
  <c r="F24" i="91"/>
  <c r="F24" i="72"/>
  <c r="C7" i="91"/>
  <c r="C7" i="72"/>
  <c r="H52" i="76"/>
  <c r="F9" i="91"/>
  <c r="F9" i="72"/>
  <c r="C11" i="91"/>
  <c r="C11" i="72"/>
  <c r="F12" i="91"/>
  <c r="F12" i="72"/>
  <c r="F38" i="91"/>
  <c r="F38" i="72"/>
  <c r="F86" i="91"/>
  <c r="S49" i="73"/>
  <c r="S50" i="73" s="1"/>
  <c r="D24" i="91" s="1"/>
  <c r="S49" i="74"/>
  <c r="S48" i="74"/>
  <c r="F34" i="72"/>
  <c r="F34" i="91"/>
  <c r="F32" i="72"/>
  <c r="F32" i="91"/>
  <c r="F57" i="91"/>
  <c r="F79" i="91"/>
  <c r="E24" i="72"/>
  <c r="E24" i="91"/>
  <c r="E26" i="72"/>
  <c r="E26" i="91"/>
  <c r="F29" i="72"/>
  <c r="F29" i="91"/>
  <c r="O56" i="79"/>
  <c r="S50" i="64"/>
  <c r="D25" i="91" s="1"/>
  <c r="F31" i="72"/>
  <c r="F31" i="91"/>
  <c r="F30" i="72"/>
  <c r="F30" i="91"/>
  <c r="F37" i="72"/>
  <c r="F37" i="91"/>
  <c r="F33" i="72"/>
  <c r="F33" i="91"/>
  <c r="S50" i="75"/>
  <c r="D27" i="91" s="1"/>
  <c r="D16" i="91"/>
  <c r="D16" i="72"/>
  <c r="H68" i="87"/>
  <c r="G20" i="72" s="1"/>
  <c r="D9" i="91"/>
  <c r="D9" i="72"/>
  <c r="N56" i="79"/>
  <c r="F35" i="72"/>
  <c r="N56" i="80"/>
  <c r="F36" i="72"/>
  <c r="O56" i="86"/>
  <c r="N66" i="86"/>
  <c r="L67" i="86"/>
  <c r="L68" i="86"/>
  <c r="H62" i="86"/>
  <c r="J12" i="92" s="1"/>
  <c r="F24" i="92" s="1"/>
  <c r="N56" i="86"/>
  <c r="O66" i="86"/>
  <c r="H67" i="86"/>
  <c r="H68" i="86"/>
  <c r="N56" i="82"/>
  <c r="O56" i="80"/>
  <c r="O67" i="85"/>
  <c r="O68" i="85"/>
  <c r="L69" i="85"/>
  <c r="H71" i="85"/>
  <c r="N56" i="84"/>
  <c r="O55" i="81"/>
  <c r="O66" i="84"/>
  <c r="H67" i="84"/>
  <c r="H68" i="84"/>
  <c r="N66" i="84"/>
  <c r="L67" i="84"/>
  <c r="L68" i="84"/>
  <c r="O56" i="84"/>
  <c r="N56" i="83"/>
  <c r="N66" i="83"/>
  <c r="L67" i="83"/>
  <c r="L68" i="83"/>
  <c r="H50" i="83"/>
  <c r="O66" i="83"/>
  <c r="H67" i="83"/>
  <c r="H68" i="83"/>
  <c r="O56" i="83"/>
  <c r="H50" i="82"/>
  <c r="H71" i="82"/>
  <c r="O65" i="81"/>
  <c r="H66" i="81"/>
  <c r="H67" i="81"/>
  <c r="N65" i="81"/>
  <c r="L66" i="81"/>
  <c r="L67" i="81"/>
  <c r="N55" i="81"/>
  <c r="H62" i="80"/>
  <c r="J43" i="92" s="1"/>
  <c r="H50" i="79"/>
  <c r="O56" i="78"/>
  <c r="O66" i="78"/>
  <c r="H67" i="78"/>
  <c r="H68" i="78"/>
  <c r="N66" i="78"/>
  <c r="L67" i="78"/>
  <c r="L68" i="78"/>
  <c r="N56" i="78"/>
  <c r="H50" i="78"/>
  <c r="N56" i="77"/>
  <c r="O24" i="73"/>
  <c r="N38" i="75"/>
  <c r="O38" i="75" s="1"/>
  <c r="N40" i="73"/>
  <c r="O40" i="73" s="1"/>
  <c r="N66" i="77"/>
  <c r="L67" i="77"/>
  <c r="L68" i="77"/>
  <c r="H62" i="77"/>
  <c r="J37" i="92" s="1"/>
  <c r="O66" i="77"/>
  <c r="H67" i="77"/>
  <c r="H68" i="77"/>
  <c r="O56" i="77"/>
  <c r="N58" i="76"/>
  <c r="L70" i="76"/>
  <c r="L69" i="76"/>
  <c r="N68" i="76"/>
  <c r="O58" i="76"/>
  <c r="H69" i="76"/>
  <c r="O68" i="76"/>
  <c r="H70" i="76"/>
  <c r="L38" i="73"/>
  <c r="O59" i="73"/>
  <c r="N30" i="73"/>
  <c r="H38" i="73"/>
  <c r="N56" i="73"/>
  <c r="O56" i="73" s="1"/>
  <c r="O28" i="73"/>
  <c r="O59" i="74"/>
  <c r="O25" i="73"/>
  <c r="N34" i="74"/>
  <c r="N57" i="73"/>
  <c r="O57" i="73" s="1"/>
  <c r="N43" i="73"/>
  <c r="O26" i="73"/>
  <c r="L38" i="74"/>
  <c r="N39" i="73"/>
  <c r="O39" i="73" s="1"/>
  <c r="N34" i="73"/>
  <c r="N26" i="73"/>
  <c r="O58" i="73"/>
  <c r="N52" i="73"/>
  <c r="O52" i="73" s="1"/>
  <c r="O34" i="73"/>
  <c r="O33" i="74"/>
  <c r="N30" i="74"/>
  <c r="O40" i="74"/>
  <c r="O29" i="73"/>
  <c r="N28" i="73"/>
  <c r="N58" i="73"/>
  <c r="N59" i="73"/>
  <c r="N56" i="74"/>
  <c r="O56" i="74" s="1"/>
  <c r="O26" i="74"/>
  <c r="N43" i="74"/>
  <c r="O43" i="74"/>
  <c r="N59" i="74"/>
  <c r="N58" i="74"/>
  <c r="O58" i="74" s="1"/>
  <c r="H48" i="74"/>
  <c r="G52" i="74"/>
  <c r="H52" i="74" s="1"/>
  <c r="G53" i="74"/>
  <c r="H53" i="74" s="1"/>
  <c r="G49" i="74"/>
  <c r="H38" i="74"/>
  <c r="H36" i="74"/>
  <c r="O30" i="74"/>
  <c r="N60" i="74"/>
  <c r="O29" i="74"/>
  <c r="O34" i="74"/>
  <c r="N55" i="73"/>
  <c r="O55" i="73" s="1"/>
  <c r="H47" i="73" l="1"/>
  <c r="H47" i="74"/>
  <c r="L69" i="82"/>
  <c r="N69" i="82" s="1"/>
  <c r="O67" i="82"/>
  <c r="O68" i="82"/>
  <c r="N67" i="82"/>
  <c r="N66" i="79"/>
  <c r="O66" i="79"/>
  <c r="L68" i="79"/>
  <c r="L67" i="79"/>
  <c r="L67" i="80"/>
  <c r="N66" i="80"/>
  <c r="O66" i="80"/>
  <c r="L68" i="80"/>
  <c r="H65" i="89"/>
  <c r="H64" i="89"/>
  <c r="E71" i="72"/>
  <c r="E49" i="91"/>
  <c r="H49" i="74"/>
  <c r="G54" i="74"/>
  <c r="H54" i="74" s="1"/>
  <c r="N54" i="74" s="1"/>
  <c r="O54" i="74" s="1"/>
  <c r="H49" i="73"/>
  <c r="H50" i="73" s="1"/>
  <c r="G54" i="73"/>
  <c r="H54" i="73" s="1"/>
  <c r="N54" i="73" s="1"/>
  <c r="O54" i="73" s="1"/>
  <c r="H63" i="87"/>
  <c r="H64" i="87" s="1"/>
  <c r="J39" i="92"/>
  <c r="F80" i="91"/>
  <c r="O68" i="83"/>
  <c r="F83" i="91"/>
  <c r="H20" i="72"/>
  <c r="F68" i="91"/>
  <c r="F74" i="72"/>
  <c r="D64" i="91"/>
  <c r="F73" i="72"/>
  <c r="F61" i="72"/>
  <c r="N38" i="73"/>
  <c r="O38" i="73" s="1"/>
  <c r="F51" i="72"/>
  <c r="F52" i="72"/>
  <c r="D58" i="91"/>
  <c r="F75" i="72"/>
  <c r="F48" i="91"/>
  <c r="F77" i="72"/>
  <c r="N53" i="73"/>
  <c r="O53" i="73" s="1"/>
  <c r="F55" i="72"/>
  <c r="F81" i="72"/>
  <c r="F60" i="72"/>
  <c r="F78" i="72"/>
  <c r="F76" i="72"/>
  <c r="F70" i="91"/>
  <c r="B4" i="91"/>
  <c r="B4" i="72"/>
  <c r="H50" i="85"/>
  <c r="D17" i="91" s="1"/>
  <c r="C17" i="91"/>
  <c r="C17" i="72"/>
  <c r="F54" i="72"/>
  <c r="F46" i="72"/>
  <c r="F68" i="72"/>
  <c r="D7" i="91"/>
  <c r="D7" i="72"/>
  <c r="F82" i="72"/>
  <c r="C5" i="91"/>
  <c r="C5" i="72"/>
  <c r="F56" i="72"/>
  <c r="F82" i="91"/>
  <c r="F60" i="91"/>
  <c r="F70" i="72"/>
  <c r="F48" i="72"/>
  <c r="F46" i="91"/>
  <c r="D13" i="91"/>
  <c r="D13" i="72"/>
  <c r="D15" i="91"/>
  <c r="D15" i="72"/>
  <c r="F77" i="91"/>
  <c r="F55" i="91"/>
  <c r="F81" i="91"/>
  <c r="F59" i="91"/>
  <c r="F78" i="91"/>
  <c r="F56" i="91"/>
  <c r="F53" i="72"/>
  <c r="F52" i="91"/>
  <c r="F74" i="91"/>
  <c r="F73" i="91"/>
  <c r="F51" i="91"/>
  <c r="F59" i="72"/>
  <c r="F76" i="91"/>
  <c r="F54" i="91"/>
  <c r="S50" i="74"/>
  <c r="D26" i="91" s="1"/>
  <c r="F53" i="91"/>
  <c r="F75" i="91"/>
  <c r="D60" i="91"/>
  <c r="D82" i="91"/>
  <c r="B2" i="91"/>
  <c r="B2" i="72"/>
  <c r="D8" i="91"/>
  <c r="D8" i="72"/>
  <c r="H62" i="83"/>
  <c r="J13" i="92" s="1"/>
  <c r="D12" i="91"/>
  <c r="D12" i="72"/>
  <c r="D11" i="91"/>
  <c r="D11" i="72"/>
  <c r="H69" i="87"/>
  <c r="H70" i="87" s="1"/>
  <c r="G20" i="91"/>
  <c r="H20" i="91" s="1"/>
  <c r="D75" i="91"/>
  <c r="D53" i="91"/>
  <c r="F80" i="72"/>
  <c r="F58" i="72"/>
  <c r="F57" i="72"/>
  <c r="F79" i="72"/>
  <c r="L69" i="86"/>
  <c r="L70" i="86" s="1"/>
  <c r="O67" i="86"/>
  <c r="O68" i="86"/>
  <c r="H63" i="86"/>
  <c r="H69" i="86"/>
  <c r="N68" i="86"/>
  <c r="N67" i="86"/>
  <c r="L70" i="85"/>
  <c r="L71" i="85" s="1"/>
  <c r="N71" i="85" s="1"/>
  <c r="N69" i="85"/>
  <c r="O69" i="85"/>
  <c r="N67" i="84"/>
  <c r="N68" i="84"/>
  <c r="H69" i="84"/>
  <c r="L69" i="84"/>
  <c r="L70" i="84" s="1"/>
  <c r="L71" i="84" s="1"/>
  <c r="O68" i="84"/>
  <c r="O67" i="84"/>
  <c r="O67" i="83"/>
  <c r="L69" i="83"/>
  <c r="L70" i="83" s="1"/>
  <c r="L71" i="83" s="1"/>
  <c r="H69" i="83"/>
  <c r="N68" i="83"/>
  <c r="N67" i="83"/>
  <c r="H62" i="82"/>
  <c r="J14" i="92" s="1"/>
  <c r="H68" i="81"/>
  <c r="N66" i="81"/>
  <c r="O67" i="81"/>
  <c r="L68" i="81"/>
  <c r="J41" i="92"/>
  <c r="N67" i="81"/>
  <c r="O66" i="81"/>
  <c r="H63" i="80"/>
  <c r="H62" i="79"/>
  <c r="J42" i="92" s="1"/>
  <c r="N67" i="78"/>
  <c r="N68" i="78"/>
  <c r="H62" i="78"/>
  <c r="J9" i="92" s="1"/>
  <c r="F21" i="92" s="1"/>
  <c r="O68" i="78"/>
  <c r="O67" i="78"/>
  <c r="L69" i="78"/>
  <c r="H69" i="78"/>
  <c r="L69" i="77"/>
  <c r="L70" i="77" s="1"/>
  <c r="O68" i="77"/>
  <c r="N52" i="74"/>
  <c r="O52" i="74" s="1"/>
  <c r="O67" i="77"/>
  <c r="H69" i="77"/>
  <c r="H63" i="77"/>
  <c r="N68" i="77"/>
  <c r="N67" i="77"/>
  <c r="O69" i="76"/>
  <c r="N70" i="76"/>
  <c r="O70" i="76"/>
  <c r="N69" i="76"/>
  <c r="H71" i="76"/>
  <c r="L71" i="76"/>
  <c r="H64" i="76"/>
  <c r="H50" i="75"/>
  <c r="N38" i="74"/>
  <c r="O38" i="74" s="1"/>
  <c r="N53" i="74"/>
  <c r="O53" i="74" s="1"/>
  <c r="J62" i="67"/>
  <c r="L62" i="67" s="1"/>
  <c r="J61" i="67"/>
  <c r="L61" i="67" s="1"/>
  <c r="H24" i="67"/>
  <c r="H23" i="67"/>
  <c r="F17" i="67"/>
  <c r="O60" i="64"/>
  <c r="N60" i="64"/>
  <c r="J60" i="64"/>
  <c r="H59" i="64"/>
  <c r="K58" i="64"/>
  <c r="K57" i="64"/>
  <c r="H56" i="64"/>
  <c r="H55" i="64"/>
  <c r="L54" i="64"/>
  <c r="G48" i="64"/>
  <c r="G53" i="64" s="1"/>
  <c r="H53" i="64" s="1"/>
  <c r="H44" i="64"/>
  <c r="L43" i="64"/>
  <c r="N43" i="64" s="1"/>
  <c r="H42" i="64"/>
  <c r="H41" i="64"/>
  <c r="H40" i="64"/>
  <c r="H39" i="64"/>
  <c r="K38" i="64"/>
  <c r="L34" i="64"/>
  <c r="H34" i="64"/>
  <c r="L33" i="64"/>
  <c r="H33" i="64"/>
  <c r="H32" i="64"/>
  <c r="H31" i="64"/>
  <c r="H30" i="64"/>
  <c r="H37" i="64"/>
  <c r="L28" i="64"/>
  <c r="H28" i="64"/>
  <c r="H27" i="64"/>
  <c r="L26" i="64"/>
  <c r="H26" i="64"/>
  <c r="L25" i="64"/>
  <c r="H25" i="64"/>
  <c r="F32" i="92" s="1"/>
  <c r="L24" i="64"/>
  <c r="H24" i="64"/>
  <c r="G35" i="67" l="1"/>
  <c r="H35" i="67" s="1"/>
  <c r="K35" i="67"/>
  <c r="L35" i="67" s="1"/>
  <c r="N35" i="67" s="1"/>
  <c r="E8" i="92"/>
  <c r="K45" i="67"/>
  <c r="G45" i="67"/>
  <c r="H45" i="67" s="1"/>
  <c r="K42" i="67"/>
  <c r="K48" i="67"/>
  <c r="G29" i="67"/>
  <c r="G40" i="67"/>
  <c r="G26" i="67"/>
  <c r="G34" i="67"/>
  <c r="K41" i="67"/>
  <c r="K27" i="67"/>
  <c r="K43" i="67"/>
  <c r="K50" i="67"/>
  <c r="K37" i="67"/>
  <c r="G41" i="67"/>
  <c r="G27" i="67"/>
  <c r="G43" i="67"/>
  <c r="G50" i="67"/>
  <c r="G37" i="67"/>
  <c r="K25" i="67"/>
  <c r="K31" i="67"/>
  <c r="G42" i="67"/>
  <c r="G48" i="67"/>
  <c r="K29" i="67"/>
  <c r="K40" i="67"/>
  <c r="K26" i="67"/>
  <c r="K34" i="67"/>
  <c r="G25" i="67"/>
  <c r="G31" i="67"/>
  <c r="H62" i="73"/>
  <c r="O69" i="82"/>
  <c r="L70" i="82"/>
  <c r="L71" i="82" s="1"/>
  <c r="N71" i="82" s="1"/>
  <c r="O68" i="79"/>
  <c r="N68" i="79"/>
  <c r="N67" i="80"/>
  <c r="O67" i="80"/>
  <c r="L69" i="80"/>
  <c r="O68" i="80"/>
  <c r="N68" i="80"/>
  <c r="N67" i="79"/>
  <c r="L69" i="79"/>
  <c r="O67" i="79"/>
  <c r="G19" i="91"/>
  <c r="H19" i="91" s="1"/>
  <c r="H66" i="89"/>
  <c r="G19" i="72"/>
  <c r="H19" i="72" s="1"/>
  <c r="E2" i="91"/>
  <c r="E46" i="91" s="1"/>
  <c r="E4" i="72"/>
  <c r="E48" i="72" s="1"/>
  <c r="E2" i="72"/>
  <c r="E68" i="72" s="1"/>
  <c r="E4" i="91"/>
  <c r="E48" i="91" s="1"/>
  <c r="J36" i="92"/>
  <c r="F26" i="92"/>
  <c r="F25" i="92"/>
  <c r="D17" i="72"/>
  <c r="H62" i="85"/>
  <c r="C4" i="91"/>
  <c r="C4" i="72"/>
  <c r="G14" i="91"/>
  <c r="H14" i="91" s="1"/>
  <c r="G14" i="72"/>
  <c r="H14" i="72" s="1"/>
  <c r="D5" i="91"/>
  <c r="D5" i="72"/>
  <c r="D51" i="91"/>
  <c r="D73" i="91"/>
  <c r="D57" i="91"/>
  <c r="D79" i="91"/>
  <c r="D59" i="91"/>
  <c r="D81" i="91"/>
  <c r="H64" i="86"/>
  <c r="G16" i="91"/>
  <c r="H16" i="91" s="1"/>
  <c r="G16" i="72"/>
  <c r="H16" i="72" s="1"/>
  <c r="C2" i="91"/>
  <c r="C2" i="72"/>
  <c r="D52" i="91"/>
  <c r="D74" i="91"/>
  <c r="D78" i="91"/>
  <c r="D56" i="91"/>
  <c r="D77" i="91"/>
  <c r="D55" i="91"/>
  <c r="D61" i="91"/>
  <c r="D83" i="91"/>
  <c r="H71" i="87"/>
  <c r="H64" i="77"/>
  <c r="G9" i="91"/>
  <c r="H9" i="91" s="1"/>
  <c r="G9" i="72"/>
  <c r="H9" i="72" s="1"/>
  <c r="O69" i="77"/>
  <c r="N69" i="86"/>
  <c r="O69" i="86"/>
  <c r="H70" i="86"/>
  <c r="O70" i="86" s="1"/>
  <c r="L71" i="86"/>
  <c r="N70" i="85"/>
  <c r="O70" i="85"/>
  <c r="O71" i="85"/>
  <c r="O69" i="84"/>
  <c r="H70" i="84"/>
  <c r="H71" i="84" s="1"/>
  <c r="O71" i="84" s="1"/>
  <c r="N69" i="84"/>
  <c r="O69" i="83"/>
  <c r="H70" i="83"/>
  <c r="O70" i="83" s="1"/>
  <c r="H63" i="83"/>
  <c r="N69" i="83"/>
  <c r="H63" i="82"/>
  <c r="O68" i="81"/>
  <c r="H69" i="81"/>
  <c r="H70" i="81" s="1"/>
  <c r="H62" i="81"/>
  <c r="N68" i="81"/>
  <c r="L69" i="81"/>
  <c r="H64" i="80"/>
  <c r="H63" i="79"/>
  <c r="O69" i="78"/>
  <c r="H70" i="78"/>
  <c r="H71" i="78" s="1"/>
  <c r="H63" i="78"/>
  <c r="N69" i="78"/>
  <c r="L70" i="78"/>
  <c r="N69" i="77"/>
  <c r="H70" i="77"/>
  <c r="H71" i="77" s="1"/>
  <c r="L71" i="77"/>
  <c r="L72" i="76"/>
  <c r="N71" i="76"/>
  <c r="H72" i="76"/>
  <c r="H73" i="76" s="1"/>
  <c r="O71" i="76"/>
  <c r="H65" i="76"/>
  <c r="O24" i="67"/>
  <c r="N24" i="67"/>
  <c r="S48" i="67"/>
  <c r="L26" i="67"/>
  <c r="L34" i="67"/>
  <c r="L41" i="67"/>
  <c r="L29" i="67"/>
  <c r="H41" i="67"/>
  <c r="H40" i="67"/>
  <c r="H43" i="67"/>
  <c r="H42" i="67"/>
  <c r="N57" i="67"/>
  <c r="O57" i="67" s="1"/>
  <c r="H56" i="67"/>
  <c r="N56" i="67" s="1"/>
  <c r="O56" i="67" s="1"/>
  <c r="H26" i="67"/>
  <c r="H25" i="67"/>
  <c r="F8" i="92" s="1"/>
  <c r="H29" i="67"/>
  <c r="H34" i="67"/>
  <c r="H27" i="67"/>
  <c r="H63" i="75"/>
  <c r="O25" i="64"/>
  <c r="O34" i="64"/>
  <c r="N26" i="64"/>
  <c r="N28" i="64"/>
  <c r="N33" i="64"/>
  <c r="N25" i="64"/>
  <c r="N34" i="64"/>
  <c r="O26" i="64"/>
  <c r="O28" i="64"/>
  <c r="O33" i="64"/>
  <c r="H50" i="74"/>
  <c r="O24" i="64"/>
  <c r="N24" i="64"/>
  <c r="G49" i="64"/>
  <c r="K56" i="64"/>
  <c r="L56" i="64" s="1"/>
  <c r="N56" i="64" s="1"/>
  <c r="L57" i="64"/>
  <c r="H38" i="64"/>
  <c r="H58" i="64"/>
  <c r="O43" i="64"/>
  <c r="H48" i="64"/>
  <c r="L51" i="64"/>
  <c r="L53" i="64"/>
  <c r="N53" i="64" s="1"/>
  <c r="G52" i="64"/>
  <c r="H52" i="64" s="1"/>
  <c r="J59" i="67"/>
  <c r="L59" i="67" s="1"/>
  <c r="L68" i="67" s="1"/>
  <c r="H29" i="64"/>
  <c r="L40" i="64"/>
  <c r="N40" i="64" s="1"/>
  <c r="L30" i="64"/>
  <c r="N30" i="64" s="1"/>
  <c r="L39" i="64"/>
  <c r="N39" i="64" s="1"/>
  <c r="L29" i="64"/>
  <c r="J60" i="67"/>
  <c r="L60" i="67" s="1"/>
  <c r="L58" i="64"/>
  <c r="L38" i="64"/>
  <c r="H51" i="64"/>
  <c r="K55" i="64"/>
  <c r="L55" i="64" s="1"/>
  <c r="H57" i="64"/>
  <c r="K59" i="64"/>
  <c r="L59" i="64" s="1"/>
  <c r="N59" i="64" s="1"/>
  <c r="L52" i="64"/>
  <c r="H32" i="67"/>
  <c r="H30" i="67"/>
  <c r="H28" i="67"/>
  <c r="H33" i="67"/>
  <c r="H53" i="67"/>
  <c r="L53" i="67"/>
  <c r="H54" i="67"/>
  <c r="H55" i="67"/>
  <c r="O35" i="67" l="1"/>
  <c r="N70" i="82"/>
  <c r="O70" i="82"/>
  <c r="O71" i="82"/>
  <c r="N69" i="79"/>
  <c r="L70" i="79"/>
  <c r="O69" i="79"/>
  <c r="N69" i="80"/>
  <c r="O69" i="80"/>
  <c r="L70" i="80"/>
  <c r="E68" i="91"/>
  <c r="E70" i="72"/>
  <c r="E46" i="72"/>
  <c r="E70" i="91"/>
  <c r="H49" i="64"/>
  <c r="G54" i="64"/>
  <c r="H54" i="64" s="1"/>
  <c r="N54" i="64" s="1"/>
  <c r="O54" i="64" s="1"/>
  <c r="O34" i="67"/>
  <c r="J34" i="92"/>
  <c r="H63" i="85"/>
  <c r="G17" i="72" s="1"/>
  <c r="H17" i="72" s="1"/>
  <c r="J40" i="92"/>
  <c r="F3" i="91"/>
  <c r="F3" i="72"/>
  <c r="E6" i="91"/>
  <c r="E6" i="72"/>
  <c r="N55" i="64"/>
  <c r="O55" i="64" s="1"/>
  <c r="F25" i="91"/>
  <c r="F25" i="72"/>
  <c r="E28" i="72"/>
  <c r="E28" i="91"/>
  <c r="D71" i="91"/>
  <c r="D49" i="91"/>
  <c r="G13" i="91"/>
  <c r="H13" i="91" s="1"/>
  <c r="G13" i="72"/>
  <c r="H13" i="72" s="1"/>
  <c r="H63" i="81"/>
  <c r="G15" i="91"/>
  <c r="H15" i="91" s="1"/>
  <c r="G15" i="72"/>
  <c r="H15" i="72" s="1"/>
  <c r="F28" i="72"/>
  <c r="F28" i="91"/>
  <c r="E25" i="91"/>
  <c r="D2" i="91"/>
  <c r="D2" i="72"/>
  <c r="H64" i="78"/>
  <c r="G8" i="91"/>
  <c r="H8" i="91" s="1"/>
  <c r="G8" i="72"/>
  <c r="H8" i="72" s="1"/>
  <c r="D4" i="91"/>
  <c r="H63" i="74"/>
  <c r="D4" i="72"/>
  <c r="G12" i="91"/>
  <c r="H12" i="91" s="1"/>
  <c r="G12" i="72"/>
  <c r="H12" i="72" s="1"/>
  <c r="G11" i="91"/>
  <c r="H11" i="91" s="1"/>
  <c r="G11" i="72"/>
  <c r="H11" i="72" s="1"/>
  <c r="H66" i="76"/>
  <c r="G7" i="91"/>
  <c r="G7" i="72"/>
  <c r="H7" i="72" s="1"/>
  <c r="E25" i="72"/>
  <c r="N70" i="86"/>
  <c r="H71" i="86"/>
  <c r="O71" i="86" s="1"/>
  <c r="N70" i="78"/>
  <c r="O70" i="84"/>
  <c r="N70" i="84"/>
  <c r="N71" i="84"/>
  <c r="H71" i="83"/>
  <c r="O71" i="83" s="1"/>
  <c r="N70" i="83"/>
  <c r="H64" i="83"/>
  <c r="H64" i="82"/>
  <c r="N69" i="81"/>
  <c r="L70" i="81"/>
  <c r="O69" i="81"/>
  <c r="O26" i="67"/>
  <c r="O41" i="67"/>
  <c r="H64" i="79"/>
  <c r="L71" i="78"/>
  <c r="N71" i="78" s="1"/>
  <c r="O70" i="78"/>
  <c r="O70" i="77"/>
  <c r="N70" i="77"/>
  <c r="N71" i="77"/>
  <c r="O71" i="77"/>
  <c r="N29" i="67"/>
  <c r="N72" i="76"/>
  <c r="O72" i="76"/>
  <c r="L73" i="76"/>
  <c r="N73" i="76" s="1"/>
  <c r="O33" i="67"/>
  <c r="N33" i="67"/>
  <c r="H50" i="67"/>
  <c r="H51" i="67"/>
  <c r="O28" i="67"/>
  <c r="N28" i="67"/>
  <c r="N34" i="67"/>
  <c r="O30" i="67"/>
  <c r="N30" i="67"/>
  <c r="O29" i="67"/>
  <c r="N41" i="67"/>
  <c r="N26" i="67"/>
  <c r="H59" i="67"/>
  <c r="O59" i="67" s="1"/>
  <c r="H60" i="67"/>
  <c r="O60" i="67" s="1"/>
  <c r="H61" i="67"/>
  <c r="N61" i="67" s="1"/>
  <c r="O61" i="67" s="1"/>
  <c r="H62" i="67"/>
  <c r="H49" i="67"/>
  <c r="H48" i="67"/>
  <c r="H31" i="67"/>
  <c r="H37" i="67"/>
  <c r="H65" i="75"/>
  <c r="H64" i="75"/>
  <c r="O30" i="64"/>
  <c r="N29" i="64"/>
  <c r="O29" i="64" s="1"/>
  <c r="O40" i="64"/>
  <c r="O39" i="64"/>
  <c r="N38" i="64"/>
  <c r="O38" i="64" s="1"/>
  <c r="N52" i="64"/>
  <c r="O52" i="64" s="1"/>
  <c r="N51" i="64"/>
  <c r="O51" i="64" s="1"/>
  <c r="O53" i="64"/>
  <c r="O56" i="64"/>
  <c r="N58" i="64"/>
  <c r="O58" i="64" s="1"/>
  <c r="O59" i="64"/>
  <c r="H36" i="64"/>
  <c r="H47" i="64" s="1"/>
  <c r="H50" i="64" s="1"/>
  <c r="N53" i="67"/>
  <c r="O53" i="67" s="1"/>
  <c r="N57" i="64"/>
  <c r="O57" i="64" s="1"/>
  <c r="N54" i="67"/>
  <c r="O54" i="67" s="1"/>
  <c r="N55" i="67"/>
  <c r="O55" i="67" s="1"/>
  <c r="H62" i="64" l="1"/>
  <c r="L71" i="80"/>
  <c r="N70" i="80"/>
  <c r="O70" i="80"/>
  <c r="N70" i="79"/>
  <c r="L71" i="79"/>
  <c r="O70" i="79"/>
  <c r="E3" i="72"/>
  <c r="E69" i="72" s="1"/>
  <c r="E3" i="91"/>
  <c r="E69" i="91" s="1"/>
  <c r="G17" i="91"/>
  <c r="H17" i="91" s="1"/>
  <c r="H64" i="85"/>
  <c r="N62" i="67"/>
  <c r="O62" i="67" s="1"/>
  <c r="J5" i="92"/>
  <c r="F18" i="92" s="1"/>
  <c r="J7" i="92"/>
  <c r="F19" i="92" s="1"/>
  <c r="S50" i="67"/>
  <c r="S51" i="67"/>
  <c r="S49" i="67"/>
  <c r="E72" i="72"/>
  <c r="E50" i="72"/>
  <c r="F47" i="91"/>
  <c r="F69" i="91"/>
  <c r="G5" i="91"/>
  <c r="H5" i="91" s="1"/>
  <c r="G5" i="72"/>
  <c r="H5" i="72" s="1"/>
  <c r="F47" i="72"/>
  <c r="F69" i="72"/>
  <c r="E72" i="91"/>
  <c r="E50" i="91"/>
  <c r="D68" i="91"/>
  <c r="D46" i="91"/>
  <c r="D48" i="91"/>
  <c r="D70" i="91"/>
  <c r="B3" i="91"/>
  <c r="B3" i="72"/>
  <c r="H7" i="91"/>
  <c r="N71" i="86"/>
  <c r="N71" i="83"/>
  <c r="N70" i="81"/>
  <c r="O70" i="81"/>
  <c r="O71" i="78"/>
  <c r="N60" i="67"/>
  <c r="O73" i="76"/>
  <c r="H58" i="67"/>
  <c r="H68" i="67"/>
  <c r="H36" i="67"/>
  <c r="H47" i="67" s="1"/>
  <c r="N59" i="67"/>
  <c r="H66" i="75"/>
  <c r="H64" i="74"/>
  <c r="H65" i="74"/>
  <c r="H64" i="73"/>
  <c r="H63" i="73"/>
  <c r="H52" i="67" l="1"/>
  <c r="E47" i="72"/>
  <c r="O71" i="79"/>
  <c r="N71" i="79"/>
  <c r="O71" i="80"/>
  <c r="N71" i="80"/>
  <c r="E47" i="91"/>
  <c r="S52" i="67"/>
  <c r="D28" i="91" s="1"/>
  <c r="F6" i="91"/>
  <c r="F6" i="72"/>
  <c r="B6" i="91"/>
  <c r="B6" i="72"/>
  <c r="G2" i="91"/>
  <c r="H2" i="91" s="1"/>
  <c r="G2" i="72"/>
  <c r="H2" i="72" s="1"/>
  <c r="G4" i="91"/>
  <c r="H4" i="91" s="1"/>
  <c r="G4" i="72"/>
  <c r="H4" i="72" s="1"/>
  <c r="D3" i="91"/>
  <c r="D3" i="72"/>
  <c r="C3" i="91"/>
  <c r="C3" i="72"/>
  <c r="H66" i="74"/>
  <c r="O58" i="67"/>
  <c r="N58" i="67"/>
  <c r="L70" i="67"/>
  <c r="L69" i="67"/>
  <c r="H70" i="67"/>
  <c r="H69" i="67"/>
  <c r="H65" i="73"/>
  <c r="J32" i="92" l="1"/>
  <c r="H64" i="67"/>
  <c r="F72" i="91"/>
  <c r="F50" i="91"/>
  <c r="C6" i="91"/>
  <c r="C6" i="72"/>
  <c r="F50" i="72"/>
  <c r="F72" i="72"/>
  <c r="D69" i="91"/>
  <c r="D47" i="91"/>
  <c r="H71" i="67"/>
  <c r="N70" i="67"/>
  <c r="O70" i="67" s="1"/>
  <c r="L71" i="67"/>
  <c r="L72" i="67" s="1"/>
  <c r="L73" i="67" s="1"/>
  <c r="H63" i="64"/>
  <c r="H64" i="64"/>
  <c r="J8" i="92" l="1"/>
  <c r="F20" i="92" s="1"/>
  <c r="D6" i="72"/>
  <c r="D6" i="91"/>
  <c r="H65" i="67"/>
  <c r="G3" i="91"/>
  <c r="H3" i="91" s="1"/>
  <c r="G3" i="72"/>
  <c r="H3" i="72" s="1"/>
  <c r="H65" i="64"/>
  <c r="N68" i="67"/>
  <c r="O68" i="67" s="1"/>
  <c r="D72" i="91" l="1"/>
  <c r="D50" i="91"/>
  <c r="H66" i="67"/>
  <c r="G6" i="91"/>
  <c r="G6" i="72"/>
  <c r="H6" i="72" s="1"/>
  <c r="N69" i="67"/>
  <c r="O69" i="67" s="1"/>
  <c r="N71" i="67"/>
  <c r="O71" i="67" s="1"/>
  <c r="H72" i="67"/>
  <c r="H73" i="67" s="1"/>
  <c r="H6" i="91" l="1"/>
  <c r="O72" i="67"/>
  <c r="N72" i="67"/>
  <c r="N73" i="67" l="1"/>
  <c r="O73" i="67" s="1"/>
  <c r="F25" i="84" l="1"/>
  <c r="H25" i="84" s="1"/>
  <c r="F23" i="84"/>
  <c r="H23" i="84" s="1"/>
  <c r="F10" i="92" l="1"/>
  <c r="H36" i="84"/>
  <c r="H47" i="84" s="1"/>
  <c r="B10" i="91" l="1"/>
  <c r="B10" i="72"/>
  <c r="C10" i="91" l="1"/>
  <c r="C10" i="72"/>
  <c r="H50" i="84"/>
  <c r="D10" i="91" l="1"/>
  <c r="D10" i="72"/>
  <c r="H62" i="84"/>
  <c r="H63" i="84" l="1"/>
  <c r="J10" i="92"/>
  <c r="D76" i="91"/>
  <c r="D54" i="91"/>
  <c r="G10" i="72" l="1"/>
  <c r="H10" i="72" s="1"/>
  <c r="G10" i="91"/>
  <c r="H10" i="91" s="1"/>
  <c r="F22" i="92"/>
  <c r="H64" i="84"/>
  <c r="L37" i="79" l="1"/>
  <c r="L37" i="81"/>
  <c r="N37" i="79" l="1"/>
  <c r="O37" i="79" s="1"/>
  <c r="L37" i="89"/>
  <c r="L37" i="90"/>
  <c r="O37" i="81"/>
  <c r="N37" i="81"/>
  <c r="L37" i="83"/>
  <c r="L37" i="82"/>
  <c r="N37" i="90" l="1"/>
  <c r="O37" i="90" s="1"/>
  <c r="N37" i="89"/>
  <c r="O37" i="89" s="1"/>
  <c r="L37" i="86"/>
  <c r="L37" i="85"/>
  <c r="L37" i="77"/>
  <c r="L37" i="78"/>
  <c r="N37" i="82"/>
  <c r="O37" i="82"/>
  <c r="L37" i="84"/>
  <c r="L37" i="87"/>
  <c r="N37" i="83"/>
  <c r="O37" i="83"/>
  <c r="N37" i="85" l="1"/>
  <c r="O37" i="85" s="1"/>
  <c r="N37" i="86"/>
  <c r="O37" i="86" s="1"/>
  <c r="N37" i="87"/>
  <c r="O37" i="87" s="1"/>
  <c r="N37" i="78"/>
  <c r="O37" i="78" s="1"/>
  <c r="N37" i="84"/>
  <c r="O37" i="84" s="1"/>
  <c r="N37" i="77"/>
  <c r="O37" i="77" s="1"/>
  <c r="L37" i="67"/>
  <c r="L37" i="76"/>
  <c r="N37" i="76" l="1"/>
  <c r="O37" i="76" s="1"/>
  <c r="N37" i="67"/>
  <c r="L37" i="64"/>
  <c r="L37" i="73"/>
  <c r="L37" i="75"/>
  <c r="L37" i="74"/>
  <c r="N37" i="75" l="1"/>
  <c r="O37" i="75" s="1"/>
  <c r="O37" i="67"/>
  <c r="N37" i="73"/>
  <c r="N37" i="64"/>
  <c r="O37" i="64" s="1"/>
  <c r="N37" i="74"/>
  <c r="O37" i="74" s="1"/>
  <c r="O37" i="73" l="1"/>
  <c r="J23" i="81"/>
  <c r="L23" i="81" s="1"/>
  <c r="N23" i="81" l="1"/>
  <c r="O23" i="81" s="1"/>
  <c r="J23" i="82" l="1"/>
  <c r="L23" i="82" s="1"/>
  <c r="O23" i="82" l="1"/>
  <c r="N23" i="82"/>
  <c r="J23" i="83"/>
  <c r="L23" i="83" s="1"/>
  <c r="J23" i="80"/>
  <c r="L23" i="80" s="1"/>
  <c r="J23" i="87"/>
  <c r="L23" i="87" s="1"/>
  <c r="J25" i="83" l="1"/>
  <c r="L25" i="83" s="1"/>
  <c r="J25" i="87"/>
  <c r="L25" i="87" s="1"/>
  <c r="N25" i="87" s="1"/>
  <c r="O25" i="87" s="1"/>
  <c r="G43" i="92"/>
  <c r="N23" i="80"/>
  <c r="O23" i="80" s="1"/>
  <c r="N23" i="83"/>
  <c r="O23" i="83"/>
  <c r="J23" i="79"/>
  <c r="L23" i="79" s="1"/>
  <c r="N23" i="87"/>
  <c r="O23" i="87" s="1"/>
  <c r="J25" i="82"/>
  <c r="L25" i="82" s="1"/>
  <c r="G39" i="92" l="1"/>
  <c r="I39" i="92" s="1"/>
  <c r="J25" i="79"/>
  <c r="L25" i="79" s="1"/>
  <c r="N25" i="79" s="1"/>
  <c r="O25" i="79" s="1"/>
  <c r="J25" i="81"/>
  <c r="L25" i="81" s="1"/>
  <c r="J23" i="90"/>
  <c r="J23" i="89"/>
  <c r="L23" i="89" s="1"/>
  <c r="J23" i="93"/>
  <c r="L23" i="93" s="1"/>
  <c r="J23" i="76"/>
  <c r="L23" i="76" s="1"/>
  <c r="J23" i="67"/>
  <c r="L23" i="67" s="1"/>
  <c r="J23" i="86"/>
  <c r="L23" i="86" s="1"/>
  <c r="J23" i="85"/>
  <c r="L23" i="85" s="1"/>
  <c r="I43" i="92"/>
  <c r="H43" i="92"/>
  <c r="N23" i="79"/>
  <c r="O23" i="79" s="1"/>
  <c r="G14" i="92"/>
  <c r="N25" i="82"/>
  <c r="O25" i="82" s="1"/>
  <c r="N25" i="83"/>
  <c r="O25" i="83" s="1"/>
  <c r="G13" i="92"/>
  <c r="H39" i="92" l="1"/>
  <c r="G42" i="92"/>
  <c r="H42" i="92" s="1"/>
  <c r="N23" i="93"/>
  <c r="O23" i="93" s="1"/>
  <c r="N23" i="67"/>
  <c r="O23" i="67" s="1"/>
  <c r="N23" i="76"/>
  <c r="O23" i="76" s="1"/>
  <c r="J25" i="89"/>
  <c r="L25" i="89" s="1"/>
  <c r="N25" i="89" s="1"/>
  <c r="O25" i="89" s="1"/>
  <c r="J25" i="90"/>
  <c r="L25" i="90" s="1"/>
  <c r="N25" i="90" s="1"/>
  <c r="O25" i="90" s="1"/>
  <c r="N23" i="85"/>
  <c r="O23" i="85" s="1"/>
  <c r="J25" i="85"/>
  <c r="L25" i="85" s="1"/>
  <c r="N25" i="85" s="1"/>
  <c r="O25" i="85" s="1"/>
  <c r="J25" i="86"/>
  <c r="L25" i="86" s="1"/>
  <c r="N25" i="86" s="1"/>
  <c r="O25" i="86" s="1"/>
  <c r="N25" i="81"/>
  <c r="O25" i="81" s="1"/>
  <c r="G41" i="92"/>
  <c r="N23" i="86"/>
  <c r="O23" i="86" s="1"/>
  <c r="N23" i="89"/>
  <c r="O23" i="89" s="1"/>
  <c r="H14" i="92"/>
  <c r="I14" i="92"/>
  <c r="I13" i="92"/>
  <c r="H13" i="92"/>
  <c r="I42" i="92" l="1"/>
  <c r="G38" i="92"/>
  <c r="H38" i="92" s="1"/>
  <c r="G12" i="92"/>
  <c r="G40" i="92"/>
  <c r="J25" i="93"/>
  <c r="L25" i="93" s="1"/>
  <c r="J25" i="67"/>
  <c r="L25" i="67" s="1"/>
  <c r="J25" i="76"/>
  <c r="L25" i="76" s="1"/>
  <c r="H41" i="92"/>
  <c r="I41" i="92"/>
  <c r="J23" i="95" l="1"/>
  <c r="L23" i="95" s="1"/>
  <c r="J23" i="94"/>
  <c r="L23" i="94" s="1"/>
  <c r="I38" i="92"/>
  <c r="N25" i="93"/>
  <c r="O25" i="93" s="1"/>
  <c r="G35" i="92"/>
  <c r="H40" i="92"/>
  <c r="I40" i="92"/>
  <c r="I12" i="92"/>
  <c r="H12" i="92"/>
  <c r="N25" i="76"/>
  <c r="O25" i="76" s="1"/>
  <c r="G36" i="92"/>
  <c r="H216" i="62"/>
  <c r="J23" i="73"/>
  <c r="L23" i="73" s="1"/>
  <c r="J23" i="64"/>
  <c r="L23" i="64" s="1"/>
  <c r="N25" i="67"/>
  <c r="O25" i="67" s="1"/>
  <c r="G8" i="92"/>
  <c r="G6" i="92" l="1"/>
  <c r="N23" i="94"/>
  <c r="O23" i="94" s="1"/>
  <c r="G33" i="92"/>
  <c r="N23" i="95"/>
  <c r="O23" i="95" s="1"/>
  <c r="H8" i="92"/>
  <c r="I8" i="92"/>
  <c r="J23" i="84"/>
  <c r="L23" i="84" s="1"/>
  <c r="I35" i="92"/>
  <c r="H35" i="92"/>
  <c r="G32" i="92"/>
  <c r="N23" i="64"/>
  <c r="O23" i="64" s="1"/>
  <c r="H36" i="92"/>
  <c r="I36" i="92"/>
  <c r="G5" i="92"/>
  <c r="N23" i="73"/>
  <c r="O23" i="73" s="1"/>
  <c r="I33" i="92" l="1"/>
  <c r="H33" i="92"/>
  <c r="H6" i="92"/>
  <c r="I6" i="92"/>
  <c r="N23" i="84"/>
  <c r="O23" i="84" s="1"/>
  <c r="J23" i="77"/>
  <c r="L23" i="77" s="1"/>
  <c r="J23" i="78"/>
  <c r="L23" i="78" s="1"/>
  <c r="H32" i="92"/>
  <c r="I32" i="92"/>
  <c r="H5" i="92"/>
  <c r="I5" i="92"/>
  <c r="N23" i="78" l="1"/>
  <c r="O23" i="78" s="1"/>
  <c r="N23" i="77"/>
  <c r="O23" i="77" s="1"/>
  <c r="J25" i="77"/>
  <c r="L25" i="77" s="1"/>
  <c r="N25" i="77" s="1"/>
  <c r="O25" i="77" s="1"/>
  <c r="J25" i="78"/>
  <c r="L25" i="78" s="1"/>
  <c r="N25" i="78" s="1"/>
  <c r="O25" i="78" s="1"/>
  <c r="J25" i="84"/>
  <c r="L25" i="84" s="1"/>
  <c r="G37" i="92" l="1"/>
  <c r="I37" i="92" s="1"/>
  <c r="N25" i="84"/>
  <c r="O25" i="84" s="1"/>
  <c r="G10" i="92"/>
  <c r="J23" i="75"/>
  <c r="L23" i="75" s="1"/>
  <c r="J23" i="74"/>
  <c r="L23" i="74" s="1"/>
  <c r="G9" i="92"/>
  <c r="H37" i="92" l="1"/>
  <c r="I9" i="92"/>
  <c r="H9" i="92"/>
  <c r="N23" i="74"/>
  <c r="O23" i="74" s="1"/>
  <c r="N23" i="75"/>
  <c r="O23" i="75" s="1"/>
  <c r="H10" i="92"/>
  <c r="I10" i="92"/>
  <c r="J25" i="74" l="1"/>
  <c r="L25" i="74" s="1"/>
  <c r="J25" i="75"/>
  <c r="L25" i="75" s="1"/>
  <c r="G34" i="92" l="1"/>
  <c r="N25" i="75"/>
  <c r="O25" i="75" s="1"/>
  <c r="G7" i="92"/>
  <c r="N25" i="74"/>
  <c r="O25" i="74" s="1"/>
  <c r="H7" i="92" l="1"/>
  <c r="I7" i="92"/>
  <c r="H34" i="92"/>
  <c r="I34" i="92"/>
  <c r="L23" i="90" l="1"/>
  <c r="H23" i="90"/>
  <c r="H36" i="90" l="1"/>
  <c r="H47" i="90" s="1"/>
  <c r="G11" i="92"/>
  <c r="F11" i="92"/>
  <c r="N23" i="90"/>
  <c r="O23" i="90" s="1"/>
  <c r="B18" i="91" l="1"/>
  <c r="B18" i="72"/>
  <c r="I11" i="92"/>
  <c r="C18" i="91"/>
  <c r="C18" i="72"/>
  <c r="H50" i="90"/>
  <c r="H11" i="92"/>
  <c r="D18" i="72" l="1"/>
  <c r="D18" i="91"/>
  <c r="H63" i="90"/>
  <c r="J11" i="92" s="1"/>
  <c r="F23" i="92" s="1"/>
  <c r="H65" i="90" l="1"/>
  <c r="H64" i="90"/>
  <c r="D62" i="91"/>
  <c r="D84" i="91"/>
  <c r="G18" i="91" l="1"/>
  <c r="H18" i="91" s="1"/>
  <c r="G18" i="72"/>
  <c r="H18" i="72" s="1"/>
  <c r="H66" i="90"/>
  <c r="L201" i="62" l="1"/>
  <c r="J31" i="84" s="1"/>
  <c r="L31" i="84" s="1"/>
  <c r="O31" i="84" l="1"/>
  <c r="N31" i="84"/>
  <c r="L291" i="62"/>
  <c r="L130" i="62" l="1"/>
  <c r="J31" i="74" s="1"/>
  <c r="L31" i="74" s="1"/>
  <c r="N31" i="74" s="1"/>
  <c r="O31" i="74" s="1"/>
  <c r="L269" i="62"/>
  <c r="L178" i="62"/>
  <c r="L153" i="62"/>
  <c r="J31" i="90"/>
  <c r="L31" i="90" s="1"/>
  <c r="J31" i="89"/>
  <c r="L31" i="89" s="1"/>
  <c r="J31" i="75" l="1"/>
  <c r="L31" i="75" s="1"/>
  <c r="N31" i="75" s="1"/>
  <c r="O31" i="75" s="1"/>
  <c r="O31" i="90"/>
  <c r="N31" i="90"/>
  <c r="J31" i="77"/>
  <c r="L31" i="77" s="1"/>
  <c r="J31" i="78"/>
  <c r="L31" i="78" s="1"/>
  <c r="O31" i="89"/>
  <c r="N31" i="89"/>
  <c r="J31" i="93"/>
  <c r="L31" i="93" s="1"/>
  <c r="J31" i="76"/>
  <c r="L31" i="76" s="1"/>
  <c r="N31" i="76" s="1"/>
  <c r="O31" i="76" s="1"/>
  <c r="J31" i="67"/>
  <c r="L31" i="67" s="1"/>
  <c r="N31" i="67" s="1"/>
  <c r="O31" i="67" s="1"/>
  <c r="J31" i="85"/>
  <c r="L31" i="85" s="1"/>
  <c r="N31" i="85" s="1"/>
  <c r="O31" i="85" s="1"/>
  <c r="J31" i="86"/>
  <c r="L31" i="86" s="1"/>
  <c r="N31" i="86" s="1"/>
  <c r="O31" i="86" s="1"/>
  <c r="L224" i="62" l="1"/>
  <c r="J31" i="73" s="1"/>
  <c r="L31" i="73" s="1"/>
  <c r="N31" i="73" s="1"/>
  <c r="O31" i="73" s="1"/>
  <c r="O31" i="78"/>
  <c r="N31" i="78"/>
  <c r="N31" i="93"/>
  <c r="O31" i="93"/>
  <c r="O31" i="77"/>
  <c r="N31" i="77"/>
  <c r="J31" i="64" l="1"/>
  <c r="L31" i="64" s="1"/>
  <c r="O31" i="64" s="1"/>
  <c r="J31" i="94"/>
  <c r="L31" i="94" s="1"/>
  <c r="N31" i="94" s="1"/>
  <c r="J31" i="95"/>
  <c r="L31" i="95" s="1"/>
  <c r="O31" i="95" s="1"/>
  <c r="N31" i="64" l="1"/>
  <c r="N31" i="95"/>
  <c r="O31" i="94"/>
  <c r="L259" i="62"/>
  <c r="J48" i="87" s="1"/>
  <c r="L48" i="87" s="1"/>
  <c r="N48" i="87" s="1"/>
  <c r="O48" i="87" s="1"/>
  <c r="L260" i="62"/>
  <c r="J49" i="87" s="1"/>
  <c r="L49" i="87" s="1"/>
  <c r="N49" i="87" s="1"/>
  <c r="O49" i="87" s="1"/>
  <c r="L215" i="62" l="1"/>
  <c r="J49" i="84" s="1"/>
  <c r="L49" i="84" s="1"/>
  <c r="N49" i="84" s="1"/>
  <c r="O49" i="84" s="1"/>
  <c r="L214" i="62"/>
  <c r="J48" i="84" s="1"/>
  <c r="L48" i="84" s="1"/>
  <c r="N48" i="84" s="1"/>
  <c r="O48" i="84" s="1"/>
  <c r="L166" i="62" l="1"/>
  <c r="L281" i="62"/>
  <c r="L168" i="62" l="1"/>
  <c r="J50" i="76" s="1"/>
  <c r="L50" i="76" s="1"/>
  <c r="N50" i="76" s="1"/>
  <c r="O50" i="76" s="1"/>
  <c r="L191" i="62"/>
  <c r="J48" i="78" s="1"/>
  <c r="L48" i="78" s="1"/>
  <c r="N48" i="78" s="1"/>
  <c r="O48" i="78" s="1"/>
  <c r="L167" i="62"/>
  <c r="L282" i="62"/>
  <c r="J48" i="86"/>
  <c r="L48" i="86" s="1"/>
  <c r="N48" i="86" s="1"/>
  <c r="O48" i="86" s="1"/>
  <c r="J48" i="85"/>
  <c r="L48" i="85" s="1"/>
  <c r="N48" i="85" s="1"/>
  <c r="O48" i="85" s="1"/>
  <c r="J48" i="93"/>
  <c r="L48" i="93" s="1"/>
  <c r="J48" i="76"/>
  <c r="L48" i="76" s="1"/>
  <c r="N48" i="76" s="1"/>
  <c r="O48" i="76" s="1"/>
  <c r="J48" i="67"/>
  <c r="L48" i="67" s="1"/>
  <c r="N48" i="67" s="1"/>
  <c r="O48" i="67" s="1"/>
  <c r="L169" i="62"/>
  <c r="J50" i="67" l="1"/>
  <c r="L50" i="67" s="1"/>
  <c r="N50" i="67" s="1"/>
  <c r="O50" i="67" s="1"/>
  <c r="J48" i="77"/>
  <c r="L48" i="77" s="1"/>
  <c r="N48" i="77" s="1"/>
  <c r="O48" i="77" s="1"/>
  <c r="J50" i="93"/>
  <c r="L50" i="93" s="1"/>
  <c r="N50" i="93" s="1"/>
  <c r="O50" i="93" s="1"/>
  <c r="L304" i="62"/>
  <c r="J49" i="89" s="1"/>
  <c r="L49" i="89" s="1"/>
  <c r="N49" i="89" s="1"/>
  <c r="O49" i="89" s="1"/>
  <c r="L143" i="62"/>
  <c r="L144" i="62"/>
  <c r="N48" i="93"/>
  <c r="O48" i="93"/>
  <c r="L238" i="62"/>
  <c r="J49" i="86"/>
  <c r="L49" i="86" s="1"/>
  <c r="N49" i="86" s="1"/>
  <c r="O49" i="86" s="1"/>
  <c r="J49" i="85"/>
  <c r="L49" i="85" s="1"/>
  <c r="N49" i="85" s="1"/>
  <c r="O49" i="85" s="1"/>
  <c r="J51" i="76"/>
  <c r="L51" i="76" s="1"/>
  <c r="J51" i="67"/>
  <c r="L51" i="67" s="1"/>
  <c r="J51" i="93"/>
  <c r="L51" i="93" s="1"/>
  <c r="N51" i="93" s="1"/>
  <c r="O51" i="93" s="1"/>
  <c r="J49" i="93"/>
  <c r="L49" i="93" s="1"/>
  <c r="N49" i="93" s="1"/>
  <c r="O49" i="93" s="1"/>
  <c r="J49" i="67"/>
  <c r="L49" i="67" s="1"/>
  <c r="N49" i="67" s="1"/>
  <c r="O49" i="67" s="1"/>
  <c r="J49" i="76"/>
  <c r="L49" i="76" s="1"/>
  <c r="L120" i="62"/>
  <c r="J48" i="83" s="1"/>
  <c r="L48" i="83" s="1"/>
  <c r="N48" i="83" s="1"/>
  <c r="O48" i="83" s="1"/>
  <c r="J49" i="90" l="1"/>
  <c r="L49" i="90" s="1"/>
  <c r="N49" i="90" s="1"/>
  <c r="O49" i="90" s="1"/>
  <c r="J49" i="64"/>
  <c r="L49" i="64" s="1"/>
  <c r="N49" i="64" s="1"/>
  <c r="O49" i="64" s="1"/>
  <c r="J49" i="95"/>
  <c r="L49" i="95" s="1"/>
  <c r="N49" i="95" s="1"/>
  <c r="O49" i="95" s="1"/>
  <c r="J49" i="94"/>
  <c r="L49" i="94" s="1"/>
  <c r="N49" i="94" s="1"/>
  <c r="O49" i="94" s="1"/>
  <c r="J49" i="73"/>
  <c r="L49" i="73" s="1"/>
  <c r="N49" i="73" s="1"/>
  <c r="O49" i="73" s="1"/>
  <c r="J49" i="74"/>
  <c r="L49" i="74" s="1"/>
  <c r="N49" i="74" s="1"/>
  <c r="O49" i="74" s="1"/>
  <c r="J49" i="75"/>
  <c r="L49" i="75" s="1"/>
  <c r="N49" i="75" s="1"/>
  <c r="O49" i="75" s="1"/>
  <c r="O49" i="76"/>
  <c r="N49" i="76"/>
  <c r="J48" i="74"/>
  <c r="L48" i="74" s="1"/>
  <c r="N48" i="74" s="1"/>
  <c r="O48" i="74" s="1"/>
  <c r="J48" i="75"/>
  <c r="L48" i="75" s="1"/>
  <c r="N48" i="75" s="1"/>
  <c r="O48" i="75" s="1"/>
  <c r="O51" i="76"/>
  <c r="N51" i="76"/>
  <c r="O51" i="67"/>
  <c r="N51" i="67"/>
  <c r="L303" i="62"/>
  <c r="L99" i="62"/>
  <c r="J49" i="82" s="1"/>
  <c r="L49" i="82" s="1"/>
  <c r="N49" i="82" s="1"/>
  <c r="O49" i="82" s="1"/>
  <c r="J48" i="90" l="1"/>
  <c r="L48" i="90" s="1"/>
  <c r="N48" i="90" s="1"/>
  <c r="O48" i="90" s="1"/>
  <c r="J48" i="89"/>
  <c r="L48" i="89" s="1"/>
  <c r="N48" i="89" s="1"/>
  <c r="O48" i="89" s="1"/>
  <c r="L121" i="62"/>
  <c r="J49" i="83" s="1"/>
  <c r="L49" i="83" s="1"/>
  <c r="N49" i="83" s="1"/>
  <c r="O49" i="83" s="1"/>
  <c r="L237" i="62" l="1"/>
  <c r="L98" i="62"/>
  <c r="J48" i="82" s="1"/>
  <c r="L48" i="82" s="1"/>
  <c r="N48" i="82" s="1"/>
  <c r="O48" i="82" s="1"/>
  <c r="J48" i="94" l="1"/>
  <c r="L48" i="94" s="1"/>
  <c r="N48" i="94" s="1"/>
  <c r="O48" i="94" s="1"/>
  <c r="J48" i="64"/>
  <c r="L48" i="64" s="1"/>
  <c r="N48" i="64" s="1"/>
  <c r="O48" i="64" s="1"/>
  <c r="J48" i="95"/>
  <c r="L48" i="95" s="1"/>
  <c r="N48" i="95" s="1"/>
  <c r="O48" i="95" s="1"/>
  <c r="J48" i="73"/>
  <c r="L48" i="73" s="1"/>
  <c r="N48" i="73" s="1"/>
  <c r="O48" i="73" s="1"/>
  <c r="L131" i="62" l="1"/>
  <c r="L225" i="62" l="1"/>
  <c r="J32" i="95" s="1"/>
  <c r="L32" i="95" s="1"/>
  <c r="N32" i="95" s="1"/>
  <c r="O32" i="95" s="1"/>
  <c r="J32" i="74"/>
  <c r="L32" i="74" s="1"/>
  <c r="J32" i="75"/>
  <c r="L32" i="75" s="1"/>
  <c r="N32" i="75" s="1"/>
  <c r="O32" i="75" s="1"/>
  <c r="J32" i="73" l="1"/>
  <c r="L32" i="73" s="1"/>
  <c r="J32" i="64"/>
  <c r="L32" i="64" s="1"/>
  <c r="N32" i="64" s="1"/>
  <c r="O32" i="64" s="1"/>
  <c r="J32" i="94"/>
  <c r="L32" i="94" s="1"/>
  <c r="N32" i="94" s="1"/>
  <c r="O32" i="73"/>
  <c r="N32" i="73"/>
  <c r="O32" i="74"/>
  <c r="N32" i="74"/>
  <c r="O32" i="94" l="1"/>
  <c r="L39" i="62"/>
  <c r="J28" i="79" s="1"/>
  <c r="L28" i="79" s="1"/>
  <c r="L244" i="62"/>
  <c r="J28" i="87" s="1"/>
  <c r="L28" i="87" s="1"/>
  <c r="L105" i="62"/>
  <c r="J28" i="83" s="1"/>
  <c r="L28" i="83" s="1"/>
  <c r="L197" i="62"/>
  <c r="J27" i="84" s="1"/>
  <c r="L27" i="84" s="1"/>
  <c r="L61" i="62"/>
  <c r="J28" i="80" s="1"/>
  <c r="L28" i="80" s="1"/>
  <c r="L18" i="62"/>
  <c r="J28" i="81" s="1"/>
  <c r="L28" i="81" s="1"/>
  <c r="L149" i="62" l="1"/>
  <c r="N28" i="81"/>
  <c r="O28" i="81"/>
  <c r="L36" i="81"/>
  <c r="O28" i="87"/>
  <c r="N28" i="87"/>
  <c r="L36" i="87"/>
  <c r="N28" i="80"/>
  <c r="O28" i="80"/>
  <c r="L36" i="80"/>
  <c r="N28" i="79"/>
  <c r="O28" i="79"/>
  <c r="L36" i="79"/>
  <c r="O28" i="83"/>
  <c r="N28" i="83"/>
  <c r="L36" i="83"/>
  <c r="N27" i="84"/>
  <c r="O27" i="84"/>
  <c r="L36" i="84"/>
  <c r="L127" i="62"/>
  <c r="L83" i="62"/>
  <c r="J28" i="82" s="1"/>
  <c r="L28" i="82" s="1"/>
  <c r="L288" i="62" l="1"/>
  <c r="J28" i="90" s="1"/>
  <c r="L28" i="90" s="1"/>
  <c r="L174" i="62"/>
  <c r="J27" i="77" s="1"/>
  <c r="L27" i="77" s="1"/>
  <c r="B32" i="91"/>
  <c r="B32" i="72"/>
  <c r="N36" i="84"/>
  <c r="O36" i="84" s="1"/>
  <c r="L266" i="62"/>
  <c r="B35" i="72"/>
  <c r="N36" i="79"/>
  <c r="O36" i="79" s="1"/>
  <c r="B35" i="91"/>
  <c r="N36" i="87"/>
  <c r="O36" i="87" s="1"/>
  <c r="B42" i="91"/>
  <c r="B42" i="72"/>
  <c r="O28" i="82"/>
  <c r="N28" i="82"/>
  <c r="L36" i="82"/>
  <c r="J28" i="75"/>
  <c r="L28" i="75" s="1"/>
  <c r="J28" i="74"/>
  <c r="L28" i="74" s="1"/>
  <c r="N36" i="83"/>
  <c r="O36" i="83" s="1"/>
  <c r="B34" i="91"/>
  <c r="B34" i="72"/>
  <c r="B36" i="72"/>
  <c r="B36" i="91"/>
  <c r="N36" i="80"/>
  <c r="O36" i="80" s="1"/>
  <c r="N36" i="81"/>
  <c r="O36" i="81" s="1"/>
  <c r="B37" i="91"/>
  <c r="B37" i="72"/>
  <c r="J27" i="93"/>
  <c r="L27" i="93" s="1"/>
  <c r="J27" i="76"/>
  <c r="L27" i="76" s="1"/>
  <c r="J27" i="67"/>
  <c r="L27" i="67" s="1"/>
  <c r="J27" i="78" l="1"/>
  <c r="L27" i="78" s="1"/>
  <c r="O27" i="78" s="1"/>
  <c r="J28" i="89"/>
  <c r="L28" i="89" s="1"/>
  <c r="L36" i="89" s="1"/>
  <c r="L220" i="62"/>
  <c r="J27" i="95" s="1"/>
  <c r="L27" i="95" s="1"/>
  <c r="B56" i="72"/>
  <c r="B78" i="72"/>
  <c r="N27" i="78"/>
  <c r="J28" i="86"/>
  <c r="L28" i="86" s="1"/>
  <c r="J28" i="85"/>
  <c r="L28" i="85" s="1"/>
  <c r="O27" i="93"/>
  <c r="N27" i="93"/>
  <c r="B78" i="91"/>
  <c r="B56" i="91"/>
  <c r="B33" i="91"/>
  <c r="N36" i="82"/>
  <c r="O36" i="82" s="1"/>
  <c r="B33" i="72"/>
  <c r="O27" i="77"/>
  <c r="N27" i="77"/>
  <c r="L36" i="77"/>
  <c r="B64" i="91"/>
  <c r="B86" i="91"/>
  <c r="B57" i="72"/>
  <c r="B79" i="72"/>
  <c r="N28" i="75"/>
  <c r="O28" i="75"/>
  <c r="L36" i="75"/>
  <c r="B64" i="72"/>
  <c r="B86" i="72"/>
  <c r="B81" i="72"/>
  <c r="B59" i="72"/>
  <c r="B58" i="91"/>
  <c r="B80" i="91"/>
  <c r="O28" i="90"/>
  <c r="N28" i="90"/>
  <c r="L36" i="90"/>
  <c r="J27" i="73"/>
  <c r="L27" i="73" s="1"/>
  <c r="B76" i="72"/>
  <c r="B54" i="72"/>
  <c r="N27" i="76"/>
  <c r="O27" i="76"/>
  <c r="O27" i="67"/>
  <c r="N27" i="67"/>
  <c r="B59" i="91"/>
  <c r="B81" i="91"/>
  <c r="B58" i="72"/>
  <c r="B80" i="72"/>
  <c r="N28" i="74"/>
  <c r="O28" i="74"/>
  <c r="L36" i="74"/>
  <c r="B79" i="91"/>
  <c r="B57" i="91"/>
  <c r="B54" i="91"/>
  <c r="B76" i="91"/>
  <c r="J27" i="94" l="1"/>
  <c r="L27" i="94" s="1"/>
  <c r="O27" i="94" s="1"/>
  <c r="J27" i="64"/>
  <c r="L27" i="64" s="1"/>
  <c r="N27" i="64" s="1"/>
  <c r="N28" i="89"/>
  <c r="L36" i="78"/>
  <c r="N36" i="78" s="1"/>
  <c r="O36" i="78" s="1"/>
  <c r="O28" i="89"/>
  <c r="N27" i="95"/>
  <c r="O27" i="95"/>
  <c r="L36" i="95"/>
  <c r="N36" i="95" s="1"/>
  <c r="O36" i="95" s="1"/>
  <c r="B40" i="91"/>
  <c r="B40" i="72"/>
  <c r="N36" i="90"/>
  <c r="O36" i="90" s="1"/>
  <c r="B31" i="91"/>
  <c r="N36" i="77"/>
  <c r="O36" i="77" s="1"/>
  <c r="B31" i="72"/>
  <c r="B55" i="72"/>
  <c r="B77" i="72"/>
  <c r="N28" i="85"/>
  <c r="O28" i="85"/>
  <c r="L36" i="85"/>
  <c r="B26" i="91"/>
  <c r="N36" i="74"/>
  <c r="O36" i="74" s="1"/>
  <c r="B26" i="72"/>
  <c r="L36" i="94"/>
  <c r="N36" i="94" s="1"/>
  <c r="O36" i="94" s="1"/>
  <c r="B27" i="72"/>
  <c r="B27" i="91"/>
  <c r="N36" i="75"/>
  <c r="O36" i="75" s="1"/>
  <c r="O28" i="86"/>
  <c r="N28" i="86"/>
  <c r="L36" i="86"/>
  <c r="N36" i="89"/>
  <c r="O36" i="89" s="1"/>
  <c r="B41" i="72"/>
  <c r="B41" i="91"/>
  <c r="N27" i="73"/>
  <c r="O27" i="73"/>
  <c r="L36" i="73"/>
  <c r="B77" i="91"/>
  <c r="B55" i="91"/>
  <c r="N27" i="94" l="1"/>
  <c r="L36" i="64"/>
  <c r="O27" i="64"/>
  <c r="B30" i="91"/>
  <c r="B52" i="91" s="1"/>
  <c r="B30" i="72"/>
  <c r="B74" i="72" s="1"/>
  <c r="B63" i="91"/>
  <c r="B85" i="91"/>
  <c r="B49" i="72"/>
  <c r="B71" i="72"/>
  <c r="B48" i="72"/>
  <c r="B70" i="72"/>
  <c r="B75" i="72"/>
  <c r="B53" i="72"/>
  <c r="B24" i="72"/>
  <c r="N36" i="73"/>
  <c r="O36" i="73" s="1"/>
  <c r="B24" i="91"/>
  <c r="B63" i="72"/>
  <c r="B85" i="72"/>
  <c r="B84" i="91"/>
  <c r="B62" i="91"/>
  <c r="B62" i="72"/>
  <c r="B84" i="72"/>
  <c r="B52" i="72"/>
  <c r="B70" i="91"/>
  <c r="B48" i="91"/>
  <c r="B75" i="91"/>
  <c r="B53" i="91"/>
  <c r="N36" i="86"/>
  <c r="O36" i="86" s="1"/>
  <c r="B38" i="72"/>
  <c r="B38" i="91"/>
  <c r="B71" i="91"/>
  <c r="B49" i="91"/>
  <c r="B39" i="91"/>
  <c r="N36" i="85"/>
  <c r="O36" i="85" s="1"/>
  <c r="B39" i="72"/>
  <c r="B25" i="91" l="1"/>
  <c r="B69" i="91" s="1"/>
  <c r="N36" i="64"/>
  <c r="O36" i="64" s="1"/>
  <c r="B25" i="72"/>
  <c r="B47" i="72" s="1"/>
  <c r="B74" i="91"/>
  <c r="B60" i="91"/>
  <c r="B82" i="91"/>
  <c r="B68" i="91"/>
  <c r="B46" i="91"/>
  <c r="B61" i="91"/>
  <c r="B83" i="91"/>
  <c r="B60" i="72"/>
  <c r="B82" i="72"/>
  <c r="B83" i="72"/>
  <c r="B61" i="72"/>
  <c r="B68" i="72"/>
  <c r="B46" i="72"/>
  <c r="B47" i="91" l="1"/>
  <c r="B69" i="72"/>
  <c r="L163" i="62"/>
  <c r="L188" i="62"/>
  <c r="L210" i="62"/>
  <c r="J42" i="84" s="1"/>
  <c r="L42" i="84" s="1"/>
  <c r="N42" i="84" s="1"/>
  <c r="O42" i="84" s="1"/>
  <c r="L72" i="62"/>
  <c r="J42" i="80" s="1"/>
  <c r="L42" i="80" s="1"/>
  <c r="L28" i="62"/>
  <c r="J41" i="81" s="1"/>
  <c r="L41" i="81" s="1"/>
  <c r="N41" i="81" s="1"/>
  <c r="O41" i="81" s="1"/>
  <c r="L94" i="62"/>
  <c r="J42" i="82" s="1"/>
  <c r="L42" i="82" s="1"/>
  <c r="N42" i="82" s="1"/>
  <c r="O42" i="82" s="1"/>
  <c r="L255" i="62"/>
  <c r="J42" i="87" s="1"/>
  <c r="L42" i="87" s="1"/>
  <c r="N42" i="87" s="1"/>
  <c r="O42" i="87" s="1"/>
  <c r="L116" i="62"/>
  <c r="J42" i="83" s="1"/>
  <c r="L42" i="83" s="1"/>
  <c r="N42" i="83" s="1"/>
  <c r="O42" i="83" s="1"/>
  <c r="J43" i="77" l="1"/>
  <c r="L43" i="77" s="1"/>
  <c r="J43" i="78"/>
  <c r="L43" i="78" s="1"/>
  <c r="N43" i="78" s="1"/>
  <c r="O43" i="78" s="1"/>
  <c r="N42" i="80"/>
  <c r="O42" i="80"/>
  <c r="J43" i="93"/>
  <c r="L43" i="93" s="1"/>
  <c r="J43" i="67"/>
  <c r="L43" i="67" s="1"/>
  <c r="N43" i="67" s="1"/>
  <c r="O43" i="67" s="1"/>
  <c r="J43" i="76"/>
  <c r="L43" i="76" s="1"/>
  <c r="L277" i="62"/>
  <c r="L162" i="62"/>
  <c r="L50" i="62"/>
  <c r="J42" i="79" s="1"/>
  <c r="L42" i="79" s="1"/>
  <c r="N42" i="79" s="1"/>
  <c r="O42" i="79" s="1"/>
  <c r="L74" i="62"/>
  <c r="J44" i="80" s="1"/>
  <c r="L44" i="80" s="1"/>
  <c r="N44" i="80" s="1"/>
  <c r="O44" i="80" s="1"/>
  <c r="L52" i="62"/>
  <c r="J44" i="79" s="1"/>
  <c r="L44" i="79" s="1"/>
  <c r="N44" i="79" s="1"/>
  <c r="O44" i="79" s="1"/>
  <c r="L212" i="62"/>
  <c r="J44" i="84" s="1"/>
  <c r="L44" i="84" s="1"/>
  <c r="N44" i="84" s="1"/>
  <c r="O44" i="84" s="1"/>
  <c r="L257" i="62"/>
  <c r="J44" i="87" s="1"/>
  <c r="L44" i="87" s="1"/>
  <c r="N44" i="87" s="1"/>
  <c r="O44" i="87" s="1"/>
  <c r="L96" i="62"/>
  <c r="J44" i="82" s="1"/>
  <c r="L44" i="82" s="1"/>
  <c r="N44" i="82" s="1"/>
  <c r="O44" i="82" s="1"/>
  <c r="L30" i="62"/>
  <c r="J43" i="81" s="1"/>
  <c r="L43" i="81" s="1"/>
  <c r="N43" i="81" s="1"/>
  <c r="O43" i="81" s="1"/>
  <c r="L118" i="62"/>
  <c r="J44" i="83" s="1"/>
  <c r="L44" i="83" s="1"/>
  <c r="L299" i="62" l="1"/>
  <c r="J42" i="90" s="1"/>
  <c r="L42" i="90" s="1"/>
  <c r="N42" i="90" s="1"/>
  <c r="O42" i="90" s="1"/>
  <c r="J42" i="85"/>
  <c r="L42" i="85" s="1"/>
  <c r="N42" i="85" s="1"/>
  <c r="O42" i="85" s="1"/>
  <c r="J42" i="86"/>
  <c r="L42" i="86" s="1"/>
  <c r="N42" i="86" s="1"/>
  <c r="O42" i="86" s="1"/>
  <c r="N43" i="93"/>
  <c r="O43" i="93"/>
  <c r="N43" i="77"/>
  <c r="O43" i="77"/>
  <c r="L154" i="62"/>
  <c r="N44" i="83"/>
  <c r="O44" i="83"/>
  <c r="J42" i="93"/>
  <c r="L42" i="93" s="1"/>
  <c r="N42" i="93" s="1"/>
  <c r="O42" i="93" s="1"/>
  <c r="J42" i="67"/>
  <c r="L42" i="67" s="1"/>
  <c r="J42" i="76"/>
  <c r="L42" i="76" s="1"/>
  <c r="N42" i="76" s="1"/>
  <c r="O42" i="76" s="1"/>
  <c r="N43" i="76"/>
  <c r="O43" i="76"/>
  <c r="L139" i="62"/>
  <c r="J42" i="89" l="1"/>
  <c r="L42" i="89" s="1"/>
  <c r="N42" i="89" s="1"/>
  <c r="O42" i="89" s="1"/>
  <c r="L187" i="62"/>
  <c r="J42" i="77" s="1"/>
  <c r="L42" i="77" s="1"/>
  <c r="N42" i="77" s="1"/>
  <c r="O42" i="77" s="1"/>
  <c r="L141" i="62"/>
  <c r="J44" i="74" s="1"/>
  <c r="L44" i="74" s="1"/>
  <c r="N44" i="74" s="1"/>
  <c r="O44" i="74" s="1"/>
  <c r="L164" i="62"/>
  <c r="J44" i="76" s="1"/>
  <c r="L44" i="76" s="1"/>
  <c r="N44" i="76" s="1"/>
  <c r="O44" i="76" s="1"/>
  <c r="N42" i="67"/>
  <c r="O42" i="67" s="1"/>
  <c r="L189" i="62"/>
  <c r="L301" i="62"/>
  <c r="J42" i="74"/>
  <c r="L42" i="74" s="1"/>
  <c r="N42" i="74" s="1"/>
  <c r="O42" i="74" s="1"/>
  <c r="J42" i="75"/>
  <c r="L42" i="75" s="1"/>
  <c r="N42" i="75" s="1"/>
  <c r="O42" i="75" s="1"/>
  <c r="J32" i="93"/>
  <c r="L32" i="93" s="1"/>
  <c r="J32" i="67"/>
  <c r="L32" i="67" s="1"/>
  <c r="J32" i="76"/>
  <c r="L32" i="76" s="1"/>
  <c r="L279" i="62"/>
  <c r="J44" i="67" l="1"/>
  <c r="L44" i="67" s="1"/>
  <c r="J42" i="78"/>
  <c r="L42" i="78" s="1"/>
  <c r="N42" i="78" s="1"/>
  <c r="O42" i="78" s="1"/>
  <c r="J44" i="93"/>
  <c r="L44" i="93" s="1"/>
  <c r="N44" i="93" s="1"/>
  <c r="O44" i="93" s="1"/>
  <c r="L235" i="62"/>
  <c r="J44" i="95" s="1"/>
  <c r="L44" i="95" s="1"/>
  <c r="N44" i="95" s="1"/>
  <c r="O44" i="95" s="1"/>
  <c r="J44" i="75"/>
  <c r="L44" i="75" s="1"/>
  <c r="N44" i="75" s="1"/>
  <c r="O44" i="75" s="1"/>
  <c r="J44" i="85"/>
  <c r="L44" i="85" s="1"/>
  <c r="N44" i="85" s="1"/>
  <c r="O44" i="85" s="1"/>
  <c r="J44" i="86"/>
  <c r="L44" i="86" s="1"/>
  <c r="N44" i="86" s="1"/>
  <c r="O44" i="86" s="1"/>
  <c r="O32" i="76"/>
  <c r="N32" i="76"/>
  <c r="L36" i="76"/>
  <c r="N32" i="93"/>
  <c r="O32" i="93"/>
  <c r="L36" i="93"/>
  <c r="N36" i="93" s="1"/>
  <c r="O36" i="93" s="1"/>
  <c r="J44" i="77"/>
  <c r="L44" i="77" s="1"/>
  <c r="N44" i="77" s="1"/>
  <c r="O44" i="77" s="1"/>
  <c r="J44" i="78"/>
  <c r="L44" i="78" s="1"/>
  <c r="N44" i="78" s="1"/>
  <c r="O44" i="78" s="1"/>
  <c r="N32" i="67"/>
  <c r="O32" i="67"/>
  <c r="L36" i="67"/>
  <c r="J44" i="90"/>
  <c r="L44" i="90" s="1"/>
  <c r="N44" i="90" s="1"/>
  <c r="O44" i="90" s="1"/>
  <c r="J44" i="89"/>
  <c r="L44" i="89" s="1"/>
  <c r="N44" i="67"/>
  <c r="O44" i="67" s="1"/>
  <c r="L233" i="62"/>
  <c r="N44" i="89" l="1"/>
  <c r="O44" i="89" s="1"/>
  <c r="J44" i="94"/>
  <c r="L44" i="94" s="1"/>
  <c r="N44" i="94" s="1"/>
  <c r="O44" i="94" s="1"/>
  <c r="J44" i="73"/>
  <c r="L44" i="73" s="1"/>
  <c r="N44" i="73" s="1"/>
  <c r="O44" i="73" s="1"/>
  <c r="J44" i="64"/>
  <c r="L44" i="64" s="1"/>
  <c r="N44" i="64" s="1"/>
  <c r="O44" i="64" s="1"/>
  <c r="J42" i="73"/>
  <c r="L42" i="73" s="1"/>
  <c r="N42" i="73" s="1"/>
  <c r="O42" i="73" s="1"/>
  <c r="J42" i="95"/>
  <c r="L42" i="95" s="1"/>
  <c r="N42" i="95" s="1"/>
  <c r="O42" i="95" s="1"/>
  <c r="J42" i="94"/>
  <c r="L42" i="94" s="1"/>
  <c r="N42" i="94" s="1"/>
  <c r="O42" i="94" s="1"/>
  <c r="J42" i="64"/>
  <c r="L42" i="64" s="1"/>
  <c r="N42" i="64" s="1"/>
  <c r="O42" i="64" s="1"/>
  <c r="B28" i="91"/>
  <c r="N36" i="67"/>
  <c r="O36" i="67" s="1"/>
  <c r="B28" i="72"/>
  <c r="B29" i="72"/>
  <c r="N36" i="76"/>
  <c r="O36" i="76" s="1"/>
  <c r="B29" i="91"/>
  <c r="B72" i="91" l="1"/>
  <c r="B50" i="91"/>
  <c r="B73" i="91"/>
  <c r="B51" i="91"/>
  <c r="B50" i="72"/>
  <c r="B72" i="72"/>
  <c r="B51" i="72"/>
  <c r="B73" i="72"/>
  <c r="J45" i="80" l="1"/>
  <c r="L45" i="80" s="1"/>
  <c r="J45" i="84"/>
  <c r="L45" i="84" s="1"/>
  <c r="J45" i="83"/>
  <c r="L45" i="83" s="1"/>
  <c r="J45" i="79"/>
  <c r="L45" i="79" s="1"/>
  <c r="J45" i="82"/>
  <c r="L45" i="82" s="1"/>
  <c r="J45" i="87"/>
  <c r="L45" i="87" s="1"/>
  <c r="J44" i="81"/>
  <c r="L44" i="81" s="1"/>
  <c r="J45" i="93" l="1"/>
  <c r="L45" i="93" s="1"/>
  <c r="J45" i="67"/>
  <c r="L45" i="67" s="1"/>
  <c r="J45" i="76"/>
  <c r="L45" i="76" s="1"/>
  <c r="O45" i="87"/>
  <c r="N45" i="87"/>
  <c r="J45" i="90"/>
  <c r="L45" i="90" s="1"/>
  <c r="J45" i="89"/>
  <c r="L45" i="89" s="1"/>
  <c r="J45" i="86"/>
  <c r="L45" i="86" s="1"/>
  <c r="J45" i="85"/>
  <c r="L45" i="85" s="1"/>
  <c r="N45" i="83"/>
  <c r="O45" i="83"/>
  <c r="J45" i="94"/>
  <c r="L45" i="94" s="1"/>
  <c r="J45" i="95"/>
  <c r="L45" i="95" s="1"/>
  <c r="J45" i="73"/>
  <c r="L45" i="73" s="1"/>
  <c r="J45" i="64"/>
  <c r="L45" i="64" s="1"/>
  <c r="N45" i="84"/>
  <c r="O45" i="84"/>
  <c r="J45" i="74"/>
  <c r="L45" i="74" s="1"/>
  <c r="J45" i="75"/>
  <c r="L45" i="75" s="1"/>
  <c r="N44" i="81"/>
  <c r="O44" i="81"/>
  <c r="N45" i="82"/>
  <c r="O45" i="82" s="1"/>
  <c r="J45" i="77"/>
  <c r="L45" i="77" s="1"/>
  <c r="J45" i="78"/>
  <c r="L45" i="78" s="1"/>
  <c r="O45" i="79"/>
  <c r="N45" i="79"/>
  <c r="O45" i="80"/>
  <c r="N45" i="80"/>
  <c r="N45" i="74" l="1"/>
  <c r="O45" i="74" s="1"/>
  <c r="N45" i="89"/>
  <c r="O45" i="89"/>
  <c r="N45" i="73"/>
  <c r="N45" i="90"/>
  <c r="O45" i="90" s="1"/>
  <c r="O45" i="76"/>
  <c r="N45" i="76"/>
  <c r="N45" i="64"/>
  <c r="O45" i="64"/>
  <c r="N45" i="95"/>
  <c r="O45" i="95"/>
  <c r="O45" i="85"/>
  <c r="N45" i="85"/>
  <c r="N45" i="67"/>
  <c r="O45" i="77"/>
  <c r="N45" i="77"/>
  <c r="N45" i="78"/>
  <c r="O45" i="78" s="1"/>
  <c r="O45" i="75"/>
  <c r="N45" i="75"/>
  <c r="N45" i="94"/>
  <c r="O45" i="94" s="1"/>
  <c r="N45" i="86"/>
  <c r="O45" i="86" s="1"/>
  <c r="O45" i="93"/>
  <c r="N45" i="93"/>
  <c r="O45" i="73" l="1"/>
  <c r="O45" i="67"/>
  <c r="L114" i="62" l="1"/>
  <c r="J40" i="83" s="1"/>
  <c r="L40" i="83" s="1"/>
  <c r="L70" i="62"/>
  <c r="J40" i="80" s="1"/>
  <c r="L40" i="80" s="1"/>
  <c r="L27" i="62"/>
  <c r="J40" i="81" s="1"/>
  <c r="L40" i="81" s="1"/>
  <c r="L208" i="62"/>
  <c r="J40" i="84" s="1"/>
  <c r="L40" i="84" s="1"/>
  <c r="L92" i="62"/>
  <c r="J40" i="82" s="1"/>
  <c r="L40" i="82" s="1"/>
  <c r="L48" i="62"/>
  <c r="J40" i="79" s="1"/>
  <c r="L40" i="79" s="1"/>
  <c r="L253" i="62"/>
  <c r="J40" i="87" s="1"/>
  <c r="L40" i="87" s="1"/>
  <c r="L275" i="62" l="1"/>
  <c r="O40" i="84"/>
  <c r="N40" i="84"/>
  <c r="L47" i="84"/>
  <c r="N40" i="83"/>
  <c r="O40" i="83" s="1"/>
  <c r="L47" i="83"/>
  <c r="N40" i="79"/>
  <c r="O40" i="79" s="1"/>
  <c r="L47" i="79"/>
  <c r="L185" i="62"/>
  <c r="N40" i="81"/>
  <c r="O40" i="81" s="1"/>
  <c r="L46" i="81"/>
  <c r="N40" i="87"/>
  <c r="O40" i="87" s="1"/>
  <c r="L47" i="87"/>
  <c r="O40" i="82"/>
  <c r="N40" i="82"/>
  <c r="L47" i="82"/>
  <c r="N40" i="80"/>
  <c r="O40" i="80" s="1"/>
  <c r="L47" i="80"/>
  <c r="N47" i="87" l="1"/>
  <c r="O47" i="87" s="1"/>
  <c r="L50" i="87"/>
  <c r="C42" i="91"/>
  <c r="C42" i="72"/>
  <c r="J40" i="77"/>
  <c r="L40" i="77" s="1"/>
  <c r="J40" i="78"/>
  <c r="L40" i="78" s="1"/>
  <c r="N47" i="79"/>
  <c r="O47" i="79" s="1"/>
  <c r="L50" i="79"/>
  <c r="C35" i="72"/>
  <c r="C35" i="91"/>
  <c r="C32" i="72"/>
  <c r="L50" i="84"/>
  <c r="C32" i="91"/>
  <c r="N47" i="84"/>
  <c r="O47" i="84" s="1"/>
  <c r="L297" i="62"/>
  <c r="L50" i="80"/>
  <c r="C36" i="91"/>
  <c r="C36" i="72"/>
  <c r="N47" i="80"/>
  <c r="O47" i="80" s="1"/>
  <c r="J40" i="86"/>
  <c r="L40" i="86" s="1"/>
  <c r="J40" i="85"/>
  <c r="L40" i="85" s="1"/>
  <c r="C33" i="72"/>
  <c r="C33" i="91"/>
  <c r="N47" i="82"/>
  <c r="O47" i="82" s="1"/>
  <c r="L50" i="82"/>
  <c r="L232" i="62"/>
  <c r="L138" i="62"/>
  <c r="C37" i="91"/>
  <c r="N46" i="81"/>
  <c r="O46" i="81" s="1"/>
  <c r="C37" i="72"/>
  <c r="L49" i="81"/>
  <c r="L160" i="62"/>
  <c r="L50" i="83"/>
  <c r="C34" i="72"/>
  <c r="C34" i="91"/>
  <c r="N47" i="83"/>
  <c r="O47" i="83" s="1"/>
  <c r="C78" i="91" l="1"/>
  <c r="C56" i="91"/>
  <c r="N40" i="86"/>
  <c r="O40" i="86" s="1"/>
  <c r="L47" i="86"/>
  <c r="N50" i="84"/>
  <c r="O50" i="84" s="1"/>
  <c r="D32" i="72"/>
  <c r="L62" i="84"/>
  <c r="D35" i="72"/>
  <c r="N50" i="79"/>
  <c r="O50" i="79" s="1"/>
  <c r="L62" i="79"/>
  <c r="C56" i="72"/>
  <c r="C78" i="72"/>
  <c r="C81" i="72"/>
  <c r="C59" i="72"/>
  <c r="J41" i="73"/>
  <c r="L41" i="73" s="1"/>
  <c r="J41" i="94"/>
  <c r="L41" i="94" s="1"/>
  <c r="J41" i="95"/>
  <c r="L41" i="95" s="1"/>
  <c r="J41" i="64"/>
  <c r="L41" i="64" s="1"/>
  <c r="L47" i="64" s="1"/>
  <c r="L50" i="64" s="1"/>
  <c r="C55" i="91"/>
  <c r="C77" i="91"/>
  <c r="J40" i="89"/>
  <c r="L40" i="89" s="1"/>
  <c r="L47" i="89" s="1"/>
  <c r="J40" i="90"/>
  <c r="L40" i="90" s="1"/>
  <c r="C54" i="72"/>
  <c r="C76" i="72"/>
  <c r="C64" i="91"/>
  <c r="C86" i="91"/>
  <c r="N49" i="81"/>
  <c r="O49" i="81" s="1"/>
  <c r="L61" i="81"/>
  <c r="D37" i="72"/>
  <c r="J41" i="75"/>
  <c r="L41" i="75" s="1"/>
  <c r="J41" i="74"/>
  <c r="L41" i="74" s="1"/>
  <c r="N50" i="80"/>
  <c r="O50" i="80" s="1"/>
  <c r="L62" i="80"/>
  <c r="D36" i="72"/>
  <c r="C86" i="72"/>
  <c r="C64" i="72"/>
  <c r="D34" i="72"/>
  <c r="L62" i="83"/>
  <c r="N50" i="83"/>
  <c r="O50" i="83" s="1"/>
  <c r="C55" i="72"/>
  <c r="C77" i="72"/>
  <c r="C80" i="72"/>
  <c r="C58" i="72"/>
  <c r="C57" i="91"/>
  <c r="C79" i="91"/>
  <c r="N40" i="78"/>
  <c r="O40" i="78" s="1"/>
  <c r="L47" i="78"/>
  <c r="L66" i="87"/>
  <c r="N50" i="87"/>
  <c r="O50" i="87" s="1"/>
  <c r="D42" i="72"/>
  <c r="L62" i="87"/>
  <c r="J40" i="67"/>
  <c r="L40" i="67" s="1"/>
  <c r="J40" i="93"/>
  <c r="L40" i="93" s="1"/>
  <c r="J40" i="76"/>
  <c r="L40" i="76" s="1"/>
  <c r="C81" i="91"/>
  <c r="C59" i="91"/>
  <c r="D33" i="72"/>
  <c r="L62" i="82"/>
  <c r="N50" i="82"/>
  <c r="O50" i="82" s="1"/>
  <c r="O40" i="85"/>
  <c r="N40" i="85"/>
  <c r="L47" i="85"/>
  <c r="C80" i="91"/>
  <c r="C58" i="91"/>
  <c r="C54" i="91"/>
  <c r="C76" i="91"/>
  <c r="C79" i="72"/>
  <c r="C57" i="72"/>
  <c r="N40" i="77"/>
  <c r="O40" i="77" s="1"/>
  <c r="L47" i="77"/>
  <c r="C31" i="72" l="1"/>
  <c r="C31" i="91"/>
  <c r="L50" i="77"/>
  <c r="N47" i="77"/>
  <c r="O47" i="77" s="1"/>
  <c r="D55" i="72"/>
  <c r="D77" i="72"/>
  <c r="N40" i="76"/>
  <c r="O40" i="76" s="1"/>
  <c r="L47" i="76"/>
  <c r="D64" i="72"/>
  <c r="D86" i="72"/>
  <c r="N41" i="75"/>
  <c r="O41" i="75" s="1"/>
  <c r="L47" i="75"/>
  <c r="N62" i="84"/>
  <c r="O62" i="84" s="1"/>
  <c r="L63" i="84"/>
  <c r="K10" i="92"/>
  <c r="N40" i="93"/>
  <c r="O40" i="93"/>
  <c r="L47" i="93"/>
  <c r="K43" i="92"/>
  <c r="L63" i="80"/>
  <c r="L64" i="80" s="1"/>
  <c r="N64" i="80" s="1"/>
  <c r="O64" i="80" s="1"/>
  <c r="N62" i="80"/>
  <c r="O62" i="80" s="1"/>
  <c r="D81" i="72"/>
  <c r="D59" i="72"/>
  <c r="O41" i="94"/>
  <c r="N41" i="94"/>
  <c r="L47" i="94"/>
  <c r="K42" i="92"/>
  <c r="N62" i="79"/>
  <c r="O62" i="79" s="1"/>
  <c r="L63" i="79"/>
  <c r="D76" i="72"/>
  <c r="D54" i="72"/>
  <c r="N47" i="85"/>
  <c r="O47" i="85" s="1"/>
  <c r="C39" i="91"/>
  <c r="C39" i="72"/>
  <c r="L50" i="85"/>
  <c r="D56" i="72"/>
  <c r="D78" i="72"/>
  <c r="D80" i="72"/>
  <c r="D58" i="72"/>
  <c r="O41" i="95"/>
  <c r="N41" i="95"/>
  <c r="L47" i="95"/>
  <c r="O40" i="67"/>
  <c r="N40" i="67"/>
  <c r="N47" i="67" s="1"/>
  <c r="L47" i="67"/>
  <c r="N66" i="87"/>
  <c r="O66" i="87" s="1"/>
  <c r="L68" i="87"/>
  <c r="N68" i="87" s="1"/>
  <c r="O68" i="87" s="1"/>
  <c r="L67" i="87"/>
  <c r="K41" i="92"/>
  <c r="N61" i="81"/>
  <c r="O61" i="81" s="1"/>
  <c r="L62" i="81"/>
  <c r="L63" i="81" s="1"/>
  <c r="N63" i="81" s="1"/>
  <c r="O63" i="81" s="1"/>
  <c r="O40" i="90"/>
  <c r="N40" i="90"/>
  <c r="L47" i="90"/>
  <c r="O41" i="73"/>
  <c r="N41" i="73"/>
  <c r="N47" i="73" s="1"/>
  <c r="L47" i="73"/>
  <c r="K14" i="92"/>
  <c r="L63" i="82"/>
  <c r="N62" i="82"/>
  <c r="O62" i="82" s="1"/>
  <c r="L63" i="87"/>
  <c r="N63" i="87" s="1"/>
  <c r="O63" i="87" s="1"/>
  <c r="N62" i="87"/>
  <c r="O62" i="87" s="1"/>
  <c r="K39" i="92"/>
  <c r="N47" i="78"/>
  <c r="O47" i="78" s="1"/>
  <c r="C30" i="72"/>
  <c r="C30" i="91"/>
  <c r="L50" i="78"/>
  <c r="K13" i="92"/>
  <c r="L63" i="83"/>
  <c r="N62" i="83"/>
  <c r="O62" i="83" s="1"/>
  <c r="N41" i="74"/>
  <c r="O41" i="74" s="1"/>
  <c r="L47" i="74"/>
  <c r="N40" i="89"/>
  <c r="O40" i="89"/>
  <c r="N41" i="64"/>
  <c r="O41" i="64"/>
  <c r="D57" i="72"/>
  <c r="D79" i="72"/>
  <c r="N47" i="86"/>
  <c r="O47" i="86" s="1"/>
  <c r="C38" i="91"/>
  <c r="C38" i="72"/>
  <c r="L50" i="86"/>
  <c r="O47" i="73" l="1"/>
  <c r="L69" i="87"/>
  <c r="N69" i="87" s="1"/>
  <c r="O69" i="87" s="1"/>
  <c r="L70" i="87"/>
  <c r="N63" i="83"/>
  <c r="O63" i="83" s="1"/>
  <c r="G34" i="91"/>
  <c r="G34" i="72"/>
  <c r="M39" i="92"/>
  <c r="L39" i="92"/>
  <c r="L64" i="82"/>
  <c r="N64" i="82" s="1"/>
  <c r="O64" i="82" s="1"/>
  <c r="N63" i="82"/>
  <c r="O63" i="82" s="1"/>
  <c r="G33" i="91"/>
  <c r="G33" i="72"/>
  <c r="L50" i="94"/>
  <c r="N47" i="94"/>
  <c r="O47" i="94" s="1"/>
  <c r="L43" i="92"/>
  <c r="M43" i="92"/>
  <c r="C27" i="72"/>
  <c r="N47" i="75"/>
  <c r="O47" i="75" s="1"/>
  <c r="C27" i="91"/>
  <c r="L50" i="75"/>
  <c r="N47" i="76"/>
  <c r="O47" i="76" s="1"/>
  <c r="C29" i="72"/>
  <c r="L52" i="76"/>
  <c r="C29" i="91"/>
  <c r="C82" i="91"/>
  <c r="C60" i="91"/>
  <c r="N47" i="89"/>
  <c r="O47" i="89" s="1"/>
  <c r="L50" i="89"/>
  <c r="C41" i="91"/>
  <c r="C41" i="72"/>
  <c r="L13" i="92"/>
  <c r="M13" i="92"/>
  <c r="G25" i="92"/>
  <c r="C74" i="72"/>
  <c r="C52" i="72"/>
  <c r="G26" i="92"/>
  <c r="L14" i="92"/>
  <c r="M14" i="92"/>
  <c r="O47" i="67"/>
  <c r="C28" i="72"/>
  <c r="C28" i="91"/>
  <c r="L52" i="67"/>
  <c r="C61" i="91"/>
  <c r="C83" i="91"/>
  <c r="L64" i="79"/>
  <c r="N64" i="79" s="1"/>
  <c r="O64" i="79" s="1"/>
  <c r="N63" i="79"/>
  <c r="O63" i="79" s="1"/>
  <c r="G35" i="72"/>
  <c r="G35" i="91"/>
  <c r="M10" i="92"/>
  <c r="L10" i="92"/>
  <c r="G22" i="92"/>
  <c r="N50" i="77"/>
  <c r="O50" i="77" s="1"/>
  <c r="L62" i="77"/>
  <c r="D31" i="72"/>
  <c r="C60" i="72"/>
  <c r="C82" i="72"/>
  <c r="N47" i="74"/>
  <c r="O47" i="74" s="1"/>
  <c r="L50" i="74"/>
  <c r="C26" i="91"/>
  <c r="C26" i="72"/>
  <c r="C74" i="91"/>
  <c r="C52" i="91"/>
  <c r="M41" i="92"/>
  <c r="L41" i="92"/>
  <c r="N47" i="95"/>
  <c r="O47" i="95" s="1"/>
  <c r="L50" i="95"/>
  <c r="C61" i="72"/>
  <c r="C83" i="72"/>
  <c r="C25" i="72"/>
  <c r="N47" i="64"/>
  <c r="O47" i="64" s="1"/>
  <c r="C25" i="91"/>
  <c r="L64" i="83"/>
  <c r="N64" i="83" s="1"/>
  <c r="O64" i="83" s="1"/>
  <c r="N47" i="90"/>
  <c r="O47" i="90" s="1"/>
  <c r="C40" i="72"/>
  <c r="C40" i="91"/>
  <c r="L50" i="90"/>
  <c r="G37" i="72"/>
  <c r="N62" i="81"/>
  <c r="O62" i="81" s="1"/>
  <c r="G37" i="91"/>
  <c r="G42" i="72"/>
  <c r="G42" i="91"/>
  <c r="N67" i="87"/>
  <c r="O67" i="87" s="1"/>
  <c r="L52" i="93"/>
  <c r="N47" i="93"/>
  <c r="O47" i="93" s="1"/>
  <c r="L64" i="84"/>
  <c r="N64" i="84" s="1"/>
  <c r="O64" i="84" s="1"/>
  <c r="N63" i="84"/>
  <c r="O63" i="84" s="1"/>
  <c r="G32" i="72"/>
  <c r="G32" i="91"/>
  <c r="C75" i="91"/>
  <c r="C53" i="91"/>
  <c r="D38" i="72"/>
  <c r="L62" i="86"/>
  <c r="N50" i="86"/>
  <c r="O50" i="86" s="1"/>
  <c r="D30" i="72"/>
  <c r="N50" i="78"/>
  <c r="O50" i="78" s="1"/>
  <c r="L62" i="78"/>
  <c r="L64" i="87"/>
  <c r="N64" i="87" s="1"/>
  <c r="O64" i="87" s="1"/>
  <c r="C24" i="72"/>
  <c r="C24" i="91"/>
  <c r="L50" i="73"/>
  <c r="N50" i="85"/>
  <c r="O50" i="85" s="1"/>
  <c r="L62" i="85"/>
  <c r="D39" i="72"/>
  <c r="L42" i="92"/>
  <c r="M42" i="92"/>
  <c r="G36" i="91"/>
  <c r="G36" i="72"/>
  <c r="N63" i="80"/>
  <c r="O63" i="80" s="1"/>
  <c r="C75" i="72"/>
  <c r="C53" i="72"/>
  <c r="L71" i="87" l="1"/>
  <c r="N71" i="87" s="1"/>
  <c r="O71" i="87" s="1"/>
  <c r="L62" i="73"/>
  <c r="D24" i="72"/>
  <c r="N50" i="73"/>
  <c r="O50" i="73" s="1"/>
  <c r="K12" i="92"/>
  <c r="N62" i="86"/>
  <c r="O62" i="86" s="1"/>
  <c r="L63" i="86"/>
  <c r="G64" i="91"/>
  <c r="H64" i="91" s="1"/>
  <c r="G86" i="91"/>
  <c r="H42" i="91"/>
  <c r="H86" i="91" s="1"/>
  <c r="G81" i="72"/>
  <c r="G59" i="72"/>
  <c r="H59" i="72" s="1"/>
  <c r="H37" i="72"/>
  <c r="H81" i="72" s="1"/>
  <c r="K37" i="92"/>
  <c r="N62" i="77"/>
  <c r="O62" i="77" s="1"/>
  <c r="L63" i="77"/>
  <c r="N52" i="67"/>
  <c r="O52" i="67" s="1"/>
  <c r="L64" i="67"/>
  <c r="D28" i="72"/>
  <c r="C51" i="91"/>
  <c r="C73" i="91"/>
  <c r="N50" i="75"/>
  <c r="O50" i="75" s="1"/>
  <c r="L63" i="75"/>
  <c r="D27" i="72"/>
  <c r="G77" i="72"/>
  <c r="G55" i="72"/>
  <c r="H55" i="72" s="1"/>
  <c r="H33" i="72"/>
  <c r="H77" i="72" s="1"/>
  <c r="G58" i="72"/>
  <c r="H58" i="72" s="1"/>
  <c r="G80" i="72"/>
  <c r="H36" i="72"/>
  <c r="H80" i="72" s="1"/>
  <c r="D83" i="72"/>
  <c r="D61" i="72"/>
  <c r="D60" i="72"/>
  <c r="D82" i="72"/>
  <c r="G54" i="91"/>
  <c r="H54" i="91" s="1"/>
  <c r="G76" i="91"/>
  <c r="H32" i="91"/>
  <c r="H76" i="91" s="1"/>
  <c r="G86" i="72"/>
  <c r="G64" i="72"/>
  <c r="H64" i="72" s="1"/>
  <c r="H42" i="72"/>
  <c r="H86" i="72" s="1"/>
  <c r="N50" i="95"/>
  <c r="O50" i="95" s="1"/>
  <c r="L62" i="95"/>
  <c r="C70" i="91"/>
  <c r="C48" i="91"/>
  <c r="G79" i="91"/>
  <c r="G57" i="91"/>
  <c r="H57" i="91" s="1"/>
  <c r="H35" i="91"/>
  <c r="H79" i="91" s="1"/>
  <c r="C50" i="91"/>
  <c r="C72" i="91"/>
  <c r="C63" i="72"/>
  <c r="C85" i="72"/>
  <c r="L64" i="76"/>
  <c r="N52" i="76"/>
  <c r="O52" i="76" s="1"/>
  <c r="D29" i="72"/>
  <c r="C71" i="91"/>
  <c r="C49" i="91"/>
  <c r="G77" i="91"/>
  <c r="G55" i="91"/>
  <c r="H55" i="91" s="1"/>
  <c r="H33" i="91"/>
  <c r="H77" i="91" s="1"/>
  <c r="G80" i="91"/>
  <c r="G58" i="91"/>
  <c r="H58" i="91" s="1"/>
  <c r="H36" i="91"/>
  <c r="H80" i="91" s="1"/>
  <c r="L63" i="85"/>
  <c r="K40" i="92"/>
  <c r="N62" i="85"/>
  <c r="O62" i="85" s="1"/>
  <c r="C46" i="72"/>
  <c r="C68" i="72"/>
  <c r="D74" i="72"/>
  <c r="D52" i="72"/>
  <c r="G54" i="72"/>
  <c r="H54" i="72" s="1"/>
  <c r="G76" i="72"/>
  <c r="H32" i="72"/>
  <c r="H76" i="72" s="1"/>
  <c r="N52" i="93"/>
  <c r="O52" i="93" s="1"/>
  <c r="L64" i="93"/>
  <c r="G81" i="91"/>
  <c r="G59" i="91"/>
  <c r="H59" i="91" s="1"/>
  <c r="H37" i="91"/>
  <c r="H81" i="91" s="1"/>
  <c r="C62" i="91"/>
  <c r="C84" i="91"/>
  <c r="C47" i="91"/>
  <c r="C69" i="91"/>
  <c r="N50" i="74"/>
  <c r="O50" i="74" s="1"/>
  <c r="L63" i="74"/>
  <c r="D26" i="72"/>
  <c r="G57" i="72"/>
  <c r="H57" i="72" s="1"/>
  <c r="G79" i="72"/>
  <c r="H35" i="72"/>
  <c r="H79" i="72" s="1"/>
  <c r="C72" i="72"/>
  <c r="C50" i="72"/>
  <c r="C63" i="91"/>
  <c r="C85" i="91"/>
  <c r="C51" i="72"/>
  <c r="C73" i="72"/>
  <c r="G78" i="72"/>
  <c r="G56" i="72"/>
  <c r="H56" i="72" s="1"/>
  <c r="H34" i="72"/>
  <c r="H78" i="72" s="1"/>
  <c r="N70" i="87"/>
  <c r="O70" i="87"/>
  <c r="L63" i="78"/>
  <c r="L64" i="78" s="1"/>
  <c r="N64" i="78" s="1"/>
  <c r="O64" i="78" s="1"/>
  <c r="K9" i="92"/>
  <c r="N62" i="78"/>
  <c r="O62" i="78" s="1"/>
  <c r="C70" i="72"/>
  <c r="C48" i="72"/>
  <c r="C68" i="91"/>
  <c r="C46" i="91"/>
  <c r="L63" i="90"/>
  <c r="K11" i="92" s="1"/>
  <c r="D40" i="72"/>
  <c r="N50" i="90"/>
  <c r="O50" i="90" s="1"/>
  <c r="C69" i="72"/>
  <c r="C47" i="72"/>
  <c r="C62" i="72"/>
  <c r="C84" i="72"/>
  <c r="L62" i="64"/>
  <c r="D25" i="72"/>
  <c r="N50" i="64"/>
  <c r="O50" i="64" s="1"/>
  <c r="D75" i="72"/>
  <c r="D53" i="72"/>
  <c r="L63" i="89"/>
  <c r="N50" i="89"/>
  <c r="O50" i="89" s="1"/>
  <c r="D41" i="72"/>
  <c r="C49" i="72"/>
  <c r="C71" i="72"/>
  <c r="N50" i="94"/>
  <c r="O50" i="94" s="1"/>
  <c r="L62" i="94"/>
  <c r="G56" i="91"/>
  <c r="H56" i="91" s="1"/>
  <c r="G78" i="91"/>
  <c r="H34" i="91"/>
  <c r="H78" i="91" s="1"/>
  <c r="M11" i="92" l="1"/>
  <c r="L11" i="92"/>
  <c r="G23" i="92"/>
  <c r="L65" i="90"/>
  <c r="N65" i="90" s="1"/>
  <c r="O65" i="90" s="1"/>
  <c r="N63" i="90"/>
  <c r="O63" i="90" s="1"/>
  <c r="L64" i="90"/>
  <c r="L40" i="92"/>
  <c r="M40" i="92"/>
  <c r="D49" i="72"/>
  <c r="D71" i="72"/>
  <c r="L12" i="92"/>
  <c r="G24" i="92"/>
  <c r="M12" i="92"/>
  <c r="M9" i="92"/>
  <c r="G21" i="92"/>
  <c r="L9" i="92"/>
  <c r="L65" i="74"/>
  <c r="N65" i="74" s="1"/>
  <c r="O65" i="74" s="1"/>
  <c r="L64" i="74"/>
  <c r="N63" i="74"/>
  <c r="O63" i="74" s="1"/>
  <c r="K7" i="92"/>
  <c r="L65" i="93"/>
  <c r="N65" i="93" s="1"/>
  <c r="O65" i="93" s="1"/>
  <c r="K35" i="92"/>
  <c r="N64" i="93"/>
  <c r="O64" i="93" s="1"/>
  <c r="L64" i="85"/>
  <c r="N64" i="85" s="1"/>
  <c r="O64" i="85" s="1"/>
  <c r="G39" i="91"/>
  <c r="N63" i="85"/>
  <c r="O63" i="85" s="1"/>
  <c r="G39" i="72"/>
  <c r="N64" i="76"/>
  <c r="O64" i="76" s="1"/>
  <c r="K36" i="92"/>
  <c r="L65" i="76"/>
  <c r="L66" i="76" s="1"/>
  <c r="N66" i="76" s="1"/>
  <c r="O66" i="76" s="1"/>
  <c r="L65" i="75"/>
  <c r="N65" i="75" s="1"/>
  <c r="O65" i="75" s="1"/>
  <c r="N63" i="75"/>
  <c r="O63" i="75" s="1"/>
  <c r="L64" i="75"/>
  <c r="K34" i="92"/>
  <c r="L64" i="77"/>
  <c r="N64" i="77" s="1"/>
  <c r="O64" i="77" s="1"/>
  <c r="G31" i="91"/>
  <c r="N63" i="77"/>
  <c r="O63" i="77" s="1"/>
  <c r="G31" i="72"/>
  <c r="L64" i="94"/>
  <c r="N64" i="94" s="1"/>
  <c r="O64" i="94" s="1"/>
  <c r="N62" i="94"/>
  <c r="O62" i="94" s="1"/>
  <c r="K6" i="92"/>
  <c r="L63" i="94"/>
  <c r="N63" i="94" s="1"/>
  <c r="O63" i="94" s="1"/>
  <c r="D47" i="72"/>
  <c r="D69" i="72"/>
  <c r="G30" i="72"/>
  <c r="N63" i="78"/>
  <c r="O63" i="78" s="1"/>
  <c r="G30" i="91"/>
  <c r="N62" i="95"/>
  <c r="O62" i="95" s="1"/>
  <c r="L63" i="95"/>
  <c r="N63" i="95" s="1"/>
  <c r="O63" i="95" s="1"/>
  <c r="L64" i="95"/>
  <c r="N64" i="95" s="1"/>
  <c r="O64" i="95" s="1"/>
  <c r="K33" i="92"/>
  <c r="D50" i="72"/>
  <c r="D72" i="72"/>
  <c r="L64" i="86"/>
  <c r="N64" i="86" s="1"/>
  <c r="O64" i="86" s="1"/>
  <c r="G38" i="72"/>
  <c r="N63" i="86"/>
  <c r="O63" i="86" s="1"/>
  <c r="G38" i="91"/>
  <c r="D68" i="72"/>
  <c r="D46" i="72"/>
  <c r="D48" i="72"/>
  <c r="D70" i="72"/>
  <c r="N63" i="89"/>
  <c r="O63" i="89" s="1"/>
  <c r="L64" i="89"/>
  <c r="K38" i="92"/>
  <c r="L65" i="89"/>
  <c r="N65" i="89" s="1"/>
  <c r="O65" i="89" s="1"/>
  <c r="D63" i="72"/>
  <c r="D85" i="72"/>
  <c r="K32" i="92"/>
  <c r="N62" i="64"/>
  <c r="O62" i="64" s="1"/>
  <c r="L63" i="64"/>
  <c r="L64" i="64"/>
  <c r="N64" i="64" s="1"/>
  <c r="O64" i="64" s="1"/>
  <c r="D84" i="72"/>
  <c r="D62" i="72"/>
  <c r="D51" i="72"/>
  <c r="D73" i="72"/>
  <c r="L65" i="67"/>
  <c r="N64" i="67"/>
  <c r="O64" i="67" s="1"/>
  <c r="K8" i="92"/>
  <c r="L37" i="92"/>
  <c r="M37" i="92"/>
  <c r="K5" i="92"/>
  <c r="L63" i="73"/>
  <c r="L64" i="73"/>
  <c r="N64" i="73" s="1"/>
  <c r="O64" i="73" s="1"/>
  <c r="N62" i="73"/>
  <c r="O62" i="73" s="1"/>
  <c r="L66" i="74" l="1"/>
  <c r="N66" i="74" s="1"/>
  <c r="O66" i="74" s="1"/>
  <c r="L65" i="95"/>
  <c r="N65" i="95" s="1"/>
  <c r="O65" i="95" s="1"/>
  <c r="L65" i="64"/>
  <c r="N65" i="64" s="1"/>
  <c r="O65" i="64" s="1"/>
  <c r="L66" i="93"/>
  <c r="N66" i="93" s="1"/>
  <c r="O66" i="93" s="1"/>
  <c r="G41" i="72"/>
  <c r="G41" i="91"/>
  <c r="N64" i="89"/>
  <c r="O64" i="89" s="1"/>
  <c r="L6" i="92"/>
  <c r="M6" i="92"/>
  <c r="N65" i="67"/>
  <c r="O65" i="67" s="1"/>
  <c r="G28" i="72"/>
  <c r="G28" i="91"/>
  <c r="L66" i="89"/>
  <c r="N66" i="89" s="1"/>
  <c r="O66" i="89" s="1"/>
  <c r="L33" i="92"/>
  <c r="M33" i="92"/>
  <c r="G74" i="91"/>
  <c r="G52" i="91"/>
  <c r="H52" i="91" s="1"/>
  <c r="H30" i="91"/>
  <c r="H74" i="91" s="1"/>
  <c r="G53" i="91"/>
  <c r="H53" i="91" s="1"/>
  <c r="G75" i="91"/>
  <c r="H31" i="91"/>
  <c r="H75" i="91" s="1"/>
  <c r="G27" i="91"/>
  <c r="G27" i="72"/>
  <c r="N64" i="75"/>
  <c r="O64" i="75" s="1"/>
  <c r="N65" i="76"/>
  <c r="O65" i="76" s="1"/>
  <c r="G29" i="72"/>
  <c r="G29" i="91"/>
  <c r="G19" i="92"/>
  <c r="L7" i="92"/>
  <c r="M7" i="92"/>
  <c r="G24" i="72"/>
  <c r="N63" i="73"/>
  <c r="O63" i="73" s="1"/>
  <c r="G24" i="91"/>
  <c r="L66" i="67"/>
  <c r="N66" i="67" s="1"/>
  <c r="O66" i="67" s="1"/>
  <c r="L32" i="92"/>
  <c r="M32" i="92"/>
  <c r="G82" i="91"/>
  <c r="G60" i="91"/>
  <c r="H60" i="91" s="1"/>
  <c r="H38" i="91"/>
  <c r="H82" i="91" s="1"/>
  <c r="L65" i="94"/>
  <c r="N65" i="94" s="1"/>
  <c r="O65" i="94" s="1"/>
  <c r="M36" i="92"/>
  <c r="L36" i="92"/>
  <c r="G61" i="91"/>
  <c r="H61" i="91" s="1"/>
  <c r="G83" i="91"/>
  <c r="H39" i="91"/>
  <c r="H83" i="91" s="1"/>
  <c r="M35" i="92"/>
  <c r="L35" i="92"/>
  <c r="G25" i="72"/>
  <c r="G25" i="91"/>
  <c r="N63" i="64"/>
  <c r="O63" i="64" s="1"/>
  <c r="G60" i="72"/>
  <c r="H60" i="72" s="1"/>
  <c r="G82" i="72"/>
  <c r="H38" i="72"/>
  <c r="H82" i="72" s="1"/>
  <c r="M34" i="92"/>
  <c r="L34" i="92"/>
  <c r="G83" i="72"/>
  <c r="G61" i="72"/>
  <c r="H61" i="72" s="1"/>
  <c r="H39" i="72"/>
  <c r="H83" i="72" s="1"/>
  <c r="G40" i="72"/>
  <c r="G40" i="91"/>
  <c r="N64" i="90"/>
  <c r="O64" i="90" s="1"/>
  <c r="L65" i="73"/>
  <c r="N65" i="73" s="1"/>
  <c r="O65" i="73" s="1"/>
  <c r="M5" i="92"/>
  <c r="G18" i="92"/>
  <c r="L5" i="92"/>
  <c r="L8" i="92"/>
  <c r="M8" i="92"/>
  <c r="G20" i="92"/>
  <c r="L38" i="92"/>
  <c r="M38" i="92"/>
  <c r="G52" i="72"/>
  <c r="H52" i="72" s="1"/>
  <c r="G74" i="72"/>
  <c r="H30" i="72"/>
  <c r="H74" i="72" s="1"/>
  <c r="G75" i="72"/>
  <c r="G53" i="72"/>
  <c r="H53" i="72" s="1"/>
  <c r="H31" i="72"/>
  <c r="H75" i="72" s="1"/>
  <c r="L66" i="75"/>
  <c r="N66" i="75" s="1"/>
  <c r="O66" i="75" s="1"/>
  <c r="G26" i="72"/>
  <c r="G26" i="91"/>
  <c r="N64" i="74"/>
  <c r="O64" i="74" s="1"/>
  <c r="L66" i="90"/>
  <c r="N66" i="90" s="1"/>
  <c r="O66" i="90" s="1"/>
  <c r="G84" i="91" l="1"/>
  <c r="G62" i="91"/>
  <c r="H62" i="91" s="1"/>
  <c r="H40" i="91"/>
  <c r="H84" i="91" s="1"/>
  <c r="G72" i="91"/>
  <c r="G50" i="91"/>
  <c r="H50" i="91" s="1"/>
  <c r="H28" i="91"/>
  <c r="H72" i="91" s="1"/>
  <c r="G48" i="91"/>
  <c r="H48" i="91" s="1"/>
  <c r="G70" i="91"/>
  <c r="H26" i="91"/>
  <c r="H70" i="91" s="1"/>
  <c r="G84" i="72"/>
  <c r="G62" i="72"/>
  <c r="H62" i="72" s="1"/>
  <c r="H40" i="72"/>
  <c r="H84" i="72" s="1"/>
  <c r="G68" i="72"/>
  <c r="G46" i="72"/>
  <c r="H46" i="72" s="1"/>
  <c r="H24" i="72"/>
  <c r="H68" i="72" s="1"/>
  <c r="G73" i="91"/>
  <c r="G51" i="91"/>
  <c r="H51" i="91" s="1"/>
  <c r="H29" i="91"/>
  <c r="H73" i="91" s="1"/>
  <c r="G49" i="72"/>
  <c r="H49" i="72" s="1"/>
  <c r="G71" i="72"/>
  <c r="H27" i="72"/>
  <c r="H71" i="72" s="1"/>
  <c r="G50" i="72"/>
  <c r="H50" i="72" s="1"/>
  <c r="G72" i="72"/>
  <c r="H28" i="72"/>
  <c r="H72" i="72" s="1"/>
  <c r="G48" i="72"/>
  <c r="H48" i="72" s="1"/>
  <c r="G70" i="72"/>
  <c r="H26" i="72"/>
  <c r="H70" i="72" s="1"/>
  <c r="G73" i="72"/>
  <c r="G51" i="72"/>
  <c r="H51" i="72" s="1"/>
  <c r="H29" i="72"/>
  <c r="H73" i="72" s="1"/>
  <c r="G49" i="91"/>
  <c r="H49" i="91" s="1"/>
  <c r="G71" i="91"/>
  <c r="H27" i="91"/>
  <c r="H71" i="91" s="1"/>
  <c r="G63" i="91"/>
  <c r="H63" i="91" s="1"/>
  <c r="G85" i="91"/>
  <c r="H41" i="91"/>
  <c r="H85" i="91" s="1"/>
  <c r="G47" i="72"/>
  <c r="H47" i="72" s="1"/>
  <c r="G69" i="72"/>
  <c r="H25" i="72"/>
  <c r="H69" i="72" s="1"/>
  <c r="G69" i="91"/>
  <c r="G47" i="91"/>
  <c r="H47" i="91" s="1"/>
  <c r="H25" i="91"/>
  <c r="H69" i="91" s="1"/>
  <c r="G46" i="91"/>
  <c r="H46" i="91" s="1"/>
  <c r="G68" i="91"/>
  <c r="H24" i="91"/>
  <c r="H68" i="91" s="1"/>
  <c r="G85" i="72"/>
  <c r="G63" i="72"/>
  <c r="H63" i="72" s="1"/>
  <c r="H41" i="72"/>
  <c r="H85" i="72" s="1"/>
</calcChain>
</file>

<file path=xl/comments1.xml><?xml version="1.0" encoding="utf-8"?>
<comments xmlns="http://schemas.openxmlformats.org/spreadsheetml/2006/main">
  <authors>
    <author>Patti Eitel</author>
    <author>Sarah Hughes</author>
  </authors>
  <commentList>
    <comment ref="L5" authorId="0" shapeId="0">
      <text>
        <r>
          <rPr>
            <b/>
            <sz val="9"/>
            <color indexed="81"/>
            <rFont val="Tahoma"/>
            <family val="2"/>
          </rPr>
          <t>Patti Eitel:</t>
        </r>
        <r>
          <rPr>
            <sz val="9"/>
            <color indexed="81"/>
            <rFont val="Tahoma"/>
            <family val="2"/>
          </rPr>
          <t xml:space="preserve">
use annual average GA</t>
        </r>
      </text>
    </comment>
    <comment ref="H225" authorId="1" shapeId="0">
      <text>
        <r>
          <rPr>
            <b/>
            <sz val="9"/>
            <color indexed="81"/>
            <rFont val="Tahoma"/>
            <family val="2"/>
          </rPr>
          <t>Sarah Hughes:</t>
        </r>
        <r>
          <rPr>
            <sz val="9"/>
            <color indexed="81"/>
            <rFont val="Tahoma"/>
            <family val="2"/>
          </rPr>
          <t xml:space="preserve">
What is this for? I don't believe CND has a SMIRR?</t>
        </r>
      </text>
    </comment>
    <comment ref="K225" authorId="1" shapeId="0">
      <text>
        <r>
          <rPr>
            <b/>
            <sz val="9"/>
            <color indexed="81"/>
            <rFont val="Tahoma"/>
            <family val="2"/>
          </rPr>
          <t>Sarah Hughes:</t>
        </r>
        <r>
          <rPr>
            <sz val="9"/>
            <color indexed="81"/>
            <rFont val="Tahoma"/>
            <family val="2"/>
          </rPr>
          <t xml:space="preserve">
What is this for? I don't believe CND has a SMIRR?</t>
        </r>
      </text>
    </comment>
  </commentList>
</comments>
</file>

<file path=xl/sharedStrings.xml><?xml version="1.0" encoding="utf-8"?>
<sst xmlns="http://schemas.openxmlformats.org/spreadsheetml/2006/main" count="2905" uniqueCount="261">
  <si>
    <t>Customer Class:</t>
  </si>
  <si>
    <t>Consumption</t>
  </si>
  <si>
    <t>Rate</t>
  </si>
  <si>
    <t>Volume</t>
  </si>
  <si>
    <t>Charge</t>
  </si>
  <si>
    <t>Line Losses on Cost of Power</t>
  </si>
  <si>
    <t>TOU - Off Peak</t>
  </si>
  <si>
    <t>TOU - Mid Peak</t>
  </si>
  <si>
    <t>TOU - On Peak</t>
  </si>
  <si>
    <t>HST</t>
  </si>
  <si>
    <t>Loss Factor (%)</t>
  </si>
  <si>
    <t>Residential</t>
  </si>
  <si>
    <t>Global Adjustment</t>
  </si>
  <si>
    <t>kWh</t>
  </si>
  <si>
    <t>Commodity</t>
  </si>
  <si>
    <t>Delivery - LDC</t>
  </si>
  <si>
    <t>Delivery - Transmission</t>
  </si>
  <si>
    <t>Regulatory - IESO</t>
  </si>
  <si>
    <t>Delivery - Pass Through</t>
  </si>
  <si>
    <t>BRT 2018</t>
  </si>
  <si>
    <t>CND 2018</t>
  </si>
  <si>
    <t>E+ 2019</t>
  </si>
  <si>
    <t>Description</t>
  </si>
  <si>
    <t>Rate Class</t>
  </si>
  <si>
    <t>Rate Table Category</t>
  </si>
  <si>
    <t>Per Unit</t>
  </si>
  <si>
    <t>Service Charge</t>
  </si>
  <si>
    <t>customer</t>
  </si>
  <si>
    <t>Rate Rider for Smart Metering Entity Charge - effective until October 31, 2018</t>
  </si>
  <si>
    <t>Distribution Volumetric Rate</t>
  </si>
  <si>
    <t>Low Voltage Service Rate</t>
  </si>
  <si>
    <t>Retail Transmission Rate – Network Service Rate</t>
  </si>
  <si>
    <t>Retail Transmission Rate – Line and Transformation Connection Service Rate</t>
  </si>
  <si>
    <t xml:space="preserve">Wholesale Market Service Rate </t>
  </si>
  <si>
    <t xml:space="preserve">Rural Rate Protection Charge </t>
  </si>
  <si>
    <t>Standard Supply Service – Administrative Charge (if applicable)</t>
  </si>
  <si>
    <t>General Service &lt; 50 kW</t>
  </si>
  <si>
    <t>kW</t>
  </si>
  <si>
    <t>General Service 1,000 to 4,999 kW</t>
  </si>
  <si>
    <t>Large User</t>
  </si>
  <si>
    <t>USL</t>
  </si>
  <si>
    <t>connection</t>
  </si>
  <si>
    <t>Street Lighting</t>
  </si>
  <si>
    <t>CND  2017</t>
  </si>
  <si>
    <t>BRT  2017</t>
  </si>
  <si>
    <t xml:space="preserve">Rate Rider for Disposition of Deferral/Variance Accounts </t>
  </si>
  <si>
    <t>Rate Rider for Disposition of Deferral/Variance Accounts Non-WMP Customers</t>
  </si>
  <si>
    <t>Rate Rider for Disposition of GA DV</t>
  </si>
  <si>
    <t>Rate Rider for LRAMVA</t>
  </si>
  <si>
    <t>Rate Rider ACM</t>
  </si>
  <si>
    <t>Rate Rider MIST</t>
  </si>
  <si>
    <t>Capacity Based Rcovery(CBR) - Class B Customers</t>
  </si>
  <si>
    <t>General Service &gt; 50-999 kW</t>
  </si>
  <si>
    <t>Retail Transmission Rate – Network Service Rate Interval Metered &lt;1,000 kW</t>
  </si>
  <si>
    <t>Retail Transmission Rate – Line and Transformation Connection Service Rate - Interval Metered &lt; 1,000 kW</t>
  </si>
  <si>
    <t xml:space="preserve">Sentinel </t>
  </si>
  <si>
    <t>All</t>
  </si>
  <si>
    <t>Embedded CND HON</t>
  </si>
  <si>
    <t>Embedded CND WNH</t>
  </si>
  <si>
    <t>Embedded BRT BPI</t>
  </si>
  <si>
    <t>Loss Adjustment Factor</t>
  </si>
  <si>
    <t>Impact</t>
  </si>
  <si>
    <t>$ Change</t>
  </si>
  <si>
    <t>% Change</t>
  </si>
  <si>
    <t>Sub-Total A (excluding pass through)</t>
  </si>
  <si>
    <t>Rate Rider Other Volumetric</t>
  </si>
  <si>
    <t>Rate Rider Other Fixed</t>
  </si>
  <si>
    <t xml:space="preserve"> </t>
  </si>
  <si>
    <t>File Number:</t>
  </si>
  <si>
    <t>Exhibit:</t>
  </si>
  <si>
    <t>Tab:</t>
  </si>
  <si>
    <t>Schedule:</t>
  </si>
  <si>
    <t>Page:</t>
  </si>
  <si>
    <t>Date:</t>
  </si>
  <si>
    <t>Appendix 2-W</t>
  </si>
  <si>
    <t>Bill Impacts</t>
  </si>
  <si>
    <t>TOU / non-TOU:</t>
  </si>
  <si>
    <t>TOU</t>
  </si>
  <si>
    <t xml:space="preserve"> kWh</t>
  </si>
  <si>
    <t>($)</t>
  </si>
  <si>
    <t>Sub-Total B - Distribution (includes Sub-Total A)</t>
  </si>
  <si>
    <t>Sub-Total C - Delivery (including Sub-Total B)</t>
  </si>
  <si>
    <t>Total Bill on TOU (before Taxes)</t>
  </si>
  <si>
    <t>Total Bill on TOU</t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</si>
  <si>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</si>
  <si>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</si>
  <si>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750 kWh and GS&lt;50kW at 2000 kWh. In addition, their filing must cover the range that is relevant</t>
  </si>
  <si>
    <t>to their service territory, class by class. A general guideline of consumption levels follows:</t>
  </si>
  <si>
    <t>Residential (kWh) - 100, 250, 500, 750,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</si>
  <si>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</si>
  <si>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</si>
  <si>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</si>
  <si>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</si>
  <si>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Note that cells with the highlighted color shown to the left indicate quantities that are loss adjusted.</t>
  </si>
  <si>
    <t>non-TOU</t>
  </si>
  <si>
    <t>SPOT CLASS B</t>
  </si>
  <si>
    <t xml:space="preserve"> kW</t>
  </si>
  <si>
    <t>Total Bill on Average IESO Wholesale Market Price (before Taxes)</t>
  </si>
  <si>
    <t>Total Bill on Average IESO Wholesale Market Price</t>
  </si>
  <si>
    <t>Total Bill on RPP (before Taxes)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</si>
  <si>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</si>
  <si>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</si>
  <si>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RPP (including OCEB)</t>
  </si>
  <si>
    <t>Order</t>
  </si>
  <si>
    <r>
      <rPr>
        <b/>
        <sz val="10"/>
        <color rgb="FFFF0000"/>
        <rFont val="Arial"/>
        <family val="2"/>
      </rPr>
      <t>Jan. 1, 2019</t>
    </r>
    <r>
      <rPr>
        <b/>
        <sz val="10"/>
        <rFont val="Arial"/>
        <family val="2"/>
      </rPr>
      <t xml:space="preserve"> Proposed</t>
    </r>
  </si>
  <si>
    <t>2018 Estimated</t>
  </si>
  <si>
    <t>HST Rebate</t>
  </si>
  <si>
    <t>RESIDENTIAL SERVICE - Former Brant County Power</t>
  </si>
  <si>
    <t>RESIDENTIAL SERVICE - Former Cambridge North Dumfries</t>
  </si>
  <si>
    <t>GS&lt; 50 kW - Former Cambridge North Dumfries</t>
  </si>
  <si>
    <t>Other Fixed</t>
  </si>
  <si>
    <t>Other Volumetric</t>
  </si>
  <si>
    <t>GS&lt; 50 kW - Former Brant County</t>
  </si>
  <si>
    <t>kVa</t>
  </si>
  <si>
    <t>Debt Retirement Charge</t>
  </si>
  <si>
    <t>All but low volume</t>
  </si>
  <si>
    <t>Line Losses on Cost of Power (included below)</t>
  </si>
  <si>
    <t>GENERAL SERVICE 50 TO 999 kW SERVICE - Former Cambridge North Dumfries</t>
  </si>
  <si>
    <t>GENERAL SERVICE 50 TO 999 kW SERVICE - Former Brant County</t>
  </si>
  <si>
    <t>GENERAL SERVICE 1000 TO 4999 kW SERVICE - Former Brant County</t>
  </si>
  <si>
    <t>GENERAL SERVICE 1000 TO 4999 kW SERVICE - Former Cambridge North Dumfries</t>
  </si>
  <si>
    <t>EMB - BPI - Former Brant County</t>
  </si>
  <si>
    <t>EMB - WNH - Former Cambridge North Dumfries</t>
  </si>
  <si>
    <t>LARGE USER - Former Cambridge North Dumfries</t>
  </si>
  <si>
    <t>STREET LIGHTING - Former Brant County</t>
  </si>
  <si>
    <t>STREET LIGHTING - Former Cambridge North Dumfries</t>
  </si>
  <si>
    <t>SENTINEL LIGHTING - Former Brant County</t>
  </si>
  <si>
    <t xml:space="preserve"> CLASS B</t>
  </si>
  <si>
    <t>USL - Former Brant County</t>
  </si>
  <si>
    <t>USL - Former Cambridge North Dumfries</t>
  </si>
  <si>
    <t>Residential (former CND)</t>
  </si>
  <si>
    <t>Residential (former BCP)</t>
  </si>
  <si>
    <t>General Service &lt; 50 kW (former CND)</t>
  </si>
  <si>
    <t>General Service &lt; 50 kW (former BCP)</t>
  </si>
  <si>
    <t>General Service  &gt;50-999 kW (former CND)</t>
  </si>
  <si>
    <t>General Service  &gt;50-999 kW (GS &gt; 50-4999 kW former BCP)</t>
  </si>
  <si>
    <t>General Service  &gt;1000-4999 kW (former CND)</t>
  </si>
  <si>
    <t>Large User (former CND)</t>
  </si>
  <si>
    <t>Embedded Distributor BPI  (GS &gt; 50-4999 kW former BCP)</t>
  </si>
  <si>
    <t>Embedded Distributor HON (former CND)</t>
  </si>
  <si>
    <t>Embedded Distributor WNH (former CND)</t>
  </si>
  <si>
    <t>Unmetered Scattered Load (former CND)</t>
  </si>
  <si>
    <t>Unmetered Scattered Load (former BCP)</t>
  </si>
  <si>
    <t>Street Lighting (former CND)</t>
  </si>
  <si>
    <t>Street Lighting (former BCP)</t>
  </si>
  <si>
    <t>Sentinel Lighting (former BCP)</t>
  </si>
  <si>
    <t>General Service  &gt;1000-4999 kW (GS &gt; 50-4999 kW former BCP)</t>
  </si>
  <si>
    <t>2018 Estimated  Delivery</t>
  </si>
  <si>
    <t>2018 Estimated Pass-Thru</t>
  </si>
  <si>
    <t>2018 Estimated Transmission</t>
  </si>
  <si>
    <t>2018 Estimated Regulatory - IESO</t>
  </si>
  <si>
    <t>2018 Estimated HST</t>
  </si>
  <si>
    <t>Total 2018 Estimated Bill</t>
  </si>
  <si>
    <t>2019 Proposed  Delivery</t>
  </si>
  <si>
    <t>2019 Proposed Pass-Thru</t>
  </si>
  <si>
    <t>2019 Proposed Transmission</t>
  </si>
  <si>
    <t>2019 Proposed Regulatory - IESO</t>
  </si>
  <si>
    <t>2019 Proposed HST</t>
  </si>
  <si>
    <t>Total 2019 Proposed Bill</t>
  </si>
  <si>
    <t>Variance  Delivery</t>
  </si>
  <si>
    <t>Variance Pass-Thru</t>
  </si>
  <si>
    <t>Variance Transmission</t>
  </si>
  <si>
    <t>Variance Regulatory - IESO</t>
  </si>
  <si>
    <t>Variance HST</t>
  </si>
  <si>
    <t>Total Variance Bill</t>
  </si>
  <si>
    <t>Variance</t>
  </si>
  <si>
    <t>% Variance Transmission</t>
  </si>
  <si>
    <t>% Variance Pass-Thru</t>
  </si>
  <si>
    <t>% Variance  Delivery</t>
  </si>
  <si>
    <t>% Variance Regulatory - IESO</t>
  </si>
  <si>
    <t>% Variance HST</t>
  </si>
  <si>
    <t>% Total Variance Bill</t>
  </si>
  <si>
    <t>% Variance</t>
  </si>
  <si>
    <t>2019 Proposed  Commodity</t>
  </si>
  <si>
    <t>2018 Estimated Commodity</t>
  </si>
  <si>
    <t>Variance  Commodity</t>
  </si>
  <si>
    <t>% Variance  Commodity</t>
  </si>
  <si>
    <t>Embedded Distributor HON CND (former CND)</t>
  </si>
  <si>
    <t>Embedded Distributor HON 1 (GS &gt; 50-4999 kW former BCP)</t>
  </si>
  <si>
    <t>Embedded Distributor HON 2 (GS &gt; 50-4999 kW former BCP)</t>
  </si>
  <si>
    <t>Embedded BRT HON 1</t>
  </si>
  <si>
    <t>Embedded BRT HON 2</t>
  </si>
  <si>
    <t>NOTE:  I do not see a Transformer Allowance on this Rates Schedule</t>
  </si>
  <si>
    <t>CND 2019</t>
  </si>
  <si>
    <t>BRT 2019</t>
  </si>
  <si>
    <t>NH - 1575 &amp; 1576 are combined</t>
  </si>
  <si>
    <t>Group 2 volumetric base</t>
  </si>
  <si>
    <t>OEB # 1575 &amp; 1576 are combined</t>
  </si>
  <si>
    <t>Non Interval, only Applicable for BCP</t>
  </si>
  <si>
    <t>CND doesn't have interval/Non Interval break down</t>
  </si>
  <si>
    <t>Confirm with Sarah/Bruce</t>
  </si>
  <si>
    <t>Only Applicanle for BCP</t>
  </si>
  <si>
    <t>Only Applicable for CND</t>
  </si>
  <si>
    <t>OEB # 1575 &amp; 1576 are combined. Only Applicable for CND</t>
  </si>
  <si>
    <t>Only Applicable for BCP</t>
  </si>
  <si>
    <t>OEB # 1575 &amp; 1576 are combined. Only Applicable for BCP</t>
  </si>
  <si>
    <t>DVA 2, Only Applicable for CND</t>
  </si>
  <si>
    <t>Group 2 volumetric base. Only Applicable for BCP</t>
  </si>
  <si>
    <t>Group 2 volumetric base. Only Applicable for CND</t>
  </si>
  <si>
    <t>Acct # 1555 Stranded Meters</t>
  </si>
  <si>
    <t>OEB # 1557 (MIST Meters)</t>
  </si>
  <si>
    <t>Only applicable for CND</t>
  </si>
  <si>
    <t>Customer</t>
  </si>
  <si>
    <t>Check with Sarah about NW and CN for GS&lt;1000</t>
  </si>
  <si>
    <t>Check with Sarah - DRC Should be Raw</t>
  </si>
  <si>
    <t xml:space="preserve">The GA should be excluded from USL </t>
  </si>
  <si>
    <t>Distribution (Fixed &amp; Volumetric)</t>
  </si>
  <si>
    <t>Total Bill (Excluding HST)</t>
  </si>
  <si>
    <t>Proposed</t>
  </si>
  <si>
    <t>% Impact</t>
  </si>
  <si>
    <t>% of total bill  that is distribution revenue</t>
  </si>
  <si>
    <t>Rate Class, Categories</t>
  </si>
  <si>
    <t xml:space="preserve">Current </t>
  </si>
  <si>
    <t>GS &gt;50 to 999 kW</t>
  </si>
  <si>
    <t>GS &gt;1,000 to 4,999</t>
  </si>
  <si>
    <t>Large Use</t>
  </si>
  <si>
    <t>Unmetered Scattered Load</t>
  </si>
  <si>
    <t>EMB - WNH</t>
  </si>
  <si>
    <t>EMB - HONI</t>
  </si>
  <si>
    <t>GS &lt; 50 kW</t>
  </si>
  <si>
    <t>Current 2018</t>
  </si>
  <si>
    <t>Proposed 2019</t>
  </si>
  <si>
    <t>EMB - BPI</t>
  </si>
  <si>
    <t>EMB - HON #1</t>
  </si>
  <si>
    <t>EMB - HON #2</t>
  </si>
  <si>
    <t>Sentinel Lighting</t>
  </si>
  <si>
    <t>Notes:</t>
  </si>
  <si>
    <t>DRC is not calculated compare to IRM Bill Impact</t>
  </si>
  <si>
    <t>Note:</t>
  </si>
  <si>
    <t>GA Rate Rider should be Excluded</t>
  </si>
  <si>
    <t xml:space="preserve">Rate Rider for Smart Meter (Stranded Meters) </t>
  </si>
  <si>
    <t>Rate Rider for Disposition of Account 1575 and 1576</t>
  </si>
  <si>
    <t>GS &gt;50 to 999 kW Interval &lt;1000</t>
  </si>
  <si>
    <t>EMB - HON 2 - Brant County (Accounts 702200; 702240, 702210,702190)</t>
  </si>
  <si>
    <t>SAMPLE ONE ACCOUNT (702200)</t>
  </si>
  <si>
    <t>EMB - HON 1 - Brant County (Account 702180)</t>
  </si>
  <si>
    <t>EMB - HON - Cambridge and North Dumfries</t>
  </si>
  <si>
    <t>TOYOTA MANUFACTURING</t>
  </si>
  <si>
    <t>CANADIAN GENERAL TOWER LTD</t>
  </si>
  <si>
    <t>Class</t>
  </si>
  <si>
    <t>Customer Class</t>
  </si>
  <si>
    <t>Secondary Metered &gt; 5,000kW</t>
  </si>
  <si>
    <t>LU</t>
  </si>
  <si>
    <t>GS&gt;1000</t>
  </si>
  <si>
    <t>Primary Metered &lt; 5,000kW</t>
  </si>
  <si>
    <t>Primary Metered &gt; 5,000kW</t>
  </si>
  <si>
    <t>2018 Loss Factor</t>
  </si>
  <si>
    <t>2017 BCP LOSS Factor:</t>
  </si>
  <si>
    <t>2017 CND LOSS Factor:</t>
  </si>
  <si>
    <t>2018 Proposed Loss Factor</t>
  </si>
  <si>
    <t>All other Class Except Following Customers</t>
  </si>
  <si>
    <t>Secondary Metered &lt; 5,000kW</t>
  </si>
  <si>
    <t>2017 Loss Factor BCP</t>
  </si>
  <si>
    <t>2017 Loss Factor CND</t>
  </si>
  <si>
    <t>RES</t>
  </si>
  <si>
    <t>Rate Rider for gain on Sale of Property</t>
  </si>
  <si>
    <t>CND - New Class A Customers</t>
  </si>
  <si>
    <t>BCP - New Class A Customers</t>
  </si>
  <si>
    <t>CND Service Territory</t>
  </si>
  <si>
    <t>Brant Service Territory</t>
  </si>
  <si>
    <t>Rate Rider for Disposition of Capacity Based Recovery Account (2018) - Applicable only for Class B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</si>
</sst>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-&quot;$&quot;* #,##0.0000_-;\-&quot;$&quot;* #,##0.0000_-;_-&quot;$&quot;* &quot;-&quot;??_-;_-@_-"/>
    <numFmt numFmtId="168" formatCode="0.000"/>
    <numFmt numFmtId="169" formatCode="#,##0.0000_);[Red]\(#,##0.0000\)"/>
    <numFmt numFmtId="170" formatCode="_(* #,##0.0000_);_(* \(#,##0.0000\);_(* &quot;-&quot;??_);_(@_)"/>
    <numFmt numFmtId="171" formatCode="#,##0.00000_);[Red]\(#,##0.00000\)"/>
    <numFmt numFmtId="172" formatCode="#,##0.00000;[Red]\-#,##0.00000"/>
    <numFmt numFmtId="173" formatCode="0.0000"/>
    <numFmt numFmtId="174" formatCode="0.00000"/>
    <numFmt numFmtId="175" formatCode="_-&quot;$&quot;* #,##0.00000_-;\-&quot;$&quot;* #,##0.00000_-;_-&quot;$&quot;* &quot;-&quot;??_-;_-@_-"/>
    <numFmt numFmtId="176" formatCode="_-&quot;$&quot;* #,##0.000000_-;\-&quot;$&quot;* #,##0.000000_-;_-&quot;$&quot;* &quot;-&quot;??_-;_-@_-"/>
    <numFmt numFmtId="177" formatCode="_(&quot;$&quot;* #,##0.0000_);_(&quot;$&quot;* \(#,##0.0000\);_(&quot;$&quot;* &quot;-&quot;??_);_(@_)"/>
    <numFmt numFmtId="178" formatCode="0.0%"/>
    <numFmt numFmtId="179" formatCode="_(* #,##0_);_(* \(#,##0\);_(* &quot;-&quot;??_);_(@_)"/>
    <numFmt numFmtId="180" formatCode="_(&quot;$&quot;* #,##0.000_);_(&quot;$&quot;* \(#,##0.000\);_(&quot;$&quot;* &quot;-&quot;??_);_(@_)"/>
    <numFmt numFmtId="181" formatCode="_(* #,##0.000_);_(* \(#,##0.000\);_(* &quot;-&quot;??_);_(@_)"/>
  </numFmts>
  <fonts count="3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color rgb="FF000000"/>
      <name val="Tahoma"/>
      <family val="2"/>
    </font>
    <font>
      <sz val="16"/>
      <color indexed="12"/>
      <name val="Algerian"/>
      <family val="5"/>
    </font>
    <font>
      <sz val="8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b/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" fillId="0" borderId="0"/>
    <xf numFmtId="9" fontId="7" fillId="0" borderId="0" applyFont="0" applyFill="0" applyBorder="0" applyAlignment="0" applyProtection="0"/>
    <xf numFmtId="0" fontId="12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22">
    <xf numFmtId="0" fontId="0" fillId="0" borderId="0" xfId="0"/>
    <xf numFmtId="0" fontId="0" fillId="0" borderId="0" xfId="0" applyProtection="1"/>
    <xf numFmtId="0" fontId="0" fillId="0" borderId="0" xfId="0" applyFill="1" applyBorder="1" applyProtection="1"/>
    <xf numFmtId="0" fontId="0" fillId="0" borderId="0" xfId="0" applyFill="1" applyProtection="1"/>
    <xf numFmtId="0" fontId="4" fillId="6" borderId="2" xfId="0" applyFont="1" applyFill="1" applyBorder="1" applyAlignment="1" applyProtection="1">
      <alignment vertical="center"/>
    </xf>
    <xf numFmtId="0" fontId="9" fillId="8" borderId="2" xfId="0" applyFont="1" applyFill="1" applyBorder="1" applyAlignment="1" applyProtection="1">
      <alignment vertical="center"/>
    </xf>
    <xf numFmtId="0" fontId="9" fillId="9" borderId="2" xfId="0" applyFont="1" applyFill="1" applyBorder="1" applyAlignment="1" applyProtection="1">
      <alignment vertical="center"/>
    </xf>
    <xf numFmtId="0" fontId="10" fillId="4" borderId="2" xfId="0" applyFont="1" applyFill="1" applyBorder="1" applyAlignment="1" applyProtection="1">
      <alignment vertical="center"/>
    </xf>
    <xf numFmtId="0" fontId="13" fillId="11" borderId="2" xfId="5" applyFont="1" applyFill="1" applyBorder="1" applyAlignment="1">
      <alignment horizontal="center" vertical="center" wrapText="1"/>
    </xf>
    <xf numFmtId="0" fontId="14" fillId="12" borderId="2" xfId="5" applyFont="1" applyFill="1" applyBorder="1" applyAlignment="1">
      <alignment horizontal="center" vertical="center" wrapText="1"/>
    </xf>
    <xf numFmtId="0" fontId="15" fillId="0" borderId="0" xfId="5" applyFont="1" applyFill="1" applyAlignment="1">
      <alignment wrapText="1"/>
    </xf>
    <xf numFmtId="0" fontId="15" fillId="0" borderId="0" xfId="5" applyFont="1" applyFill="1"/>
    <xf numFmtId="0" fontId="15" fillId="0" borderId="0" xfId="5" applyFont="1" applyAlignment="1">
      <alignment vertical="top"/>
    </xf>
    <xf numFmtId="0" fontId="15" fillId="0" borderId="0" xfId="5" applyFont="1" applyAlignment="1">
      <alignment vertical="center"/>
    </xf>
    <xf numFmtId="0" fontId="15" fillId="14" borderId="2" xfId="0" applyFont="1" applyFill="1" applyBorder="1" applyAlignment="1">
      <alignment vertical="center"/>
    </xf>
    <xf numFmtId="173" fontId="15" fillId="14" borderId="2" xfId="5" applyNumberFormat="1" applyFont="1" applyFill="1" applyBorder="1" applyAlignment="1">
      <alignment vertical="center"/>
    </xf>
    <xf numFmtId="0" fontId="15" fillId="8" borderId="2" xfId="0" applyFont="1" applyFill="1" applyBorder="1" applyAlignment="1">
      <alignment vertical="center"/>
    </xf>
    <xf numFmtId="173" fontId="15" fillId="8" borderId="2" xfId="5" applyNumberFormat="1" applyFont="1" applyFill="1" applyBorder="1" applyAlignment="1">
      <alignment vertical="center"/>
    </xf>
    <xf numFmtId="0" fontId="16" fillId="14" borderId="3" xfId="5" applyFont="1" applyFill="1" applyBorder="1" applyAlignment="1">
      <alignment vertical="top" wrapText="1"/>
    </xf>
    <xf numFmtId="0" fontId="16" fillId="10" borderId="3" xfId="5" applyFont="1" applyFill="1" applyBorder="1" applyAlignment="1">
      <alignment vertical="top" wrapText="1"/>
    </xf>
    <xf numFmtId="0" fontId="15" fillId="10" borderId="2" xfId="0" applyFont="1" applyFill="1" applyBorder="1" applyAlignment="1">
      <alignment vertical="center"/>
    </xf>
    <xf numFmtId="173" fontId="15" fillId="10" borderId="2" xfId="5" applyNumberFormat="1" applyFont="1" applyFill="1" applyBorder="1" applyAlignment="1">
      <alignment vertical="center"/>
    </xf>
    <xf numFmtId="0" fontId="15" fillId="8" borderId="3" xfId="5" applyFont="1" applyFill="1" applyBorder="1" applyAlignment="1">
      <alignment vertical="top" wrapText="1"/>
    </xf>
    <xf numFmtId="0" fontId="15" fillId="8" borderId="2" xfId="5" applyFont="1" applyFill="1" applyBorder="1" applyAlignment="1">
      <alignment vertical="center"/>
    </xf>
    <xf numFmtId="40" fontId="15" fillId="8" borderId="2" xfId="5" applyNumberFormat="1" applyFont="1" applyFill="1" applyBorder="1" applyAlignment="1">
      <alignment vertical="center"/>
    </xf>
    <xf numFmtId="170" fontId="15" fillId="8" borderId="2" xfId="1" applyNumberFormat="1" applyFont="1" applyFill="1" applyBorder="1" applyAlignment="1">
      <alignment vertical="center"/>
    </xf>
    <xf numFmtId="169" fontId="15" fillId="8" borderId="2" xfId="5" applyNumberFormat="1" applyFont="1" applyFill="1" applyBorder="1" applyAlignment="1">
      <alignment vertical="center"/>
    </xf>
    <xf numFmtId="0" fontId="15" fillId="4" borderId="3" xfId="5" applyFont="1" applyFill="1" applyBorder="1" applyAlignment="1">
      <alignment vertical="top" wrapText="1"/>
    </xf>
    <xf numFmtId="0" fontId="15" fillId="4" borderId="2" xfId="0" applyFont="1" applyFill="1" applyBorder="1" applyAlignment="1">
      <alignment vertical="center"/>
    </xf>
    <xf numFmtId="4" fontId="15" fillId="4" borderId="2" xfId="5" applyNumberFormat="1" applyFont="1" applyFill="1" applyBorder="1" applyAlignment="1">
      <alignment vertical="center"/>
    </xf>
    <xf numFmtId="0" fontId="15" fillId="4" borderId="2" xfId="5" applyFont="1" applyFill="1" applyBorder="1" applyAlignment="1">
      <alignment vertical="center"/>
    </xf>
    <xf numFmtId="40" fontId="15" fillId="4" borderId="2" xfId="5" applyNumberFormat="1" applyFont="1" applyFill="1" applyBorder="1" applyAlignment="1">
      <alignment vertical="center"/>
    </xf>
    <xf numFmtId="170" fontId="15" fillId="4" borderId="2" xfId="1" applyNumberFormat="1" applyFont="1" applyFill="1" applyBorder="1" applyAlignment="1">
      <alignment vertical="center"/>
    </xf>
    <xf numFmtId="169" fontId="15" fillId="4" borderId="2" xfId="5" applyNumberFormat="1" applyFont="1" applyFill="1" applyBorder="1" applyAlignment="1">
      <alignment vertical="center"/>
    </xf>
    <xf numFmtId="169" fontId="15" fillId="14" borderId="2" xfId="5" applyNumberFormat="1" applyFont="1" applyFill="1" applyBorder="1" applyAlignment="1">
      <alignment vertical="center"/>
    </xf>
    <xf numFmtId="172" fontId="15" fillId="8" borderId="2" xfId="5" applyNumberFormat="1" applyFont="1" applyFill="1" applyBorder="1" applyAlignment="1">
      <alignment vertical="center"/>
    </xf>
    <xf numFmtId="0" fontId="15" fillId="6" borderId="2" xfId="0" applyFont="1" applyFill="1" applyBorder="1" applyAlignment="1">
      <alignment vertical="center"/>
    </xf>
    <xf numFmtId="173" fontId="15" fillId="4" borderId="2" xfId="5" applyNumberFormat="1" applyFont="1" applyFill="1" applyBorder="1" applyAlignment="1">
      <alignment vertical="center"/>
    </xf>
    <xf numFmtId="0" fontId="10" fillId="14" borderId="2" xfId="0" applyFont="1" applyFill="1" applyBorder="1" applyAlignment="1" applyProtection="1">
      <alignment vertical="center"/>
    </xf>
    <xf numFmtId="0" fontId="15" fillId="6" borderId="3" xfId="5" applyFont="1" applyFill="1" applyBorder="1" applyAlignment="1">
      <alignment vertical="top" wrapText="1"/>
    </xf>
    <xf numFmtId="0" fontId="15" fillId="6" borderId="2" xfId="5" applyNumberFormat="1" applyFont="1" applyFill="1" applyBorder="1" applyAlignment="1">
      <alignment vertical="center"/>
    </xf>
    <xf numFmtId="0" fontId="15" fillId="9" borderId="2" xfId="0" applyFont="1" applyFill="1" applyBorder="1" applyAlignment="1">
      <alignment vertical="center"/>
    </xf>
    <xf numFmtId="0" fontId="15" fillId="6" borderId="2" xfId="5" applyFont="1" applyFill="1" applyBorder="1" applyAlignment="1">
      <alignment vertical="top" wrapText="1"/>
    </xf>
    <xf numFmtId="0" fontId="15" fillId="4" borderId="2" xfId="5" applyFont="1" applyFill="1" applyBorder="1" applyAlignment="1">
      <alignment vertical="top" wrapText="1"/>
    </xf>
    <xf numFmtId="0" fontId="15" fillId="4" borderId="3" xfId="0" applyFont="1" applyFill="1" applyBorder="1" applyAlignment="1">
      <alignment vertical="center"/>
    </xf>
    <xf numFmtId="0" fontId="16" fillId="10" borderId="2" xfId="5" applyFont="1" applyFill="1" applyBorder="1" applyAlignment="1">
      <alignment vertical="center" wrapText="1"/>
    </xf>
    <xf numFmtId="171" fontId="15" fillId="4" borderId="2" xfId="5" applyNumberFormat="1" applyFont="1" applyFill="1" applyBorder="1" applyAlignment="1">
      <alignment vertical="center"/>
    </xf>
    <xf numFmtId="0" fontId="15" fillId="8" borderId="2" xfId="5" applyNumberFormat="1" applyFont="1" applyFill="1" applyBorder="1" applyAlignment="1">
      <alignment vertical="center"/>
    </xf>
    <xf numFmtId="43" fontId="15" fillId="8" borderId="2" xfId="1" applyNumberFormat="1" applyFont="1" applyFill="1" applyBorder="1" applyAlignment="1">
      <alignment vertical="center"/>
    </xf>
    <xf numFmtId="171" fontId="15" fillId="8" borderId="2" xfId="5" applyNumberFormat="1" applyFont="1" applyFill="1" applyBorder="1" applyAlignment="1">
      <alignment vertical="center"/>
    </xf>
    <xf numFmtId="0" fontId="0" fillId="15" borderId="0" xfId="0" applyFill="1" applyBorder="1" applyProtection="1"/>
    <xf numFmtId="0" fontId="18" fillId="15" borderId="0" xfId="0" applyFont="1" applyFill="1" applyAlignment="1" applyProtection="1">
      <alignment vertical="top" wrapText="1"/>
    </xf>
    <xf numFmtId="0" fontId="1" fillId="0" borderId="0" xfId="0" applyFont="1"/>
    <xf numFmtId="0" fontId="19" fillId="0" borderId="0" xfId="0" applyFont="1" applyAlignment="1">
      <alignment horizontal="right" vertical="top"/>
    </xf>
    <xf numFmtId="0" fontId="20" fillId="15" borderId="0" xfId="0" applyFont="1" applyFill="1" applyBorder="1" applyAlignment="1" applyProtection="1"/>
    <xf numFmtId="0" fontId="19" fillId="2" borderId="10" xfId="0" applyFont="1" applyFill="1" applyBorder="1" applyAlignment="1">
      <alignment horizontal="right" vertical="top"/>
    </xf>
    <xf numFmtId="0" fontId="0" fillId="15" borderId="0" xfId="0" applyFill="1" applyBorder="1" applyAlignment="1" applyProtection="1">
      <alignment horizontal="left" indent="1"/>
    </xf>
    <xf numFmtId="0" fontId="2" fillId="15" borderId="0" xfId="0" applyFont="1" applyFill="1" applyBorder="1" applyAlignment="1" applyProtection="1"/>
    <xf numFmtId="0" fontId="19" fillId="2" borderId="0" xfId="0" applyFont="1" applyFill="1" applyAlignment="1">
      <alignment horizontal="right" vertical="top"/>
    </xf>
    <xf numFmtId="0" fontId="21" fillId="15" borderId="0" xfId="0" applyFont="1" applyFill="1" applyBorder="1" applyProtection="1"/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23" fillId="3" borderId="0" xfId="0" applyFont="1" applyFill="1" applyAlignment="1" applyProtection="1">
      <alignment horizontal="center"/>
    </xf>
    <xf numFmtId="0" fontId="3" fillId="0" borderId="0" xfId="0" applyFont="1" applyProtection="1"/>
    <xf numFmtId="0" fontId="1" fillId="0" borderId="0" xfId="0" applyFont="1" applyProtection="1"/>
    <xf numFmtId="166" fontId="1" fillId="2" borderId="2" xfId="6" applyNumberFormat="1" applyFont="1" applyFill="1" applyBorder="1" applyProtection="1">
      <protection locked="0"/>
    </xf>
    <xf numFmtId="164" fontId="0" fillId="0" borderId="0" xfId="0" applyNumberFormat="1" applyProtection="1"/>
    <xf numFmtId="0" fontId="1" fillId="0" borderId="0" xfId="0" applyFont="1" applyAlignment="1" applyProtection="1"/>
    <xf numFmtId="0" fontId="0" fillId="0" borderId="0" xfId="0" applyFill="1" applyBorder="1"/>
    <xf numFmtId="0" fontId="1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" fillId="0" borderId="8" xfId="0" quotePrefix="1" applyFont="1" applyBorder="1" applyAlignment="1" applyProtection="1">
      <alignment horizontal="center"/>
    </xf>
    <xf numFmtId="0" fontId="1" fillId="0" borderId="9" xfId="0" quotePrefix="1" applyFont="1" applyBorder="1" applyAlignment="1" applyProtection="1">
      <alignment horizontal="center"/>
    </xf>
    <xf numFmtId="0" fontId="1" fillId="0" borderId="0" xfId="0" quotePrefix="1" applyFont="1" applyFill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164" fontId="0" fillId="2" borderId="6" xfId="7" applyNumberFormat="1" applyFont="1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</xf>
    <xf numFmtId="164" fontId="0" fillId="0" borderId="7" xfId="7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4" fontId="0" fillId="0" borderId="6" xfId="0" applyNumberFormat="1" applyBorder="1" applyAlignment="1" applyProtection="1">
      <alignment vertical="center"/>
    </xf>
    <xf numFmtId="10" fontId="0" fillId="0" borderId="7" xfId="4" applyNumberFormat="1" applyFont="1" applyBorder="1" applyAlignment="1" applyProtection="1">
      <alignment vertical="center"/>
    </xf>
    <xf numFmtId="164" fontId="0" fillId="0" borderId="0" xfId="7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</xf>
    <xf numFmtId="164" fontId="0" fillId="0" borderId="0" xfId="7" applyFont="1" applyFill="1" applyBorder="1" applyAlignment="1" applyProtection="1">
      <alignment vertical="center"/>
    </xf>
    <xf numFmtId="164" fontId="0" fillId="0" borderId="0" xfId="0" applyNumberFormat="1" applyFill="1" applyBorder="1" applyAlignment="1" applyProtection="1">
      <alignment vertical="center"/>
    </xf>
    <xf numFmtId="10" fontId="0" fillId="0" borderId="0" xfId="4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164" fontId="0" fillId="0" borderId="7" xfId="7" applyFont="1" applyFill="1" applyBorder="1" applyAlignment="1" applyProtection="1">
      <alignment vertical="center"/>
    </xf>
    <xf numFmtId="10" fontId="0" fillId="0" borderId="7" xfId="4" applyNumberFormat="1" applyFont="1" applyFill="1" applyBorder="1" applyAlignment="1" applyProtection="1">
      <alignment vertical="center"/>
    </xf>
    <xf numFmtId="0" fontId="0" fillId="0" borderId="0" xfId="0" applyFill="1"/>
    <xf numFmtId="164" fontId="0" fillId="0" borderId="0" xfId="7" applyFont="1" applyFill="1" applyBorder="1" applyAlignment="1" applyProtection="1">
      <alignment vertical="center"/>
      <protection locked="0"/>
    </xf>
    <xf numFmtId="175" fontId="0" fillId="2" borderId="6" xfId="7" applyNumberFormat="1" applyFont="1" applyFill="1" applyBorder="1" applyAlignment="1" applyProtection="1">
      <alignment vertical="center"/>
      <protection locked="0"/>
    </xf>
    <xf numFmtId="166" fontId="0" fillId="0" borderId="6" xfId="0" applyNumberFormat="1" applyFill="1" applyBorder="1" applyAlignment="1" applyProtection="1">
      <alignment vertical="center"/>
    </xf>
    <xf numFmtId="175" fontId="0" fillId="0" borderId="0" xfId="7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Protection="1"/>
    <xf numFmtId="0" fontId="11" fillId="0" borderId="0" xfId="0" applyFont="1" applyFill="1" applyAlignment="1" applyProtection="1">
      <alignment vertical="top"/>
    </xf>
    <xf numFmtId="0" fontId="11" fillId="0" borderId="0" xfId="0" applyFont="1" applyFill="1"/>
    <xf numFmtId="175" fontId="11" fillId="0" borderId="0" xfId="7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vertical="center"/>
    </xf>
    <xf numFmtId="164" fontId="11" fillId="0" borderId="0" xfId="7" applyFont="1" applyFill="1" applyBorder="1" applyAlignment="1" applyProtection="1">
      <alignment vertical="center"/>
    </xf>
    <xf numFmtId="164" fontId="11" fillId="0" borderId="0" xfId="0" applyNumberFormat="1" applyFont="1" applyFill="1" applyBorder="1" applyAlignment="1" applyProtection="1">
      <alignment vertical="center"/>
    </xf>
    <xf numFmtId="10" fontId="11" fillId="0" borderId="0" xfId="4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0" fillId="0" borderId="6" xfId="0" applyFill="1" applyBorder="1" applyAlignment="1" applyProtection="1">
      <alignment vertical="center"/>
    </xf>
    <xf numFmtId="0" fontId="1" fillId="16" borderId="3" xfId="0" applyFont="1" applyFill="1" applyBorder="1" applyAlignment="1" applyProtection="1">
      <alignment vertical="top"/>
      <protection locked="0"/>
    </xf>
    <xf numFmtId="0" fontId="0" fillId="16" borderId="4" xfId="0" applyFill="1" applyBorder="1" applyAlignment="1" applyProtection="1">
      <alignment vertical="top"/>
    </xf>
    <xf numFmtId="167" fontId="0" fillId="16" borderId="2" xfId="7" applyNumberFormat="1" applyFont="1" applyFill="1" applyBorder="1" applyAlignment="1" applyProtection="1">
      <alignment vertical="top"/>
      <protection locked="0"/>
    </xf>
    <xf numFmtId="0" fontId="0" fillId="16" borderId="2" xfId="0" applyFill="1" applyBorder="1" applyAlignment="1" applyProtection="1">
      <alignment vertical="center"/>
      <protection locked="0"/>
    </xf>
    <xf numFmtId="164" fontId="8" fillId="16" borderId="5" xfId="7" applyFont="1" applyFill="1" applyBorder="1" applyAlignment="1" applyProtection="1">
      <alignment vertical="center"/>
    </xf>
    <xf numFmtId="0" fontId="0" fillId="16" borderId="0" xfId="0" applyFill="1" applyAlignment="1" applyProtection="1">
      <alignment vertical="center"/>
    </xf>
    <xf numFmtId="167" fontId="0" fillId="16" borderId="2" xfId="7" applyNumberFormat="1" applyFont="1" applyFill="1" applyBorder="1" applyAlignment="1" applyProtection="1">
      <alignment vertical="center"/>
      <protection locked="0"/>
    </xf>
    <xf numFmtId="164" fontId="0" fillId="16" borderId="5" xfId="0" applyNumberFormat="1" applyFill="1" applyBorder="1" applyAlignment="1" applyProtection="1">
      <alignment vertical="center"/>
      <protection locked="0"/>
    </xf>
    <xf numFmtId="164" fontId="1" fillId="16" borderId="2" xfId="0" applyNumberFormat="1" applyFont="1" applyFill="1" applyBorder="1" applyAlignment="1" applyProtection="1">
      <alignment vertical="center"/>
    </xf>
    <xf numFmtId="10" fontId="24" fillId="16" borderId="5" xfId="4" applyNumberFormat="1" applyFont="1" applyFill="1" applyBorder="1" applyAlignment="1" applyProtection="1">
      <alignment vertical="center"/>
    </xf>
    <xf numFmtId="167" fontId="0" fillId="0" borderId="0" xfId="7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164" fontId="1" fillId="0" borderId="0" xfId="0" applyNumberFormat="1" applyFont="1" applyFill="1" applyBorder="1" applyAlignment="1" applyProtection="1">
      <alignment vertical="center"/>
    </xf>
    <xf numFmtId="10" fontId="24" fillId="0" borderId="0" xfId="4" applyNumberFormat="1" applyFont="1" applyFill="1" applyBorder="1" applyAlignment="1" applyProtection="1">
      <alignment vertical="center"/>
    </xf>
    <xf numFmtId="164" fontId="0" fillId="0" borderId="6" xfId="0" applyNumberFormat="1" applyFill="1" applyBorder="1" applyAlignment="1" applyProtection="1">
      <alignment vertical="center"/>
    </xf>
    <xf numFmtId="0" fontId="3" fillId="0" borderId="0" xfId="0" applyFont="1" applyAlignment="1" applyProtection="1">
      <alignment vertical="top"/>
    </xf>
    <xf numFmtId="166" fontId="0" fillId="9" borderId="6" xfId="0" applyNumberFormat="1" applyFill="1" applyBorder="1" applyAlignment="1" applyProtection="1">
      <alignment vertical="center"/>
    </xf>
    <xf numFmtId="164" fontId="0" fillId="0" borderId="7" xfId="9" applyFont="1" applyBorder="1" applyAlignment="1" applyProtection="1">
      <alignment vertical="center"/>
    </xf>
    <xf numFmtId="167" fontId="0" fillId="2" borderId="6" xfId="9" applyNumberFormat="1" applyFont="1" applyFill="1" applyBorder="1" applyAlignment="1" applyProtection="1">
      <alignment vertical="top"/>
      <protection locked="0"/>
    </xf>
    <xf numFmtId="167" fontId="0" fillId="0" borderId="0" xfId="9" applyNumberFormat="1" applyFont="1" applyFill="1" applyBorder="1" applyAlignment="1" applyProtection="1">
      <alignment vertical="top"/>
      <protection locked="0"/>
    </xf>
    <xf numFmtId="166" fontId="0" fillId="0" borderId="0" xfId="0" applyNumberFormat="1" applyFill="1" applyBorder="1" applyAlignment="1" applyProtection="1">
      <alignment vertical="center"/>
    </xf>
    <xf numFmtId="0" fontId="11" fillId="0" borderId="0" xfId="0" applyFont="1" applyProtection="1"/>
    <xf numFmtId="164" fontId="0" fillId="0" borderId="0" xfId="9" applyNumberFormat="1" applyFont="1" applyFill="1" applyBorder="1" applyAlignment="1" applyProtection="1">
      <alignment vertical="center"/>
      <protection locked="0"/>
    </xf>
    <xf numFmtId="0" fontId="1" fillId="16" borderId="3" xfId="0" applyFont="1" applyFill="1" applyBorder="1" applyAlignment="1" applyProtection="1">
      <alignment vertical="top" wrapText="1"/>
    </xf>
    <xf numFmtId="0" fontId="0" fillId="16" borderId="4" xfId="0" applyFill="1" applyBorder="1" applyProtection="1"/>
    <xf numFmtId="0" fontId="0" fillId="16" borderId="2" xfId="0" applyFill="1" applyBorder="1" applyProtection="1"/>
    <xf numFmtId="0" fontId="0" fillId="16" borderId="2" xfId="0" applyFill="1" applyBorder="1" applyAlignment="1" applyProtection="1">
      <alignment vertical="center"/>
    </xf>
    <xf numFmtId="164" fontId="1" fillId="16" borderId="5" xfId="0" applyNumberFormat="1" applyFont="1" applyFill="1" applyBorder="1" applyAlignment="1" applyProtection="1">
      <alignment vertical="center"/>
    </xf>
    <xf numFmtId="0" fontId="0" fillId="16" borderId="5" xfId="0" applyFill="1" applyBorder="1" applyAlignment="1" applyProtection="1">
      <alignment vertical="center"/>
    </xf>
    <xf numFmtId="10" fontId="1" fillId="16" borderId="5" xfId="4" applyNumberFormat="1" applyFont="1" applyFill="1" applyBorder="1" applyAlignment="1" applyProtection="1">
      <alignment vertical="center"/>
    </xf>
    <xf numFmtId="10" fontId="1" fillId="0" borderId="0" xfId="4" applyNumberFormat="1" applyFont="1" applyFill="1" applyBorder="1" applyAlignment="1" applyProtection="1">
      <alignment vertical="center"/>
    </xf>
    <xf numFmtId="1" fontId="0" fillId="9" borderId="6" xfId="0" applyNumberFormat="1" applyFill="1" applyBorder="1" applyAlignment="1" applyProtection="1">
      <alignment vertical="center"/>
    </xf>
    <xf numFmtId="1" fontId="0" fillId="0" borderId="0" xfId="0" applyNumberFormat="1" applyFill="1" applyBorder="1" applyAlignment="1" applyProtection="1">
      <alignment vertical="center"/>
    </xf>
    <xf numFmtId="0" fontId="0" fillId="16" borderId="2" xfId="0" applyFill="1" applyBorder="1" applyAlignment="1" applyProtection="1">
      <alignment vertical="top"/>
    </xf>
    <xf numFmtId="0" fontId="1" fillId="16" borderId="0" xfId="0" applyFont="1" applyFill="1" applyAlignment="1" applyProtection="1">
      <alignment vertical="center"/>
    </xf>
    <xf numFmtId="0" fontId="1" fillId="16" borderId="2" xfId="0" applyFont="1" applyFill="1" applyBorder="1" applyAlignment="1" applyProtection="1">
      <alignment vertical="center"/>
    </xf>
    <xf numFmtId="0" fontId="1" fillId="16" borderId="5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167" fontId="3" fillId="2" borderId="6" xfId="7" applyNumberFormat="1" applyFont="1" applyFill="1" applyBorder="1" applyAlignment="1" applyProtection="1">
      <alignment vertical="top"/>
      <protection locked="0"/>
    </xf>
    <xf numFmtId="164" fontId="3" fillId="0" borderId="7" xfId="7" applyFont="1" applyBorder="1" applyAlignment="1" applyProtection="1">
      <alignment vertical="center"/>
    </xf>
    <xf numFmtId="164" fontId="0" fillId="0" borderId="1" xfId="0" applyNumberFormat="1" applyBorder="1" applyAlignment="1" applyProtection="1">
      <alignment vertical="center"/>
    </xf>
    <xf numFmtId="167" fontId="3" fillId="0" borderId="0" xfId="7" applyNumberFormat="1" applyFont="1" applyFill="1" applyBorder="1" applyAlignment="1" applyProtection="1">
      <alignment vertical="center"/>
      <protection locked="0"/>
    </xf>
    <xf numFmtId="164" fontId="3" fillId="0" borderId="0" xfId="7" applyFont="1" applyFill="1" applyBorder="1" applyAlignment="1" applyProtection="1">
      <alignment vertical="center"/>
    </xf>
    <xf numFmtId="167" fontId="3" fillId="2" borderId="6" xfId="7" applyNumberFormat="1" applyFont="1" applyFill="1" applyBorder="1" applyAlignment="1" applyProtection="1">
      <alignment vertical="center"/>
      <protection locked="0"/>
    </xf>
    <xf numFmtId="164" fontId="3" fillId="0" borderId="0" xfId="7" applyNumberFormat="1" applyFont="1" applyFill="1" applyBorder="1" applyAlignment="1" applyProtection="1">
      <alignment vertical="center"/>
      <protection locked="0"/>
    </xf>
    <xf numFmtId="1" fontId="3" fillId="13" borderId="6" xfId="0" applyNumberFormat="1" applyFont="1" applyFill="1" applyBorder="1" applyAlignment="1" applyProtection="1">
      <alignment vertical="center"/>
    </xf>
    <xf numFmtId="164" fontId="3" fillId="0" borderId="6" xfId="7" applyFont="1" applyBorder="1" applyAlignment="1" applyProtection="1">
      <alignment vertical="center"/>
    </xf>
    <xf numFmtId="10" fontId="0" fillId="0" borderId="6" xfId="4" applyNumberFormat="1" applyFont="1" applyBorder="1" applyAlignment="1" applyProtection="1">
      <alignment vertical="center"/>
    </xf>
    <xf numFmtId="167" fontId="3" fillId="0" borderId="0" xfId="7" applyNumberFormat="1" applyFont="1" applyFill="1" applyBorder="1" applyAlignment="1" applyProtection="1">
      <alignment vertical="top"/>
      <protection locked="0"/>
    </xf>
    <xf numFmtId="1" fontId="3" fillId="0" borderId="0" xfId="0" applyNumberFormat="1" applyFont="1" applyFill="1" applyBorder="1" applyAlignment="1" applyProtection="1">
      <alignment vertical="center"/>
    </xf>
    <xf numFmtId="0" fontId="3" fillId="0" borderId="0" xfId="3" applyProtection="1"/>
    <xf numFmtId="0" fontId="3" fillId="0" borderId="0" xfId="3" applyAlignment="1" applyProtection="1">
      <alignment vertical="top"/>
    </xf>
    <xf numFmtId="0" fontId="3" fillId="0" borderId="0" xfId="3" applyFill="1" applyAlignment="1" applyProtection="1">
      <alignment vertical="top"/>
    </xf>
    <xf numFmtId="1" fontId="3" fillId="13" borderId="6" xfId="3" applyNumberFormat="1" applyFill="1" applyBorder="1" applyAlignment="1" applyProtection="1">
      <alignment vertical="center"/>
    </xf>
    <xf numFmtId="0" fontId="3" fillId="0" borderId="0" xfId="3" applyAlignment="1" applyProtection="1">
      <alignment vertical="center"/>
    </xf>
    <xf numFmtId="164" fontId="3" fillId="0" borderId="6" xfId="3" applyNumberFormat="1" applyBorder="1" applyAlignment="1" applyProtection="1">
      <alignment vertical="center"/>
    </xf>
    <xf numFmtId="1" fontId="3" fillId="0" borderId="0" xfId="3" applyNumberFormat="1" applyFill="1" applyBorder="1" applyAlignment="1" applyProtection="1">
      <alignment vertical="center"/>
    </xf>
    <xf numFmtId="0" fontId="3" fillId="0" borderId="0" xfId="3" applyFill="1" applyBorder="1" applyAlignment="1" applyProtection="1">
      <alignment vertical="center"/>
    </xf>
    <xf numFmtId="0" fontId="3" fillId="0" borderId="0" xfId="3" applyFont="1" applyAlignment="1" applyProtection="1">
      <alignment vertical="top"/>
      <protection locked="0"/>
    </xf>
    <xf numFmtId="1" fontId="3" fillId="13" borderId="7" xfId="3" applyNumberFormat="1" applyFill="1" applyBorder="1" applyAlignment="1" applyProtection="1">
      <alignment vertical="center"/>
    </xf>
    <xf numFmtId="167" fontId="3" fillId="2" borderId="8" xfId="7" applyNumberFormat="1" applyFont="1" applyFill="1" applyBorder="1" applyAlignment="1" applyProtection="1">
      <alignment vertical="top"/>
      <protection locked="0"/>
    </xf>
    <xf numFmtId="0" fontId="3" fillId="5" borderId="13" xfId="0" quotePrefix="1" applyFont="1" applyFill="1" applyBorder="1" applyProtection="1"/>
    <xf numFmtId="0" fontId="0" fillId="5" borderId="4" xfId="0" applyFill="1" applyBorder="1" applyAlignment="1" applyProtection="1">
      <alignment vertical="top"/>
    </xf>
    <xf numFmtId="0" fontId="0" fillId="5" borderId="2" xfId="0" applyFill="1" applyBorder="1" applyAlignment="1" applyProtection="1">
      <alignment vertical="center"/>
      <protection locked="0"/>
    </xf>
    <xf numFmtId="0" fontId="0" fillId="5" borderId="5" xfId="0" applyFill="1" applyBorder="1" applyAlignment="1" applyProtection="1">
      <alignment vertical="center"/>
      <protection locked="0"/>
    </xf>
    <xf numFmtId="10" fontId="3" fillId="0" borderId="0" xfId="4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top"/>
    </xf>
    <xf numFmtId="9" fontId="0" fillId="0" borderId="6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9" fontId="1" fillId="0" borderId="6" xfId="0" applyNumberFormat="1" applyFont="1" applyFill="1" applyBorder="1" applyAlignment="1" applyProtection="1">
      <alignment vertical="center"/>
    </xf>
    <xf numFmtId="164" fontId="1" fillId="0" borderId="6" xfId="0" applyNumberFormat="1" applyFont="1" applyFill="1" applyBorder="1" applyAlignment="1" applyProtection="1">
      <alignment vertical="center"/>
    </xf>
    <xf numFmtId="10" fontId="8" fillId="0" borderId="7" xfId="4" applyNumberFormat="1" applyFont="1" applyBorder="1" applyAlignment="1" applyProtection="1">
      <alignment vertical="center"/>
    </xf>
    <xf numFmtId="9" fontId="1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left" vertical="top" indent="1"/>
    </xf>
    <xf numFmtId="9" fontId="0" fillId="0" borderId="6" xfId="0" applyNumberFormat="1" applyFill="1" applyBorder="1" applyAlignment="1" applyProtection="1">
      <alignment vertical="top"/>
      <protection locked="0"/>
    </xf>
    <xf numFmtId="0" fontId="3" fillId="0" borderId="6" xfId="0" applyFont="1" applyFill="1" applyBorder="1" applyAlignment="1" applyProtection="1">
      <alignment vertical="center"/>
    </xf>
    <xf numFmtId="9" fontId="3" fillId="0" borderId="6" xfId="0" applyNumberFormat="1" applyFont="1" applyFill="1" applyBorder="1" applyAlignment="1" applyProtection="1">
      <alignment vertical="center"/>
      <protection locked="0"/>
    </xf>
    <xf numFmtId="164" fontId="3" fillId="0" borderId="7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164" fontId="3" fillId="0" borderId="6" xfId="0" applyNumberFormat="1" applyFont="1" applyFill="1" applyBorder="1" applyAlignment="1" applyProtection="1">
      <alignment vertical="center"/>
    </xf>
    <xf numFmtId="9" fontId="3" fillId="0" borderId="0" xfId="0" applyNumberFormat="1" applyFont="1" applyFill="1" applyBorder="1" applyAlignment="1" applyProtection="1">
      <alignment vertical="center"/>
      <protection locked="0"/>
    </xf>
    <xf numFmtId="164" fontId="3" fillId="0" borderId="0" xfId="0" applyNumberFormat="1" applyFont="1" applyFill="1" applyBorder="1" applyAlignment="1" applyProtection="1">
      <alignment vertical="center"/>
    </xf>
    <xf numFmtId="0" fontId="1" fillId="17" borderId="0" xfId="0" applyFont="1" applyFill="1" applyAlignment="1" applyProtection="1">
      <alignment horizontal="left" vertical="top" wrapText="1" indent="1"/>
    </xf>
    <xf numFmtId="0" fontId="0" fillId="17" borderId="0" xfId="0" applyFill="1" applyAlignment="1" applyProtection="1">
      <alignment vertical="top"/>
    </xf>
    <xf numFmtId="0" fontId="0" fillId="17" borderId="6" xfId="0" applyFill="1" applyBorder="1" applyAlignment="1" applyProtection="1">
      <alignment vertical="top"/>
    </xf>
    <xf numFmtId="0" fontId="0" fillId="17" borderId="0" xfId="0" applyFill="1" applyBorder="1" applyAlignment="1" applyProtection="1">
      <alignment vertical="center"/>
    </xf>
    <xf numFmtId="0" fontId="3" fillId="17" borderId="6" xfId="0" applyFont="1" applyFill="1" applyBorder="1" applyAlignment="1" applyProtection="1">
      <alignment vertical="center"/>
    </xf>
    <xf numFmtId="164" fontId="3" fillId="17" borderId="6" xfId="0" applyNumberFormat="1" applyFont="1" applyFill="1" applyBorder="1" applyAlignment="1" applyProtection="1">
      <alignment vertical="center"/>
    </xf>
    <xf numFmtId="10" fontId="8" fillId="17" borderId="7" xfId="4" applyNumberFormat="1" applyFont="1" applyFill="1" applyBorder="1" applyAlignment="1" applyProtection="1">
      <alignment vertical="center"/>
    </xf>
    <xf numFmtId="0" fontId="3" fillId="5" borderId="14" xfId="3" applyFont="1" applyFill="1" applyBorder="1" applyProtection="1"/>
    <xf numFmtId="0" fontId="3" fillId="5" borderId="15" xfId="3" applyFill="1" applyBorder="1" applyAlignment="1" applyProtection="1">
      <alignment vertical="top"/>
    </xf>
    <xf numFmtId="0" fontId="3" fillId="5" borderId="15" xfId="3" applyFill="1" applyBorder="1" applyAlignment="1" applyProtection="1">
      <alignment vertical="top"/>
      <protection locked="0"/>
    </xf>
    <xf numFmtId="0" fontId="3" fillId="5" borderId="17" xfId="3" applyFill="1" applyBorder="1" applyAlignment="1" applyProtection="1">
      <alignment vertical="center"/>
      <protection locked="0"/>
    </xf>
    <xf numFmtId="0" fontId="3" fillId="5" borderId="15" xfId="3" applyFill="1" applyBorder="1" applyAlignment="1" applyProtection="1">
      <alignment vertical="center"/>
    </xf>
    <xf numFmtId="0" fontId="3" fillId="5" borderId="16" xfId="3" applyFill="1" applyBorder="1" applyAlignment="1" applyProtection="1">
      <alignment vertical="center"/>
      <protection locked="0"/>
    </xf>
    <xf numFmtId="164" fontId="3" fillId="5" borderId="16" xfId="3" applyNumberFormat="1" applyFill="1" applyBorder="1" applyAlignment="1" applyProtection="1">
      <alignment vertical="center"/>
    </xf>
    <xf numFmtId="10" fontId="3" fillId="5" borderId="18" xfId="4" applyNumberFormat="1" applyFont="1" applyFill="1" applyBorder="1" applyAlignment="1" applyProtection="1">
      <alignment vertical="center"/>
    </xf>
    <xf numFmtId="0" fontId="3" fillId="0" borderId="0" xfId="3" applyFill="1" applyBorder="1" applyAlignment="1" applyProtection="1">
      <alignment vertical="center"/>
      <protection locked="0"/>
    </xf>
    <xf numFmtId="164" fontId="3" fillId="0" borderId="0" xfId="3" applyNumberFormat="1" applyFill="1" applyBorder="1" applyAlignment="1" applyProtection="1">
      <alignment vertical="center"/>
    </xf>
    <xf numFmtId="164" fontId="0" fillId="0" borderId="0" xfId="0" applyNumberFormat="1" applyFill="1" applyBorder="1" applyProtection="1"/>
    <xf numFmtId="10" fontId="3" fillId="2" borderId="2" xfId="4" applyNumberFormat="1" applyFont="1" applyFill="1" applyBorder="1" applyProtection="1">
      <protection locked="0"/>
    </xf>
    <xf numFmtId="10" fontId="3" fillId="0" borderId="0" xfId="4" applyNumberFormat="1" applyFont="1" applyFill="1" applyBorder="1" applyProtection="1">
      <protection locked="0"/>
    </xf>
    <xf numFmtId="0" fontId="3" fillId="5" borderId="14" xfId="0" applyFont="1" applyFill="1" applyBorder="1" applyProtection="1"/>
    <xf numFmtId="0" fontId="0" fillId="5" borderId="15" xfId="0" applyFill="1" applyBorder="1" applyAlignment="1" applyProtection="1">
      <alignment vertical="top"/>
    </xf>
    <xf numFmtId="0" fontId="0" fillId="5" borderId="15" xfId="0" applyFill="1" applyBorder="1" applyAlignment="1" applyProtection="1">
      <alignment vertical="top"/>
      <protection locked="0"/>
    </xf>
    <xf numFmtId="0" fontId="0" fillId="5" borderId="17" xfId="0" applyFill="1" applyBorder="1" applyAlignment="1" applyProtection="1">
      <alignment vertical="center"/>
      <protection locked="0"/>
    </xf>
    <xf numFmtId="0" fontId="0" fillId="5" borderId="15" xfId="0" applyFill="1" applyBorder="1" applyAlignment="1" applyProtection="1">
      <alignment vertical="center"/>
    </xf>
    <xf numFmtId="0" fontId="0" fillId="5" borderId="16" xfId="0" applyFill="1" applyBorder="1" applyAlignment="1" applyProtection="1">
      <alignment vertical="center"/>
      <protection locked="0"/>
    </xf>
    <xf numFmtId="164" fontId="0" fillId="5" borderId="16" xfId="0" applyNumberFormat="1" applyFill="1" applyBorder="1" applyAlignment="1" applyProtection="1">
      <alignment vertical="center"/>
    </xf>
    <xf numFmtId="0" fontId="0" fillId="17" borderId="8" xfId="0" applyFill="1" applyBorder="1" applyAlignment="1" applyProtection="1">
      <alignment vertical="top"/>
    </xf>
    <xf numFmtId="0" fontId="0" fillId="17" borderId="19" xfId="0" applyFill="1" applyBorder="1" applyAlignment="1" applyProtection="1">
      <alignment vertical="center"/>
    </xf>
    <xf numFmtId="0" fontId="1" fillId="17" borderId="8" xfId="0" applyFont="1" applyFill="1" applyBorder="1" applyAlignment="1" applyProtection="1">
      <alignment vertical="center"/>
    </xf>
    <xf numFmtId="0" fontId="1" fillId="17" borderId="19" xfId="0" applyFont="1" applyFill="1" applyBorder="1" applyAlignment="1" applyProtection="1">
      <alignment vertical="center"/>
    </xf>
    <xf numFmtId="164" fontId="1" fillId="17" borderId="8" xfId="0" applyNumberFormat="1" applyFont="1" applyFill="1" applyBorder="1" applyAlignment="1" applyProtection="1">
      <alignment vertical="center"/>
    </xf>
    <xf numFmtId="10" fontId="8" fillId="0" borderId="0" xfId="4" applyNumberFormat="1" applyFont="1" applyFill="1" applyBorder="1" applyAlignment="1" applyProtection="1">
      <alignment vertical="center"/>
    </xf>
    <xf numFmtId="166" fontId="0" fillId="0" borderId="0" xfId="6" applyNumberFormat="1" applyFont="1" applyFill="1" applyBorder="1" applyAlignment="1" applyProtection="1">
      <alignment vertical="center"/>
    </xf>
    <xf numFmtId="166" fontId="0" fillId="9" borderId="6" xfId="6" applyNumberFormat="1" applyFont="1" applyFill="1" applyBorder="1" applyAlignment="1" applyProtection="1">
      <alignment vertical="center"/>
    </xf>
    <xf numFmtId="166" fontId="3" fillId="13" borderId="6" xfId="6" applyNumberFormat="1" applyFont="1" applyFill="1" applyBorder="1" applyAlignment="1" applyProtection="1">
      <alignment vertical="center"/>
    </xf>
    <xf numFmtId="166" fontId="3" fillId="0" borderId="0" xfId="6" applyNumberFormat="1" applyFont="1" applyFill="1" applyBorder="1" applyAlignment="1" applyProtection="1">
      <alignment vertical="center"/>
    </xf>
    <xf numFmtId="0" fontId="23" fillId="0" borderId="0" xfId="0" applyFont="1" applyAlignment="1" applyProtection="1">
      <alignment horizontal="left"/>
    </xf>
    <xf numFmtId="0" fontId="26" fillId="2" borderId="2" xfId="0" applyFont="1" applyFill="1" applyBorder="1" applyAlignment="1" applyProtection="1">
      <alignment horizontal="center"/>
    </xf>
    <xf numFmtId="0" fontId="8" fillId="0" borderId="0" xfId="0" applyFont="1" applyAlignment="1" applyProtection="1">
      <alignment horizontal="left"/>
    </xf>
    <xf numFmtId="164" fontId="2" fillId="0" borderId="0" xfId="0" applyNumberFormat="1" applyFont="1" applyAlignment="1" applyProtection="1">
      <alignment horizontal="center"/>
    </xf>
    <xf numFmtId="166" fontId="26" fillId="2" borderId="2" xfId="6" applyNumberFormat="1" applyFont="1" applyFill="1" applyBorder="1" applyAlignment="1" applyProtection="1">
      <alignment horizontal="center"/>
    </xf>
    <xf numFmtId="175" fontId="0" fillId="0" borderId="0" xfId="0" applyNumberFormat="1" applyProtection="1"/>
    <xf numFmtId="164" fontId="0" fillId="0" borderId="0" xfId="0" applyNumberFormat="1"/>
    <xf numFmtId="167" fontId="0" fillId="2" borderId="6" xfId="7" applyNumberFormat="1" applyFont="1" applyFill="1" applyBorder="1" applyAlignment="1" applyProtection="1">
      <alignment vertical="center"/>
      <protection locked="0"/>
    </xf>
    <xf numFmtId="0" fontId="1" fillId="0" borderId="0" xfId="3" applyFont="1" applyFill="1" applyAlignment="1" applyProtection="1">
      <alignment vertical="top"/>
    </xf>
    <xf numFmtId="9" fontId="3" fillId="0" borderId="6" xfId="3" applyNumberFormat="1" applyFill="1" applyBorder="1" applyAlignment="1" applyProtection="1">
      <alignment vertical="top"/>
    </xf>
    <xf numFmtId="9" fontId="3" fillId="0" borderId="0" xfId="3" applyNumberFormat="1" applyFill="1" applyBorder="1" applyAlignment="1" applyProtection="1">
      <alignment vertical="center"/>
    </xf>
    <xf numFmtId="9" fontId="1" fillId="0" borderId="6" xfId="3" applyNumberFormat="1" applyFont="1" applyFill="1" applyBorder="1" applyAlignment="1" applyProtection="1">
      <alignment vertical="center"/>
    </xf>
    <xf numFmtId="0" fontId="1" fillId="0" borderId="0" xfId="3" applyFont="1" applyFill="1" applyBorder="1" applyAlignment="1" applyProtection="1">
      <alignment vertical="center"/>
    </xf>
    <xf numFmtId="164" fontId="1" fillId="0" borderId="6" xfId="3" applyNumberFormat="1" applyFont="1" applyFill="1" applyBorder="1" applyAlignment="1" applyProtection="1">
      <alignment vertical="center"/>
    </xf>
    <xf numFmtId="9" fontId="1" fillId="0" borderId="0" xfId="3" applyNumberFormat="1" applyFont="1" applyFill="1" applyBorder="1" applyAlignment="1" applyProtection="1">
      <alignment vertical="center"/>
    </xf>
    <xf numFmtId="164" fontId="1" fillId="0" borderId="0" xfId="3" applyNumberFormat="1" applyFont="1" applyFill="1" applyBorder="1" applyAlignment="1" applyProtection="1">
      <alignment vertical="center"/>
    </xf>
    <xf numFmtId="0" fontId="3" fillId="0" borderId="0" xfId="3" applyFont="1" applyFill="1" applyAlignment="1" applyProtection="1">
      <alignment horizontal="left" vertical="top" indent="1"/>
    </xf>
    <xf numFmtId="9" fontId="3" fillId="0" borderId="6" xfId="3" applyNumberFormat="1" applyFill="1" applyBorder="1" applyAlignment="1" applyProtection="1">
      <alignment vertical="top"/>
      <protection locked="0"/>
    </xf>
    <xf numFmtId="0" fontId="3" fillId="0" borderId="6" xfId="3" applyFont="1" applyFill="1" applyBorder="1" applyAlignment="1" applyProtection="1">
      <alignment vertical="center"/>
    </xf>
    <xf numFmtId="9" fontId="3" fillId="0" borderId="6" xfId="3" applyNumberFormat="1" applyFont="1" applyFill="1" applyBorder="1" applyAlignment="1" applyProtection="1">
      <alignment vertical="top"/>
      <protection locked="0"/>
    </xf>
    <xf numFmtId="9" fontId="3" fillId="0" borderId="6" xfId="3" applyNumberFormat="1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vertical="center"/>
    </xf>
    <xf numFmtId="164" fontId="3" fillId="0" borderId="6" xfId="3" applyNumberFormat="1" applyFont="1" applyFill="1" applyBorder="1" applyAlignment="1" applyProtection="1">
      <alignment vertical="center"/>
    </xf>
    <xf numFmtId="9" fontId="3" fillId="0" borderId="0" xfId="3" applyNumberFormat="1" applyFont="1" applyFill="1" applyBorder="1" applyAlignment="1" applyProtection="1">
      <alignment vertical="top"/>
      <protection locked="0"/>
    </xf>
    <xf numFmtId="9" fontId="3" fillId="0" borderId="0" xfId="3" applyNumberFormat="1" applyFont="1" applyFill="1" applyBorder="1" applyAlignment="1" applyProtection="1">
      <alignment vertical="center"/>
    </xf>
    <xf numFmtId="164" fontId="3" fillId="0" borderId="0" xfId="3" applyNumberFormat="1" applyFont="1" applyFill="1" applyBorder="1" applyAlignment="1" applyProtection="1">
      <alignment vertical="center"/>
    </xf>
    <xf numFmtId="0" fontId="1" fillId="0" borderId="0" xfId="3" applyFont="1" applyAlignment="1" applyProtection="1">
      <alignment horizontal="left" vertical="top" wrapText="1" indent="1"/>
    </xf>
    <xf numFmtId="0" fontId="3" fillId="0" borderId="6" xfId="3" applyFill="1" applyBorder="1" applyAlignment="1" applyProtection="1">
      <alignment vertical="top"/>
    </xf>
    <xf numFmtId="164" fontId="25" fillId="0" borderId="6" xfId="3" applyNumberFormat="1" applyFont="1" applyFill="1" applyBorder="1" applyAlignment="1" applyProtection="1">
      <alignment vertical="center"/>
    </xf>
    <xf numFmtId="10" fontId="25" fillId="0" borderId="7" xfId="4" applyNumberFormat="1" applyFont="1" applyFill="1" applyBorder="1" applyAlignment="1" applyProtection="1">
      <alignment vertical="center"/>
    </xf>
    <xf numFmtId="164" fontId="25" fillId="0" borderId="0" xfId="3" applyNumberFormat="1" applyFont="1" applyFill="1" applyBorder="1" applyAlignment="1" applyProtection="1">
      <alignment vertical="center"/>
    </xf>
    <xf numFmtId="164" fontId="25" fillId="0" borderId="0" xfId="0" applyNumberFormat="1" applyFont="1" applyFill="1" applyBorder="1" applyAlignment="1" applyProtection="1">
      <alignment vertical="center"/>
    </xf>
    <xf numFmtId="0" fontId="3" fillId="17" borderId="0" xfId="3" applyFill="1" applyAlignment="1" applyProtection="1">
      <alignment vertical="top"/>
    </xf>
    <xf numFmtId="0" fontId="3" fillId="17" borderId="6" xfId="3" applyFill="1" applyBorder="1" applyAlignment="1" applyProtection="1">
      <alignment vertical="top"/>
    </xf>
    <xf numFmtId="0" fontId="3" fillId="17" borderId="0" xfId="3" applyFill="1" applyBorder="1" applyAlignment="1" applyProtection="1">
      <alignment vertical="center"/>
    </xf>
    <xf numFmtId="0" fontId="1" fillId="17" borderId="6" xfId="3" applyFont="1" applyFill="1" applyBorder="1" applyAlignment="1" applyProtection="1">
      <alignment vertical="center"/>
    </xf>
    <xf numFmtId="0" fontId="1" fillId="17" borderId="0" xfId="3" applyFont="1" applyFill="1" applyBorder="1" applyAlignment="1" applyProtection="1">
      <alignment vertical="center"/>
    </xf>
    <xf numFmtId="164" fontId="1" fillId="17" borderId="6" xfId="3" applyNumberFormat="1" applyFont="1" applyFill="1" applyBorder="1" applyAlignment="1" applyProtection="1">
      <alignment vertical="center"/>
    </xf>
    <xf numFmtId="167" fontId="3" fillId="5" borderId="17" xfId="7" applyNumberFormat="1" applyFont="1" applyFill="1" applyBorder="1" applyAlignment="1" applyProtection="1">
      <alignment vertical="top"/>
      <protection locked="0"/>
    </xf>
    <xf numFmtId="164" fontId="3" fillId="5" borderId="16" xfId="7" applyFont="1" applyFill="1" applyBorder="1" applyAlignment="1" applyProtection="1">
      <alignment vertical="center"/>
    </xf>
    <xf numFmtId="164" fontId="3" fillId="5" borderId="17" xfId="3" applyNumberFormat="1" applyFill="1" applyBorder="1" applyAlignment="1" applyProtection="1">
      <alignment vertical="center"/>
    </xf>
    <xf numFmtId="0" fontId="16" fillId="10" borderId="2" xfId="5" applyFont="1" applyFill="1" applyBorder="1" applyAlignment="1">
      <alignment vertical="top" wrapText="1"/>
    </xf>
    <xf numFmtId="0" fontId="1" fillId="0" borderId="0" xfId="0" applyFont="1" applyFill="1" applyBorder="1" applyAlignment="1" applyProtection="1">
      <alignment horizontal="center"/>
    </xf>
    <xf numFmtId="0" fontId="15" fillId="0" borderId="3" xfId="5" applyFont="1" applyFill="1" applyBorder="1" applyAlignment="1">
      <alignment vertical="top" wrapText="1"/>
    </xf>
    <xf numFmtId="0" fontId="3" fillId="0" borderId="0" xfId="0" applyFont="1" applyFill="1" applyAlignment="1" applyProtection="1">
      <alignment vertical="top"/>
    </xf>
    <xf numFmtId="176" fontId="0" fillId="2" borderId="6" xfId="7" applyNumberFormat="1" applyFont="1" applyFill="1" applyBorder="1" applyAlignment="1" applyProtection="1">
      <alignment vertical="center"/>
      <protection locked="0"/>
    </xf>
    <xf numFmtId="0" fontId="15" fillId="9" borderId="2" xfId="5" applyFont="1" applyFill="1" applyBorder="1" applyAlignment="1">
      <alignment horizontal="center" vertical="center" wrapText="1"/>
    </xf>
    <xf numFmtId="167" fontId="7" fillId="2" borderId="6" xfId="9" applyNumberFormat="1" applyFont="1" applyFill="1" applyBorder="1" applyAlignment="1" applyProtection="1">
      <alignment vertical="top"/>
      <protection locked="0"/>
    </xf>
    <xf numFmtId="0" fontId="2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vertical="center"/>
    </xf>
    <xf numFmtId="0" fontId="3" fillId="0" borderId="0" xfId="3" applyFill="1" applyAlignment="1" applyProtection="1">
      <alignment vertical="center"/>
    </xf>
    <xf numFmtId="0" fontId="0" fillId="6" borderId="6" xfId="0" applyFill="1" applyBorder="1" applyAlignment="1" applyProtection="1">
      <alignment vertical="center"/>
    </xf>
    <xf numFmtId="39" fontId="15" fillId="19" borderId="2" xfId="5" applyNumberFormat="1" applyFont="1" applyFill="1" applyBorder="1" applyAlignment="1">
      <alignment vertical="center"/>
    </xf>
    <xf numFmtId="0" fontId="15" fillId="19" borderId="2" xfId="5" applyFont="1" applyFill="1" applyBorder="1" applyAlignment="1">
      <alignment vertical="center"/>
    </xf>
    <xf numFmtId="174" fontId="15" fillId="19" borderId="2" xfId="5" applyNumberFormat="1" applyFont="1" applyFill="1" applyBorder="1" applyAlignment="1">
      <alignment vertical="center"/>
    </xf>
    <xf numFmtId="172" fontId="15" fillId="19" borderId="2" xfId="5" applyNumberFormat="1" applyFont="1" applyFill="1" applyBorder="1" applyAlignment="1">
      <alignment vertical="center"/>
    </xf>
    <xf numFmtId="168" fontId="15" fillId="19" borderId="2" xfId="5" applyNumberFormat="1" applyFont="1" applyFill="1" applyBorder="1" applyAlignment="1">
      <alignment vertical="center"/>
    </xf>
    <xf numFmtId="173" fontId="15" fillId="19" borderId="2" xfId="5" applyNumberFormat="1" applyFont="1" applyFill="1" applyBorder="1" applyAlignment="1">
      <alignment vertical="center"/>
    </xf>
    <xf numFmtId="169" fontId="15" fillId="19" borderId="2" xfId="5" applyNumberFormat="1" applyFont="1" applyFill="1" applyBorder="1" applyAlignment="1">
      <alignment vertical="center"/>
    </xf>
    <xf numFmtId="44" fontId="0" fillId="0" borderId="2" xfId="2" applyFont="1" applyBorder="1"/>
    <xf numFmtId="0" fontId="15" fillId="18" borderId="2" xfId="0" applyFont="1" applyFill="1" applyBorder="1" applyAlignment="1">
      <alignment vertical="center"/>
    </xf>
    <xf numFmtId="0" fontId="15" fillId="7" borderId="2" xfId="0" applyFont="1" applyFill="1" applyBorder="1" applyAlignment="1">
      <alignment vertical="center"/>
    </xf>
    <xf numFmtId="9" fontId="0" fillId="0" borderId="2" xfId="4" applyFont="1" applyBorder="1"/>
    <xf numFmtId="44" fontId="8" fillId="0" borderId="2" xfId="2" applyFont="1" applyBorder="1"/>
    <xf numFmtId="9" fontId="8" fillId="0" borderId="2" xfId="4" applyFont="1" applyBorder="1"/>
    <xf numFmtId="0" fontId="8" fillId="0" borderId="0" xfId="0" applyFont="1"/>
    <xf numFmtId="164" fontId="0" fillId="8" borderId="1" xfId="7" applyFont="1" applyFill="1" applyBorder="1" applyAlignment="1" applyProtection="1">
      <alignment vertical="center"/>
    </xf>
    <xf numFmtId="164" fontId="0" fillId="8" borderId="6" xfId="7" applyFont="1" applyFill="1" applyBorder="1" applyAlignment="1" applyProtection="1">
      <alignment vertical="center"/>
    </xf>
    <xf numFmtId="164" fontId="1" fillId="8" borderId="2" xfId="0" applyNumberFormat="1" applyFont="1" applyFill="1" applyBorder="1" applyAlignment="1" applyProtection="1">
      <alignment vertical="center"/>
    </xf>
    <xf numFmtId="44" fontId="0" fillId="20" borderId="2" xfId="2" applyFont="1" applyFill="1" applyBorder="1"/>
    <xf numFmtId="173" fontId="29" fillId="19" borderId="2" xfId="5" applyNumberFormat="1" applyFont="1" applyFill="1" applyBorder="1" applyAlignment="1">
      <alignment vertical="center"/>
    </xf>
    <xf numFmtId="0" fontId="15" fillId="19" borderId="0" xfId="5" applyFont="1" applyFill="1" applyAlignment="1">
      <alignment vertical="top"/>
    </xf>
    <xf numFmtId="169" fontId="14" fillId="12" borderId="2" xfId="5" applyNumberFormat="1" applyFont="1" applyFill="1" applyBorder="1" applyAlignment="1">
      <alignment horizontal="center" vertical="center" wrapText="1"/>
    </xf>
    <xf numFmtId="169" fontId="15" fillId="9" borderId="2" xfId="5" applyNumberFormat="1" applyFont="1" applyFill="1" applyBorder="1" applyAlignment="1">
      <alignment horizontal="center" vertical="center" wrapText="1"/>
    </xf>
    <xf numFmtId="169" fontId="15" fillId="10" borderId="2" xfId="5" applyNumberFormat="1" applyFont="1" applyFill="1" applyBorder="1" applyAlignment="1">
      <alignment vertical="center"/>
    </xf>
    <xf numFmtId="169" fontId="15" fillId="6" borderId="2" xfId="5" applyNumberFormat="1" applyFont="1" applyFill="1" applyBorder="1" applyAlignment="1">
      <alignment vertical="center"/>
    </xf>
    <xf numFmtId="169" fontId="15" fillId="4" borderId="2" xfId="1" applyNumberFormat="1" applyFont="1" applyFill="1" applyBorder="1" applyAlignment="1">
      <alignment vertical="center"/>
    </xf>
    <xf numFmtId="169" fontId="15" fillId="8" borderId="2" xfId="1" applyNumberFormat="1" applyFont="1" applyFill="1" applyBorder="1" applyAlignment="1">
      <alignment vertical="center"/>
    </xf>
    <xf numFmtId="169" fontId="15" fillId="0" borderId="0" xfId="5" applyNumberFormat="1" applyFont="1" applyAlignment="1">
      <alignment vertical="center"/>
    </xf>
    <xf numFmtId="169" fontId="15" fillId="21" borderId="2" xfId="5" applyNumberFormat="1" applyFont="1" applyFill="1" applyBorder="1" applyAlignment="1">
      <alignment vertical="center"/>
    </xf>
    <xf numFmtId="169" fontId="15" fillId="21" borderId="2" xfId="1" applyNumberFormat="1" applyFont="1" applyFill="1" applyBorder="1" applyAlignment="1">
      <alignment vertical="center"/>
    </xf>
    <xf numFmtId="0" fontId="15" fillId="0" borderId="0" xfId="5" applyFont="1" applyFill="1" applyAlignment="1">
      <alignment horizontal="left"/>
    </xf>
    <xf numFmtId="0" fontId="15" fillId="0" borderId="0" xfId="5" applyFont="1" applyFill="1" applyAlignment="1"/>
    <xf numFmtId="0" fontId="15" fillId="0" borderId="0" xfId="5" applyFont="1" applyFill="1" applyAlignment="1">
      <alignment horizontal="left" wrapText="1"/>
    </xf>
    <xf numFmtId="170" fontId="0" fillId="2" borderId="6" xfId="1" applyNumberFormat="1" applyFont="1" applyFill="1" applyBorder="1" applyAlignment="1" applyProtection="1">
      <alignment vertical="center"/>
      <protection locked="0"/>
    </xf>
    <xf numFmtId="170" fontId="0" fillId="16" borderId="2" xfId="1" applyNumberFormat="1" applyFont="1" applyFill="1" applyBorder="1" applyAlignment="1" applyProtection="1">
      <alignment vertical="center"/>
      <protection locked="0"/>
    </xf>
    <xf numFmtId="40" fontId="15" fillId="21" borderId="2" xfId="5" applyNumberFormat="1" applyFont="1" applyFill="1" applyBorder="1" applyAlignment="1">
      <alignment vertical="center"/>
    </xf>
    <xf numFmtId="173" fontId="15" fillId="21" borderId="2" xfId="5" applyNumberFormat="1" applyFont="1" applyFill="1" applyBorder="1" applyAlignment="1">
      <alignment vertical="center"/>
    </xf>
    <xf numFmtId="0" fontId="16" fillId="9" borderId="2" xfId="0" applyFont="1" applyFill="1" applyBorder="1" applyAlignment="1" applyProtection="1">
      <alignment vertical="top"/>
    </xf>
    <xf numFmtId="0" fontId="15" fillId="9" borderId="2" xfId="0" applyFont="1" applyFill="1" applyBorder="1" applyAlignment="1" applyProtection="1">
      <alignment vertical="center"/>
    </xf>
    <xf numFmtId="0" fontId="16" fillId="9" borderId="2" xfId="0" applyFont="1" applyFill="1" applyBorder="1" applyProtection="1"/>
    <xf numFmtId="167" fontId="15" fillId="9" borderId="2" xfId="2" applyNumberFormat="1" applyFont="1" applyFill="1" applyBorder="1" applyAlignment="1" applyProtection="1">
      <alignment vertical="top"/>
      <protection locked="0"/>
    </xf>
    <xf numFmtId="169" fontId="15" fillId="9" borderId="2" xfId="2" applyNumberFormat="1" applyFont="1" applyFill="1" applyBorder="1" applyAlignment="1" applyProtection="1">
      <alignment vertical="top"/>
      <protection locked="0"/>
    </xf>
    <xf numFmtId="0" fontId="16" fillId="6" borderId="2" xfId="0" applyFont="1" applyFill="1" applyBorder="1" applyAlignment="1" applyProtection="1">
      <alignment vertical="center"/>
    </xf>
    <xf numFmtId="0" fontId="29" fillId="4" borderId="3" xfId="0" applyFont="1" applyFill="1" applyBorder="1" applyAlignment="1" applyProtection="1">
      <alignment vertical="center"/>
    </xf>
    <xf numFmtId="0" fontId="15" fillId="8" borderId="2" xfId="0" applyFont="1" applyFill="1" applyBorder="1" applyAlignment="1" applyProtection="1">
      <alignment vertical="center"/>
    </xf>
    <xf numFmtId="0" fontId="29" fillId="14" borderId="2" xfId="0" applyFont="1" applyFill="1" applyBorder="1" applyAlignment="1" applyProtection="1">
      <alignment vertical="center"/>
    </xf>
    <xf numFmtId="0" fontId="29" fillId="4" borderId="2" xfId="0" applyFont="1" applyFill="1" applyBorder="1" applyAlignment="1" applyProtection="1">
      <alignment vertical="center"/>
    </xf>
    <xf numFmtId="0" fontId="15" fillId="8" borderId="3" xfId="0" applyFont="1" applyFill="1" applyBorder="1" applyAlignment="1" applyProtection="1">
      <alignment vertical="center"/>
    </xf>
    <xf numFmtId="0" fontId="29" fillId="14" borderId="3" xfId="0" applyFont="1" applyFill="1" applyBorder="1" applyAlignment="1" applyProtection="1">
      <alignment vertical="center"/>
    </xf>
    <xf numFmtId="0" fontId="0" fillId="0" borderId="2" xfId="0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18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169" fontId="15" fillId="22" borderId="2" xfId="5" applyNumberFormat="1" applyFont="1" applyFill="1" applyBorder="1" applyAlignment="1">
      <alignment vertical="center"/>
    </xf>
    <xf numFmtId="177" fontId="0" fillId="2" borderId="6" xfId="2" applyNumberFormat="1" applyFont="1" applyFill="1" applyBorder="1" applyAlignment="1" applyProtection="1">
      <alignment vertical="center"/>
      <protection locked="0"/>
    </xf>
    <xf numFmtId="10" fontId="0" fillId="23" borderId="7" xfId="4" applyNumberFormat="1" applyFont="1" applyFill="1" applyBorder="1" applyAlignment="1" applyProtection="1">
      <alignment vertical="center"/>
    </xf>
    <xf numFmtId="2" fontId="15" fillId="19" borderId="2" xfId="5" applyNumberFormat="1" applyFont="1" applyFill="1" applyBorder="1" applyAlignment="1">
      <alignment vertical="center"/>
    </xf>
    <xf numFmtId="0" fontId="0" fillId="0" borderId="0" xfId="0" applyBorder="1"/>
    <xf numFmtId="0" fontId="3" fillId="0" borderId="0" xfId="3" applyBorder="1" applyProtection="1"/>
    <xf numFmtId="0" fontId="1" fillId="0" borderId="0" xfId="3" applyFont="1" applyFill="1" applyBorder="1" applyAlignment="1" applyProtection="1">
      <alignment horizontal="center" vertical="center"/>
    </xf>
    <xf numFmtId="178" fontId="3" fillId="0" borderId="0" xfId="4" applyNumberFormat="1" applyFont="1" applyFill="1" applyBorder="1" applyAlignment="1" applyProtection="1">
      <alignment horizontal="left" vertical="top"/>
    </xf>
    <xf numFmtId="0" fontId="3" fillId="13" borderId="22" xfId="3" applyFont="1" applyFill="1" applyBorder="1" applyAlignment="1" applyProtection="1">
      <alignment vertical="top"/>
    </xf>
    <xf numFmtId="179" fontId="3" fillId="0" borderId="2" xfId="1" applyNumberFormat="1" applyFont="1" applyFill="1" applyBorder="1" applyAlignment="1" applyProtection="1">
      <alignment horizontal="left" vertical="top"/>
    </xf>
    <xf numFmtId="44" fontId="3" fillId="0" borderId="2" xfId="2" applyFont="1" applyFill="1" applyBorder="1" applyAlignment="1" applyProtection="1">
      <alignment horizontal="left" vertical="top"/>
    </xf>
    <xf numFmtId="0" fontId="3" fillId="0" borderId="0" xfId="3" applyFill="1" applyProtection="1"/>
    <xf numFmtId="0" fontId="0" fillId="0" borderId="0" xfId="0" applyBorder="1" applyAlignment="1">
      <alignment horizontal="center" wrapText="1"/>
    </xf>
    <xf numFmtId="179" fontId="3" fillId="13" borderId="2" xfId="1" applyNumberFormat="1" applyFont="1" applyFill="1" applyBorder="1" applyAlignment="1" applyProtection="1">
      <alignment horizontal="left" vertical="top"/>
    </xf>
    <xf numFmtId="178" fontId="0" fillId="0" borderId="2" xfId="4" applyNumberFormat="1" applyFont="1" applyBorder="1"/>
    <xf numFmtId="179" fontId="3" fillId="4" borderId="2" xfId="1" applyNumberFormat="1" applyFont="1" applyFill="1" applyBorder="1" applyAlignment="1" applyProtection="1">
      <alignment horizontal="left" vertical="top"/>
    </xf>
    <xf numFmtId="178" fontId="0" fillId="4" borderId="2" xfId="4" applyNumberFormat="1" applyFont="1" applyFill="1" applyBorder="1"/>
    <xf numFmtId="0" fontId="3" fillId="13" borderId="23" xfId="3" applyFont="1" applyFill="1" applyBorder="1" applyAlignment="1" applyProtection="1">
      <alignment vertical="top"/>
    </xf>
    <xf numFmtId="44" fontId="3" fillId="13" borderId="2" xfId="2" applyFont="1" applyFill="1" applyBorder="1" applyAlignment="1" applyProtection="1">
      <alignment horizontal="left" vertical="top"/>
    </xf>
    <xf numFmtId="179" fontId="3" fillId="0" borderId="29" xfId="1" applyNumberFormat="1" applyFont="1" applyFill="1" applyBorder="1" applyAlignment="1" applyProtection="1">
      <alignment horizontal="left" vertical="top"/>
    </xf>
    <xf numFmtId="44" fontId="3" fillId="0" borderId="29" xfId="2" applyFont="1" applyFill="1" applyBorder="1" applyAlignment="1" applyProtection="1">
      <alignment horizontal="left" vertical="top"/>
    </xf>
    <xf numFmtId="0" fontId="8" fillId="0" borderId="31" xfId="0" applyFont="1" applyBorder="1" applyAlignment="1"/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178" fontId="0" fillId="0" borderId="27" xfId="4" applyNumberFormat="1" applyFont="1" applyBorder="1"/>
    <xf numFmtId="178" fontId="0" fillId="4" borderId="27" xfId="4" applyNumberFormat="1" applyFont="1" applyFill="1" applyBorder="1"/>
    <xf numFmtId="179" fontId="3" fillId="13" borderId="29" xfId="1" applyNumberFormat="1" applyFont="1" applyFill="1" applyBorder="1" applyAlignment="1" applyProtection="1">
      <alignment horizontal="left" vertical="top"/>
    </xf>
    <xf numFmtId="178" fontId="0" fillId="0" borderId="29" xfId="4" applyNumberFormat="1" applyFont="1" applyBorder="1"/>
    <xf numFmtId="178" fontId="0" fillId="0" borderId="30" xfId="4" applyNumberFormat="1" applyFont="1" applyBorder="1"/>
    <xf numFmtId="0" fontId="8" fillId="0" borderId="0" xfId="0" applyFont="1" applyFill="1" applyBorder="1" applyAlignment="1"/>
    <xf numFmtId="0" fontId="3" fillId="0" borderId="0" xfId="3" applyBorder="1" applyAlignment="1" applyProtection="1">
      <alignment horizontal="center"/>
    </xf>
    <xf numFmtId="0" fontId="3" fillId="0" borderId="0" xfId="3" applyAlignment="1" applyProtection="1">
      <alignment horizontal="center"/>
    </xf>
    <xf numFmtId="179" fontId="3" fillId="0" borderId="1" xfId="1" applyNumberFormat="1" applyFont="1" applyFill="1" applyBorder="1" applyAlignment="1" applyProtection="1">
      <alignment horizontal="left" vertical="top"/>
    </xf>
    <xf numFmtId="44" fontId="3" fillId="0" borderId="1" xfId="2" applyFont="1" applyFill="1" applyBorder="1" applyAlignment="1" applyProtection="1">
      <alignment horizontal="left" vertical="top"/>
    </xf>
    <xf numFmtId="164" fontId="3" fillId="0" borderId="7" xfId="7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/>
    </xf>
    <xf numFmtId="164" fontId="0" fillId="0" borderId="1" xfId="7" applyFont="1" applyBorder="1" applyAlignment="1" applyProtection="1">
      <alignment vertical="center"/>
    </xf>
    <xf numFmtId="164" fontId="0" fillId="0" borderId="6" xfId="7" applyFont="1" applyBorder="1" applyAlignment="1" applyProtection="1">
      <alignment vertical="center"/>
    </xf>
    <xf numFmtId="164" fontId="0" fillId="0" borderId="6" xfId="7" applyFont="1" applyFill="1" applyBorder="1" applyAlignment="1" applyProtection="1">
      <alignment vertical="center"/>
    </xf>
    <xf numFmtId="166" fontId="0" fillId="9" borderId="12" xfId="0" applyNumberFormat="1" applyFill="1" applyBorder="1" applyAlignment="1" applyProtection="1">
      <alignment vertical="center"/>
    </xf>
    <xf numFmtId="164" fontId="0" fillId="0" borderId="1" xfId="7" applyFont="1" applyFill="1" applyBorder="1" applyAlignment="1" applyProtection="1">
      <alignment vertical="center"/>
    </xf>
    <xf numFmtId="164" fontId="0" fillId="0" borderId="6" xfId="9" applyFont="1" applyFill="1" applyBorder="1" applyAlignment="1" applyProtection="1">
      <alignment vertical="center"/>
    </xf>
    <xf numFmtId="164" fontId="0" fillId="0" borderId="6" xfId="7" applyNumberFormat="1" applyFont="1" applyFill="1" applyBorder="1" applyAlignment="1" applyProtection="1">
      <alignment vertical="center"/>
    </xf>
    <xf numFmtId="164" fontId="0" fillId="0" borderId="8" xfId="9" applyFont="1" applyFill="1" applyBorder="1" applyAlignment="1" applyProtection="1">
      <alignment vertical="center"/>
    </xf>
    <xf numFmtId="1" fontId="0" fillId="9" borderId="12" xfId="0" applyNumberFormat="1" applyFill="1" applyBorder="1" applyAlignment="1" applyProtection="1">
      <alignment vertical="center"/>
    </xf>
    <xf numFmtId="1" fontId="3" fillId="13" borderId="12" xfId="0" applyNumberFormat="1" applyFont="1" applyFill="1" applyBorder="1" applyAlignment="1" applyProtection="1">
      <alignment vertical="center"/>
    </xf>
    <xf numFmtId="1" fontId="3" fillId="13" borderId="12" xfId="3" applyNumberFormat="1" applyFill="1" applyBorder="1" applyAlignment="1" applyProtection="1">
      <alignment vertical="center"/>
    </xf>
    <xf numFmtId="164" fontId="3" fillId="0" borderId="1" xfId="7" applyFont="1" applyBorder="1" applyAlignment="1" applyProtection="1">
      <alignment vertical="center"/>
    </xf>
    <xf numFmtId="0" fontId="18" fillId="0" borderId="0" xfId="0" applyFont="1" applyFill="1" applyAlignment="1" applyProtection="1">
      <alignment vertical="top" wrapText="1"/>
    </xf>
    <xf numFmtId="0" fontId="20" fillId="0" borderId="0" xfId="0" applyFont="1" applyFill="1" applyBorder="1" applyAlignment="1" applyProtection="1"/>
    <xf numFmtId="0" fontId="0" fillId="0" borderId="0" xfId="0" applyFill="1" applyBorder="1" applyAlignment="1" applyProtection="1">
      <alignment horizontal="left" indent="1"/>
    </xf>
    <xf numFmtId="167" fontId="3" fillId="5" borderId="2" xfId="7" applyNumberFormat="1" applyFont="1" applyFill="1" applyBorder="1" applyAlignment="1" applyProtection="1">
      <alignment vertical="top"/>
      <protection locked="0"/>
    </xf>
    <xf numFmtId="164" fontId="3" fillId="5" borderId="5" xfId="7" applyFont="1" applyFill="1" applyBorder="1" applyAlignment="1" applyProtection="1">
      <alignment vertical="center"/>
    </xf>
    <xf numFmtId="164" fontId="1" fillId="17" borderId="6" xfId="0" applyNumberFormat="1" applyFont="1" applyFill="1" applyBorder="1" applyAlignment="1" applyProtection="1">
      <alignment vertical="center"/>
    </xf>
    <xf numFmtId="167" fontId="3" fillId="5" borderId="25" xfId="7" applyNumberFormat="1" applyFont="1" applyFill="1" applyBorder="1" applyAlignment="1" applyProtection="1">
      <alignment vertical="top"/>
      <protection locked="0"/>
    </xf>
    <xf numFmtId="0" fontId="3" fillId="5" borderId="25" xfId="3" applyFill="1" applyBorder="1" applyAlignment="1" applyProtection="1">
      <alignment vertical="center"/>
      <protection locked="0"/>
    </xf>
    <xf numFmtId="164" fontId="3" fillId="5" borderId="33" xfId="7" applyFont="1" applyFill="1" applyBorder="1" applyAlignment="1" applyProtection="1">
      <alignment vertical="center"/>
    </xf>
    <xf numFmtId="0" fontId="3" fillId="5" borderId="33" xfId="3" applyFill="1" applyBorder="1" applyAlignment="1" applyProtection="1">
      <alignment vertical="center"/>
      <protection locked="0"/>
    </xf>
    <xf numFmtId="164" fontId="0" fillId="5" borderId="2" xfId="0" applyNumberFormat="1" applyFill="1" applyBorder="1" applyAlignment="1" applyProtection="1">
      <alignment vertical="center"/>
    </xf>
    <xf numFmtId="10" fontId="3" fillId="5" borderId="5" xfId="4" applyNumberFormat="1" applyFont="1" applyFill="1" applyBorder="1" applyAlignment="1" applyProtection="1">
      <alignment vertical="center"/>
    </xf>
    <xf numFmtId="164" fontId="3" fillId="5" borderId="25" xfId="3" applyNumberFormat="1" applyFill="1" applyBorder="1" applyAlignment="1" applyProtection="1">
      <alignment vertical="center"/>
    </xf>
    <xf numFmtId="10" fontId="3" fillId="5" borderId="33" xfId="4" applyNumberFormat="1" applyFont="1" applyFill="1" applyBorder="1" applyAlignment="1" applyProtection="1">
      <alignment vertical="center"/>
    </xf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0" fontId="3" fillId="5" borderId="34" xfId="3" applyFill="1" applyBorder="1" applyAlignment="1" applyProtection="1">
      <alignment vertical="center"/>
      <protection locked="0"/>
    </xf>
    <xf numFmtId="164" fontId="3" fillId="5" borderId="25" xfId="7" applyFont="1" applyFill="1" applyBorder="1" applyAlignment="1" applyProtection="1">
      <alignment vertical="center"/>
    </xf>
    <xf numFmtId="164" fontId="0" fillId="5" borderId="17" xfId="0" applyNumberFormat="1" applyFill="1" applyBorder="1" applyAlignment="1" applyProtection="1">
      <alignment vertical="center"/>
    </xf>
    <xf numFmtId="10" fontId="3" fillId="5" borderId="16" xfId="4" applyNumberFormat="1" applyFont="1" applyFill="1" applyBorder="1" applyAlignment="1" applyProtection="1">
      <alignment vertical="center"/>
    </xf>
    <xf numFmtId="0" fontId="0" fillId="9" borderId="7" xfId="0" applyFill="1" applyBorder="1" applyAlignment="1" applyProtection="1">
      <alignment vertical="center"/>
    </xf>
    <xf numFmtId="164" fontId="0" fillId="0" borderId="6" xfId="7" applyNumberFormat="1" applyFont="1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</xf>
    <xf numFmtId="0" fontId="10" fillId="4" borderId="3" xfId="0" applyFont="1" applyFill="1" applyBorder="1" applyAlignment="1" applyProtection="1">
      <alignment vertical="center"/>
    </xf>
    <xf numFmtId="0" fontId="9" fillId="8" borderId="3" xfId="0" applyFont="1" applyFill="1" applyBorder="1" applyAlignment="1" applyProtection="1">
      <alignment vertical="center"/>
    </xf>
    <xf numFmtId="0" fontId="10" fillId="14" borderId="3" xfId="0" applyFont="1" applyFill="1" applyBorder="1" applyAlignment="1" applyProtection="1">
      <alignment vertical="center"/>
    </xf>
    <xf numFmtId="0" fontId="4" fillId="6" borderId="3" xfId="0" applyFont="1" applyFill="1" applyBorder="1" applyAlignment="1" applyProtection="1">
      <alignment vertical="center"/>
    </xf>
    <xf numFmtId="0" fontId="9" fillId="9" borderId="3" xfId="0" applyFont="1" applyFill="1" applyBorder="1" applyAlignment="1" applyProtection="1">
      <alignment vertical="center"/>
    </xf>
    <xf numFmtId="0" fontId="0" fillId="0" borderId="35" xfId="0" applyBorder="1" applyAlignment="1" applyProtection="1">
      <alignment vertical="top"/>
    </xf>
    <xf numFmtId="0" fontId="0" fillId="0" borderId="11" xfId="0" applyFill="1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7" xfId="0" applyFill="1" applyBorder="1" applyAlignment="1" applyProtection="1">
      <alignment vertical="top"/>
    </xf>
    <xf numFmtId="0" fontId="0" fillId="16" borderId="5" xfId="0" applyFill="1" applyBorder="1" applyAlignment="1" applyProtection="1">
      <alignment vertical="top"/>
    </xf>
    <xf numFmtId="0" fontId="3" fillId="0" borderId="12" xfId="0" applyFont="1" applyBorder="1" applyAlignment="1" applyProtection="1">
      <alignment vertical="top"/>
    </xf>
    <xf numFmtId="0" fontId="0" fillId="16" borderId="5" xfId="0" applyFill="1" applyBorder="1" applyProtection="1"/>
    <xf numFmtId="0" fontId="3" fillId="0" borderId="0" xfId="3" applyBorder="1" applyAlignment="1" applyProtection="1">
      <alignment vertical="top"/>
    </xf>
    <xf numFmtId="0" fontId="3" fillId="0" borderId="7" xfId="3" applyFill="1" applyBorder="1" applyAlignment="1" applyProtection="1">
      <alignment vertical="top"/>
    </xf>
    <xf numFmtId="0" fontId="3" fillId="5" borderId="21" xfId="0" applyFont="1" applyFill="1" applyBorder="1" applyProtection="1"/>
    <xf numFmtId="0" fontId="0" fillId="5" borderId="16" xfId="0" applyFill="1" applyBorder="1" applyAlignment="1" applyProtection="1">
      <alignment vertical="top"/>
    </xf>
    <xf numFmtId="0" fontId="1" fillId="0" borderId="12" xfId="0" applyFont="1" applyFill="1" applyBorder="1" applyAlignment="1" applyProtection="1">
      <alignment vertical="top"/>
    </xf>
    <xf numFmtId="0" fontId="0" fillId="0" borderId="7" xfId="0" applyBorder="1" applyAlignment="1" applyProtection="1">
      <alignment vertical="top"/>
    </xf>
    <xf numFmtId="0" fontId="3" fillId="0" borderId="12" xfId="0" applyFont="1" applyFill="1" applyBorder="1" applyAlignment="1" applyProtection="1">
      <alignment horizontal="left" vertical="top" indent="1"/>
    </xf>
    <xf numFmtId="0" fontId="0" fillId="17" borderId="7" xfId="0" applyFill="1" applyBorder="1" applyAlignment="1" applyProtection="1">
      <alignment vertical="top"/>
    </xf>
    <xf numFmtId="0" fontId="3" fillId="5" borderId="21" xfId="3" applyFont="1" applyFill="1" applyBorder="1" applyProtection="1"/>
    <xf numFmtId="0" fontId="3" fillId="5" borderId="16" xfId="3" applyFill="1" applyBorder="1" applyAlignment="1" applyProtection="1">
      <alignment vertical="top"/>
    </xf>
    <xf numFmtId="0" fontId="1" fillId="0" borderId="12" xfId="3" applyFont="1" applyFill="1" applyBorder="1" applyAlignment="1" applyProtection="1">
      <alignment vertical="top"/>
    </xf>
    <xf numFmtId="0" fontId="3" fillId="0" borderId="7" xfId="3" applyBorder="1" applyAlignment="1" applyProtection="1">
      <alignment vertical="top"/>
    </xf>
    <xf numFmtId="0" fontId="3" fillId="0" borderId="12" xfId="3" applyFont="1" applyFill="1" applyBorder="1" applyAlignment="1" applyProtection="1">
      <alignment horizontal="left" vertical="top" indent="1"/>
    </xf>
    <xf numFmtId="0" fontId="1" fillId="0" borderId="12" xfId="3" applyFont="1" applyBorder="1" applyAlignment="1" applyProtection="1">
      <alignment horizontal="left" vertical="top" wrapText="1" indent="1"/>
    </xf>
    <xf numFmtId="0" fontId="3" fillId="17" borderId="7" xfId="3" applyFill="1" applyBorder="1" applyAlignment="1" applyProtection="1">
      <alignment vertical="top"/>
    </xf>
    <xf numFmtId="0" fontId="3" fillId="5" borderId="37" xfId="3" applyFont="1" applyFill="1" applyBorder="1" applyProtection="1"/>
    <xf numFmtId="0" fontId="3" fillId="5" borderId="34" xfId="3" applyFill="1" applyBorder="1" applyAlignment="1" applyProtection="1">
      <alignment vertical="top"/>
    </xf>
    <xf numFmtId="0" fontId="3" fillId="5" borderId="34" xfId="3" applyFill="1" applyBorder="1" applyAlignment="1" applyProtection="1">
      <alignment vertical="top"/>
      <protection locked="0"/>
    </xf>
    <xf numFmtId="0" fontId="3" fillId="5" borderId="33" xfId="3" applyFill="1" applyBorder="1" applyAlignment="1" applyProtection="1">
      <alignment vertical="top"/>
    </xf>
    <xf numFmtId="179" fontId="0" fillId="0" borderId="7" xfId="1" applyNumberFormat="1" applyFont="1" applyFill="1" applyBorder="1" applyAlignment="1" applyProtection="1">
      <alignment vertical="center"/>
    </xf>
    <xf numFmtId="179" fontId="0" fillId="0" borderId="6" xfId="1" applyNumberFormat="1" applyFont="1" applyFill="1" applyBorder="1" applyAlignment="1" applyProtection="1">
      <alignment vertical="center"/>
    </xf>
    <xf numFmtId="179" fontId="0" fillId="9" borderId="7" xfId="1" applyNumberFormat="1" applyFont="1" applyFill="1" applyBorder="1" applyAlignment="1" applyProtection="1">
      <alignment vertical="center"/>
    </xf>
    <xf numFmtId="179" fontId="0" fillId="9" borderId="6" xfId="1" applyNumberFormat="1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center"/>
    </xf>
    <xf numFmtId="0" fontId="18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center"/>
    </xf>
    <xf numFmtId="0" fontId="0" fillId="9" borderId="6" xfId="0" applyFill="1" applyBorder="1" applyAlignment="1" applyProtection="1">
      <alignment vertical="center"/>
    </xf>
    <xf numFmtId="179" fontId="0" fillId="16" borderId="2" xfId="1" applyNumberFormat="1" applyFont="1" applyFill="1" applyBorder="1" applyAlignment="1" applyProtection="1">
      <alignment vertical="center"/>
      <protection locked="0"/>
    </xf>
    <xf numFmtId="179" fontId="0" fillId="16" borderId="5" xfId="1" applyNumberFormat="1" applyFont="1" applyFill="1" applyBorder="1" applyAlignment="1" applyProtection="1">
      <alignment vertical="center"/>
      <protection locked="0"/>
    </xf>
    <xf numFmtId="179" fontId="0" fillId="0" borderId="7" xfId="1" applyNumberFormat="1" applyFont="1" applyBorder="1" applyAlignment="1" applyProtection="1">
      <alignment vertical="center"/>
    </xf>
    <xf numFmtId="179" fontId="8" fillId="16" borderId="5" xfId="1" applyNumberFormat="1" applyFont="1" applyFill="1" applyBorder="1" applyAlignment="1" applyProtection="1">
      <alignment vertical="center"/>
    </xf>
    <xf numFmtId="179" fontId="0" fillId="0" borderId="0" xfId="1" applyNumberFormat="1" applyFont="1" applyFill="1" applyBorder="1" applyAlignment="1" applyProtection="1">
      <alignment vertical="center"/>
    </xf>
    <xf numFmtId="179" fontId="0" fillId="16" borderId="5" xfId="1" applyNumberFormat="1" applyFont="1" applyFill="1" applyBorder="1" applyAlignment="1" applyProtection="1">
      <alignment vertical="center"/>
    </xf>
    <xf numFmtId="179" fontId="0" fillId="6" borderId="6" xfId="1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/>
    </xf>
    <xf numFmtId="0" fontId="15" fillId="0" borderId="2" xfId="5" applyFont="1" applyFill="1" applyBorder="1" applyAlignment="1">
      <alignment wrapText="1"/>
    </xf>
    <xf numFmtId="0" fontId="15" fillId="2" borderId="2" xfId="5" applyFont="1" applyFill="1" applyBorder="1" applyAlignment="1">
      <alignment wrapText="1"/>
    </xf>
    <xf numFmtId="173" fontId="15" fillId="2" borderId="2" xfId="5" applyNumberFormat="1" applyFont="1" applyFill="1" applyBorder="1" applyAlignment="1">
      <alignment wrapText="1"/>
    </xf>
    <xf numFmtId="0" fontId="15" fillId="21" borderId="2" xfId="5" applyFont="1" applyFill="1" applyBorder="1" applyAlignment="1">
      <alignment wrapText="1"/>
    </xf>
    <xf numFmtId="173" fontId="15" fillId="21" borderId="2" xfId="5" applyNumberFormat="1" applyFont="1" applyFill="1" applyBorder="1" applyAlignment="1">
      <alignment wrapText="1"/>
    </xf>
    <xf numFmtId="0" fontId="15" fillId="24" borderId="2" xfId="5" applyFont="1" applyFill="1" applyBorder="1" applyAlignment="1">
      <alignment wrapText="1"/>
    </xf>
    <xf numFmtId="173" fontId="15" fillId="24" borderId="2" xfId="5" applyNumberFormat="1" applyFont="1" applyFill="1" applyBorder="1" applyAlignment="1">
      <alignment wrapText="1"/>
    </xf>
    <xf numFmtId="0" fontId="29" fillId="0" borderId="19" xfId="5" applyFont="1" applyFill="1" applyBorder="1"/>
    <xf numFmtId="0" fontId="29" fillId="0" borderId="19" xfId="5" applyFont="1" applyFill="1" applyBorder="1" applyAlignment="1">
      <alignment wrapText="1"/>
    </xf>
    <xf numFmtId="0" fontId="29" fillId="0" borderId="3" xfId="5" applyFont="1" applyFill="1" applyBorder="1" applyAlignment="1">
      <alignment horizontal="center" vertical="center" wrapText="1"/>
    </xf>
    <xf numFmtId="0" fontId="15" fillId="0" borderId="2" xfId="5" applyFont="1" applyFill="1" applyBorder="1" applyAlignment="1">
      <alignment horizontal="left" wrapText="1"/>
    </xf>
    <xf numFmtId="0" fontId="29" fillId="0" borderId="1" xfId="5" applyFont="1" applyFill="1" applyBorder="1" applyAlignment="1">
      <alignment horizontal="center" vertical="center" wrapText="1"/>
    </xf>
    <xf numFmtId="173" fontId="15" fillId="0" borderId="2" xfId="5" applyNumberFormat="1" applyFont="1" applyFill="1" applyBorder="1" applyAlignment="1">
      <alignment horizontal="center" vertical="center" wrapText="1"/>
    </xf>
    <xf numFmtId="0" fontId="15" fillId="0" borderId="2" xfId="5" applyFont="1" applyFill="1" applyBorder="1" applyAlignment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177" fontId="0" fillId="2" borderId="6" xfId="7" applyNumberFormat="1" applyFont="1" applyFill="1" applyBorder="1" applyAlignment="1" applyProtection="1">
      <alignment vertical="center"/>
      <protection locked="0"/>
    </xf>
    <xf numFmtId="181" fontId="0" fillId="2" borderId="6" xfId="1" applyNumberFormat="1" applyFont="1" applyFill="1" applyBorder="1" applyAlignment="1" applyProtection="1">
      <alignment vertical="center"/>
      <protection locked="0"/>
    </xf>
    <xf numFmtId="44" fontId="0" fillId="2" borderId="6" xfId="2" applyFont="1" applyFill="1" applyBorder="1" applyAlignment="1" applyProtection="1">
      <alignment vertical="center"/>
      <protection locked="0"/>
    </xf>
    <xf numFmtId="180" fontId="0" fillId="2" borderId="6" xfId="2" applyNumberFormat="1" applyFont="1" applyFill="1" applyBorder="1" applyAlignment="1" applyProtection="1">
      <alignment vertical="center"/>
      <protection locked="0"/>
    </xf>
    <xf numFmtId="177" fontId="7" fillId="2" borderId="6" xfId="2" applyNumberFormat="1" applyFont="1" applyFill="1" applyBorder="1" applyAlignment="1" applyProtection="1">
      <alignment vertical="top"/>
      <protection locked="0"/>
    </xf>
    <xf numFmtId="177" fontId="7" fillId="2" borderId="6" xfId="2" applyNumberFormat="1" applyFont="1" applyFill="1" applyBorder="1" applyAlignment="1" applyProtection="1">
      <alignment vertical="center"/>
      <protection locked="0"/>
    </xf>
    <xf numFmtId="0" fontId="3" fillId="13" borderId="0" xfId="3" applyFont="1" applyFill="1" applyBorder="1" applyAlignment="1" applyProtection="1">
      <alignment vertical="top"/>
    </xf>
    <xf numFmtId="180" fontId="0" fillId="2" borderId="6" xfId="7" applyNumberFormat="1" applyFont="1" applyFill="1" applyBorder="1" applyAlignment="1" applyProtection="1">
      <alignment vertical="center"/>
      <protection locked="0"/>
    </xf>
    <xf numFmtId="0" fontId="1" fillId="25" borderId="2" xfId="3" applyFont="1" applyFill="1" applyBorder="1" applyAlignment="1" applyProtection="1">
      <alignment horizontal="center" vertical="center" wrapText="1"/>
    </xf>
    <xf numFmtId="0" fontId="1" fillId="25" borderId="2" xfId="3" applyFont="1" applyFill="1" applyBorder="1" applyAlignment="1" applyProtection="1">
      <alignment horizontal="center" vertical="center"/>
    </xf>
    <xf numFmtId="0" fontId="1" fillId="25" borderId="27" xfId="3" applyFont="1" applyFill="1" applyBorder="1" applyAlignment="1" applyProtection="1">
      <alignment horizontal="center" vertical="center"/>
    </xf>
    <xf numFmtId="178" fontId="3" fillId="0" borderId="27" xfId="4" applyNumberFormat="1" applyFont="1" applyFill="1" applyBorder="1" applyAlignment="1" applyProtection="1">
      <alignment horizontal="right" vertical="top"/>
    </xf>
    <xf numFmtId="178" fontId="3" fillId="0" borderId="30" xfId="4" applyNumberFormat="1" applyFont="1" applyFill="1" applyBorder="1" applyAlignment="1" applyProtection="1">
      <alignment horizontal="right" vertical="top"/>
    </xf>
    <xf numFmtId="178" fontId="3" fillId="13" borderId="27" xfId="4" applyNumberFormat="1" applyFont="1" applyFill="1" applyBorder="1" applyAlignment="1" applyProtection="1">
      <alignment horizontal="right" vertical="top"/>
    </xf>
    <xf numFmtId="178" fontId="3" fillId="0" borderId="2" xfId="4" applyNumberFormat="1" applyFont="1" applyFill="1" applyBorder="1" applyAlignment="1" applyProtection="1">
      <alignment horizontal="right" vertical="top"/>
    </xf>
    <xf numFmtId="178" fontId="3" fillId="0" borderId="29" xfId="4" applyNumberFormat="1" applyFont="1" applyFill="1" applyBorder="1" applyAlignment="1" applyProtection="1">
      <alignment horizontal="right" vertical="top"/>
    </xf>
    <xf numFmtId="178" fontId="3" fillId="13" borderId="2" xfId="4" applyNumberFormat="1" applyFont="1" applyFill="1" applyBorder="1" applyAlignment="1" applyProtection="1">
      <alignment horizontal="right" vertical="top"/>
    </xf>
    <xf numFmtId="0" fontId="3" fillId="13" borderId="0" xfId="3" applyFont="1" applyFill="1" applyBorder="1" applyAlignment="1" applyProtection="1">
      <alignment horizontal="left" vertical="top"/>
    </xf>
    <xf numFmtId="44" fontId="0" fillId="2" borderId="6" xfId="2" applyNumberFormat="1" applyFont="1" applyFill="1" applyBorder="1" applyAlignment="1" applyProtection="1">
      <alignment vertical="center"/>
      <protection locked="0"/>
    </xf>
    <xf numFmtId="44" fontId="0" fillId="2" borderId="6" xfId="7" applyNumberFormat="1" applyFont="1" applyFill="1" applyBorder="1" applyAlignment="1" applyProtection="1">
      <alignment vertical="center"/>
      <protection locked="0"/>
    </xf>
    <xf numFmtId="43" fontId="0" fillId="2" borderId="6" xfId="1" applyNumberFormat="1" applyFont="1" applyFill="1" applyBorder="1" applyAlignment="1" applyProtection="1">
      <alignment vertical="center"/>
      <protection locked="0"/>
    </xf>
    <xf numFmtId="44" fontId="7" fillId="2" borderId="6" xfId="2" applyNumberFormat="1" applyFont="1" applyFill="1" applyBorder="1" applyAlignment="1" applyProtection="1">
      <alignment vertical="center"/>
      <protection locked="0"/>
    </xf>
    <xf numFmtId="177" fontId="0" fillId="16" borderId="2" xfId="1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center" wrapText="1"/>
    </xf>
    <xf numFmtId="0" fontId="1" fillId="25" borderId="25" xfId="3" applyFont="1" applyFill="1" applyBorder="1" applyAlignment="1" applyProtection="1">
      <alignment horizontal="center" vertical="center"/>
    </xf>
    <xf numFmtId="0" fontId="1" fillId="25" borderId="26" xfId="3" applyFont="1" applyFill="1" applyBorder="1" applyAlignment="1" applyProtection="1">
      <alignment horizontal="center" vertical="center"/>
    </xf>
    <xf numFmtId="0" fontId="1" fillId="25" borderId="32" xfId="3" applyFont="1" applyFill="1" applyBorder="1" applyAlignment="1" applyProtection="1">
      <alignment horizontal="center" vertical="center"/>
    </xf>
    <xf numFmtId="0" fontId="1" fillId="25" borderId="8" xfId="3" applyFont="1" applyFill="1" applyBorder="1" applyAlignment="1" applyProtection="1">
      <alignment horizontal="center" vertical="center"/>
    </xf>
    <xf numFmtId="0" fontId="1" fillId="25" borderId="24" xfId="3" applyFont="1" applyFill="1" applyBorder="1" applyAlignment="1" applyProtection="1">
      <alignment horizontal="center" vertical="center" wrapText="1"/>
    </xf>
    <xf numFmtId="0" fontId="1" fillId="25" borderId="28" xfId="3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>
      <alignment horizontal="center"/>
    </xf>
    <xf numFmtId="0" fontId="15" fillId="0" borderId="0" xfId="5" applyFont="1" applyFill="1" applyAlignment="1">
      <alignment horizontal="center" vertical="center"/>
    </xf>
    <xf numFmtId="0" fontId="1" fillId="0" borderId="0" xfId="0" applyFont="1" applyFill="1" applyBorder="1" applyAlignment="1" applyProtection="1">
      <alignment horizontal="center" wrapText="1"/>
    </xf>
    <xf numFmtId="0" fontId="1" fillId="0" borderId="6" xfId="0" applyFont="1" applyFill="1" applyBorder="1" applyAlignment="1" applyProtection="1">
      <alignment horizontal="center" wrapText="1"/>
    </xf>
    <xf numFmtId="0" fontId="0" fillId="0" borderId="8" xfId="0" applyBorder="1" applyAlignment="1">
      <alignment wrapText="1"/>
    </xf>
    <xf numFmtId="0" fontId="1" fillId="0" borderId="7" xfId="0" applyFont="1" applyFill="1" applyBorder="1" applyAlignment="1" applyProtection="1">
      <alignment horizontal="center" wrapText="1"/>
    </xf>
    <xf numFmtId="0" fontId="0" fillId="0" borderId="9" xfId="0" applyBorder="1" applyAlignment="1">
      <alignment wrapText="1"/>
    </xf>
    <xf numFmtId="0" fontId="1" fillId="0" borderId="0" xfId="0" applyFont="1" applyFill="1" applyBorder="1" applyAlignment="1" applyProtection="1">
      <alignment horizontal="center"/>
    </xf>
    <xf numFmtId="0" fontId="20" fillId="15" borderId="0" xfId="0" applyFont="1" applyFill="1" applyBorder="1" applyAlignment="1" applyProtection="1">
      <alignment horizontal="left" indent="7"/>
    </xf>
    <xf numFmtId="0" fontId="22" fillId="0" borderId="0" xfId="0" applyFont="1" applyAlignment="1" applyProtection="1">
      <alignment horizontal="center"/>
    </xf>
    <xf numFmtId="0" fontId="2" fillId="2" borderId="0" xfId="0" applyFont="1" applyFill="1" applyAlignment="1" applyProtection="1">
      <alignment horizontal="left" vertic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17" borderId="20" xfId="3" applyFont="1" applyFill="1" applyBorder="1" applyAlignment="1" applyProtection="1">
      <alignment horizontal="left" vertical="top" wrapText="1"/>
    </xf>
    <xf numFmtId="0" fontId="0" fillId="0" borderId="0" xfId="0" applyFill="1" applyBorder="1" applyAlignment="1">
      <alignment wrapText="1"/>
    </xf>
    <xf numFmtId="0" fontId="1" fillId="17" borderId="0" xfId="0" applyFont="1" applyFill="1" applyAlignment="1" applyProtection="1">
      <alignment horizontal="left" vertical="top" wrapText="1"/>
    </xf>
    <xf numFmtId="0" fontId="27" fillId="0" borderId="0" xfId="3" applyFont="1" applyAlignment="1" applyProtection="1">
      <alignment horizontal="left" vertical="top" wrapText="1" indent="1"/>
    </xf>
    <xf numFmtId="0" fontId="1" fillId="17" borderId="12" xfId="0" applyFont="1" applyFill="1" applyBorder="1" applyAlignment="1" applyProtection="1">
      <alignment horizontal="left" vertical="top" wrapText="1"/>
    </xf>
    <xf numFmtId="0" fontId="1" fillId="17" borderId="0" xfId="0" applyFont="1" applyFill="1" applyBorder="1" applyAlignment="1" applyProtection="1">
      <alignment horizontal="left" vertical="top" wrapText="1"/>
    </xf>
    <xf numFmtId="0" fontId="27" fillId="0" borderId="12" xfId="3" applyFont="1" applyBorder="1" applyAlignment="1" applyProtection="1">
      <alignment horizontal="left" vertical="top" wrapText="1" indent="1"/>
    </xf>
    <xf numFmtId="0" fontId="27" fillId="0" borderId="0" xfId="3" applyFont="1" applyBorder="1" applyAlignment="1" applyProtection="1">
      <alignment horizontal="left" vertical="top" wrapText="1" indent="1"/>
    </xf>
    <xf numFmtId="0" fontId="1" fillId="17" borderId="36" xfId="3" applyFont="1" applyFill="1" applyBorder="1" applyAlignment="1" applyProtection="1">
      <alignment horizontal="left" vertical="top" wrapText="1"/>
    </xf>
  </cellXfs>
  <cellStyles count="12">
    <cellStyle name="Comma" xfId="1" builtinId="3"/>
    <cellStyle name="Comma 2" xfId="6"/>
    <cellStyle name="Currency" xfId="2" builtinId="4"/>
    <cellStyle name="Currency 10" xfId="9"/>
    <cellStyle name="Currency 2" xfId="7"/>
    <cellStyle name="Currency 2 2" xfId="10"/>
    <cellStyle name="Normal" xfId="0" builtinId="0"/>
    <cellStyle name="Normal 2" xfId="3"/>
    <cellStyle name="Normal 2 2" xfId="5"/>
    <cellStyle name="Normal 219" xfId="8"/>
    <cellStyle name="Percent" xfId="4" builtinId="5"/>
    <cellStyle name="Percent 2" xfId="1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00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checked="Checked" lockText="1" noThreeD="1"/>
</file>

<file path=xl/ctrlProps/ctrlProp105.xml><?xml version="1.0" encoding="utf-8"?>
<formControlPr xmlns="http://schemas.microsoft.com/office/spreadsheetml/2009/9/main" objectType="Radio" firstButton="1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Radio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4.xml><?xml version="1.0" encoding="utf-8"?>
<formControlPr xmlns="http://schemas.microsoft.com/office/spreadsheetml/2009/9/main" objectType="Radio" lockText="1" noThreeD="1"/>
</file>

<file path=xl/ctrlProps/ctrlProp125.xml><?xml version="1.0" encoding="utf-8"?>
<formControlPr xmlns="http://schemas.microsoft.com/office/spreadsheetml/2009/9/main" objectType="Radio" lockText="1" noThreeD="1"/>
</file>

<file path=xl/ctrlProps/ctrlProp126.xml><?xml version="1.0" encoding="utf-8"?>
<formControlPr xmlns="http://schemas.microsoft.com/office/spreadsheetml/2009/9/main" objectType="Radio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30.xml><?xml version="1.0" encoding="utf-8"?>
<formControlPr xmlns="http://schemas.microsoft.com/office/spreadsheetml/2009/9/main" objectType="Radio" lockText="1" noThreeD="1"/>
</file>

<file path=xl/ctrlProps/ctrlProp131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Radio" lockText="1" noThreeD="1"/>
</file>

<file path=xl/ctrlProps/ctrlProp133.xml><?xml version="1.0" encoding="utf-8"?>
<formControlPr xmlns="http://schemas.microsoft.com/office/spreadsheetml/2009/9/main" objectType="Radio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Radio" lockText="1" noThreeD="1"/>
</file>

<file path=xl/ctrlProps/ctrlProp136.xml><?xml version="1.0" encoding="utf-8"?>
<formControlPr xmlns="http://schemas.microsoft.com/office/spreadsheetml/2009/9/main" objectType="Radio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Radio" lockText="1" noThreeD="1"/>
</file>

<file path=xl/ctrlProps/ctrlProp139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Radio" checked="Checked" lockText="1" noThreeD="1"/>
</file>

<file path=xl/ctrlProps/ctrlProp141.xml><?xml version="1.0" encoding="utf-8"?>
<formControlPr xmlns="http://schemas.microsoft.com/office/spreadsheetml/2009/9/main" objectType="Radio" firstButton="1" lockText="1" noThreeD="1"/>
</file>

<file path=xl/ctrlProps/ctrlProp142.xml><?xml version="1.0" encoding="utf-8"?>
<formControlPr xmlns="http://schemas.microsoft.com/office/spreadsheetml/2009/9/main" objectType="Radio" lockText="1" noThreeD="1"/>
</file>

<file path=xl/ctrlProps/ctrlProp143.xml><?xml version="1.0" encoding="utf-8"?>
<formControlPr xmlns="http://schemas.microsoft.com/office/spreadsheetml/2009/9/main" objectType="Radio" lockText="1" noThreeD="1"/>
</file>

<file path=xl/ctrlProps/ctrlProp144.xml><?xml version="1.0" encoding="utf-8"?>
<formControlPr xmlns="http://schemas.microsoft.com/office/spreadsheetml/2009/9/main" objectType="Radio" lockText="1" noThreeD="1"/>
</file>

<file path=xl/ctrlProps/ctrlProp145.xml><?xml version="1.0" encoding="utf-8"?>
<formControlPr xmlns="http://schemas.microsoft.com/office/spreadsheetml/2009/9/main" objectType="Radio" lockText="1" noThreeD="1"/>
</file>

<file path=xl/ctrlProps/ctrlProp146.xml><?xml version="1.0" encoding="utf-8"?>
<formControlPr xmlns="http://schemas.microsoft.com/office/spreadsheetml/2009/9/main" objectType="Radio" lockText="1" noThreeD="1"/>
</file>

<file path=xl/ctrlProps/ctrlProp147.xml><?xml version="1.0" encoding="utf-8"?>
<formControlPr xmlns="http://schemas.microsoft.com/office/spreadsheetml/2009/9/main" objectType="Radio" lockText="1" noThreeD="1"/>
</file>

<file path=xl/ctrlProps/ctrlProp148.xml><?xml version="1.0" encoding="utf-8"?>
<formControlPr xmlns="http://schemas.microsoft.com/office/spreadsheetml/2009/9/main" objectType="Radio" lockText="1" noThreeD="1"/>
</file>

<file path=xl/ctrlProps/ctrlProp14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50.xml><?xml version="1.0" encoding="utf-8"?>
<formControlPr xmlns="http://schemas.microsoft.com/office/spreadsheetml/2009/9/main" objectType="Radio" lockText="1" noThreeD="1"/>
</file>

<file path=xl/ctrlProps/ctrlProp151.xml><?xml version="1.0" encoding="utf-8"?>
<formControlPr xmlns="http://schemas.microsoft.com/office/spreadsheetml/2009/9/main" objectType="Radio" lockText="1" noThreeD="1"/>
</file>

<file path=xl/ctrlProps/ctrlProp152.xml><?xml version="1.0" encoding="utf-8"?>
<formControlPr xmlns="http://schemas.microsoft.com/office/spreadsheetml/2009/9/main" objectType="Radio" lockText="1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Radio" lockText="1" noThreeD="1"/>
</file>

<file path=xl/ctrlProps/ctrlProp155.xml><?xml version="1.0" encoding="utf-8"?>
<formControlPr xmlns="http://schemas.microsoft.com/office/spreadsheetml/2009/9/main" objectType="Radio" lockText="1" noThreeD="1"/>
</file>

<file path=xl/ctrlProps/ctrlProp156.xml><?xml version="1.0" encoding="utf-8"?>
<formControlPr xmlns="http://schemas.microsoft.com/office/spreadsheetml/2009/9/main" objectType="Radio" lockText="1" noThreeD="1"/>
</file>

<file path=xl/ctrlProps/ctrlProp157.xml><?xml version="1.0" encoding="utf-8"?>
<formControlPr xmlns="http://schemas.microsoft.com/office/spreadsheetml/2009/9/main" objectType="Radio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60.xml><?xml version="1.0" encoding="utf-8"?>
<formControlPr xmlns="http://schemas.microsoft.com/office/spreadsheetml/2009/9/main" objectType="Radio" lockText="1" noThreeD="1"/>
</file>

<file path=xl/ctrlProps/ctrlProp161.xml><?xml version="1.0" encoding="utf-8"?>
<formControlPr xmlns="http://schemas.microsoft.com/office/spreadsheetml/2009/9/main" objectType="Radio" lockText="1" noThreeD="1"/>
</file>

<file path=xl/ctrlProps/ctrlProp162.xml><?xml version="1.0" encoding="utf-8"?>
<formControlPr xmlns="http://schemas.microsoft.com/office/spreadsheetml/2009/9/main" objectType="Radio" lockText="1" noThreeD="1"/>
</file>

<file path=xl/ctrlProps/ctrlProp163.xml><?xml version="1.0" encoding="utf-8"?>
<formControlPr xmlns="http://schemas.microsoft.com/office/spreadsheetml/2009/9/main" objectType="Radio" lockText="1" noThreeD="1"/>
</file>

<file path=xl/ctrlProps/ctrlProp164.xml><?xml version="1.0" encoding="utf-8"?>
<formControlPr xmlns="http://schemas.microsoft.com/office/spreadsheetml/2009/9/main" objectType="Radio" lockText="1" noThreeD="1"/>
</file>

<file path=xl/ctrlProps/ctrlProp165.xml><?xml version="1.0" encoding="utf-8"?>
<formControlPr xmlns="http://schemas.microsoft.com/office/spreadsheetml/2009/9/main" objectType="Radio" lockText="1" noThreeD="1"/>
</file>

<file path=xl/ctrlProps/ctrlProp166.xml><?xml version="1.0" encoding="utf-8"?>
<formControlPr xmlns="http://schemas.microsoft.com/office/spreadsheetml/2009/9/main" objectType="Radio" lockText="1" noThreeD="1"/>
</file>

<file path=xl/ctrlProps/ctrlProp167.xml><?xml version="1.0" encoding="utf-8"?>
<formControlPr xmlns="http://schemas.microsoft.com/office/spreadsheetml/2009/9/main" objectType="Radio" lockText="1" noThreeD="1"/>
</file>

<file path=xl/ctrlProps/ctrlProp168.xml><?xml version="1.0" encoding="utf-8"?>
<formControlPr xmlns="http://schemas.microsoft.com/office/spreadsheetml/2009/9/main" objectType="Radio" lockText="1" noThreeD="1"/>
</file>

<file path=xl/ctrlProps/ctrlProp169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70.xml><?xml version="1.0" encoding="utf-8"?>
<formControlPr xmlns="http://schemas.microsoft.com/office/spreadsheetml/2009/9/main" objectType="Radio" checked="Checked" lockText="1" noThreeD="1"/>
</file>

<file path=xl/ctrlProps/ctrlProp171.xml><?xml version="1.0" encoding="utf-8"?>
<formControlPr xmlns="http://schemas.microsoft.com/office/spreadsheetml/2009/9/main" objectType="Radio" lockText="1" noThreeD="1"/>
</file>

<file path=xl/ctrlProps/ctrlProp172.xml><?xml version="1.0" encoding="utf-8"?>
<formControlPr xmlns="http://schemas.microsoft.com/office/spreadsheetml/2009/9/main" objectType="Radio" lockText="1" noThreeD="1"/>
</file>

<file path=xl/ctrlProps/ctrlProp173.xml><?xml version="1.0" encoding="utf-8"?>
<formControlPr xmlns="http://schemas.microsoft.com/office/spreadsheetml/2009/9/main" objectType="Radio" lockText="1" noThreeD="1"/>
</file>

<file path=xl/ctrlProps/ctrlProp174.xml><?xml version="1.0" encoding="utf-8"?>
<formControlPr xmlns="http://schemas.microsoft.com/office/spreadsheetml/2009/9/main" objectType="Radio" firstButton="1" lockText="1" noThreeD="1"/>
</file>

<file path=xl/ctrlProps/ctrlProp175.xml><?xml version="1.0" encoding="utf-8"?>
<formControlPr xmlns="http://schemas.microsoft.com/office/spreadsheetml/2009/9/main" objectType="Radio" lockText="1" noThreeD="1"/>
</file>

<file path=xl/ctrlProps/ctrlProp176.xml><?xml version="1.0" encoding="utf-8"?>
<formControlPr xmlns="http://schemas.microsoft.com/office/spreadsheetml/2009/9/main" objectType="Radio" lockText="1" noThreeD="1"/>
</file>

<file path=xl/ctrlProps/ctrlProp177.xml><?xml version="1.0" encoding="utf-8"?>
<formControlPr xmlns="http://schemas.microsoft.com/office/spreadsheetml/2009/9/main" objectType="Radio" lockText="1" noThreeD="1"/>
</file>

<file path=xl/ctrlProps/ctrlProp178.xml><?xml version="1.0" encoding="utf-8"?>
<formControlPr xmlns="http://schemas.microsoft.com/office/spreadsheetml/2009/9/main" objectType="Radio" lockText="1" noThreeD="1"/>
</file>

<file path=xl/ctrlProps/ctrlProp179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80.xml><?xml version="1.0" encoding="utf-8"?>
<formControlPr xmlns="http://schemas.microsoft.com/office/spreadsheetml/2009/9/main" objectType="Radio" lockText="1" noThreeD="1"/>
</file>

<file path=xl/ctrlProps/ctrlProp181.xml><?xml version="1.0" encoding="utf-8"?>
<formControlPr xmlns="http://schemas.microsoft.com/office/spreadsheetml/2009/9/main" objectType="Radio" lockText="1" noThreeD="1"/>
</file>

<file path=xl/ctrlProps/ctrlProp182.xml><?xml version="1.0" encoding="utf-8"?>
<formControlPr xmlns="http://schemas.microsoft.com/office/spreadsheetml/2009/9/main" objectType="Radio" lockText="1" noThreeD="1"/>
</file>

<file path=xl/ctrlProps/ctrlProp183.xml><?xml version="1.0" encoding="utf-8"?>
<formControlPr xmlns="http://schemas.microsoft.com/office/spreadsheetml/2009/9/main" objectType="Radio" lockText="1" noThreeD="1"/>
</file>

<file path=xl/ctrlProps/ctrlProp184.xml><?xml version="1.0" encoding="utf-8"?>
<formControlPr xmlns="http://schemas.microsoft.com/office/spreadsheetml/2009/9/main" objectType="Radio" lockText="1" noThreeD="1"/>
</file>

<file path=xl/ctrlProps/ctrlProp185.xml><?xml version="1.0" encoding="utf-8"?>
<formControlPr xmlns="http://schemas.microsoft.com/office/spreadsheetml/2009/9/main" objectType="Radio" lockText="1" noThreeD="1"/>
</file>

<file path=xl/ctrlProps/ctrlProp186.xml><?xml version="1.0" encoding="utf-8"?>
<formControlPr xmlns="http://schemas.microsoft.com/office/spreadsheetml/2009/9/main" objectType="Radio" lockText="1" noThreeD="1"/>
</file>

<file path=xl/ctrlProps/ctrlProp187.xml><?xml version="1.0" encoding="utf-8"?>
<formControlPr xmlns="http://schemas.microsoft.com/office/spreadsheetml/2009/9/main" objectType="Radio" lockText="1" noThreeD="1"/>
</file>

<file path=xl/ctrlProps/ctrlProp188.xml><?xml version="1.0" encoding="utf-8"?>
<formControlPr xmlns="http://schemas.microsoft.com/office/spreadsheetml/2009/9/main" objectType="Radio" lockText="1" noThreeD="1"/>
</file>

<file path=xl/ctrlProps/ctrlProp189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190.xml><?xml version="1.0" encoding="utf-8"?>
<formControlPr xmlns="http://schemas.microsoft.com/office/spreadsheetml/2009/9/main" objectType="Radio" lockText="1" noThreeD="1"/>
</file>

<file path=xl/ctrlProps/ctrlProp191.xml><?xml version="1.0" encoding="utf-8"?>
<formControlPr xmlns="http://schemas.microsoft.com/office/spreadsheetml/2009/9/main" objectType="Radio" lockText="1" noThreeD="1"/>
</file>

<file path=xl/ctrlProps/ctrlProp192.xml><?xml version="1.0" encoding="utf-8"?>
<formControlPr xmlns="http://schemas.microsoft.com/office/spreadsheetml/2009/9/main" objectType="Radio" lockText="1" noThreeD="1"/>
</file>

<file path=xl/ctrlProps/ctrlProp193.xml><?xml version="1.0" encoding="utf-8"?>
<formControlPr xmlns="http://schemas.microsoft.com/office/spreadsheetml/2009/9/main" objectType="Radio" lockText="1" noThreeD="1"/>
</file>

<file path=xl/ctrlProps/ctrlProp194.xml><?xml version="1.0" encoding="utf-8"?>
<formControlPr xmlns="http://schemas.microsoft.com/office/spreadsheetml/2009/9/main" objectType="Radio" lockText="1" noThreeD="1"/>
</file>

<file path=xl/ctrlProps/ctrlProp195.xml><?xml version="1.0" encoding="utf-8"?>
<formControlPr xmlns="http://schemas.microsoft.com/office/spreadsheetml/2009/9/main" objectType="Radio" lockText="1" noThreeD="1"/>
</file>

<file path=xl/ctrlProps/ctrlProp196.xml><?xml version="1.0" encoding="utf-8"?>
<formControlPr xmlns="http://schemas.microsoft.com/office/spreadsheetml/2009/9/main" objectType="Radio" lockText="1" noThreeD="1"/>
</file>

<file path=xl/ctrlProps/ctrlProp197.xml><?xml version="1.0" encoding="utf-8"?>
<formControlPr xmlns="http://schemas.microsoft.com/office/spreadsheetml/2009/9/main" objectType="Radio" lockText="1" noThreeD="1"/>
</file>

<file path=xl/ctrlProps/ctrlProp198.xml><?xml version="1.0" encoding="utf-8"?>
<formControlPr xmlns="http://schemas.microsoft.com/office/spreadsheetml/2009/9/main" objectType="Radio" lockText="1" noThreeD="1"/>
</file>

<file path=xl/ctrlProps/ctrlProp19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00.xml><?xml version="1.0" encoding="utf-8"?>
<formControlPr xmlns="http://schemas.microsoft.com/office/spreadsheetml/2009/9/main" objectType="Radio" lockText="1" noThreeD="1"/>
</file>

<file path=xl/ctrlProps/ctrlProp201.xml><?xml version="1.0" encoding="utf-8"?>
<formControlPr xmlns="http://schemas.microsoft.com/office/spreadsheetml/2009/9/main" objectType="Radio" lockText="1" noThreeD="1"/>
</file>

<file path=xl/ctrlProps/ctrlProp202.xml><?xml version="1.0" encoding="utf-8"?>
<formControlPr xmlns="http://schemas.microsoft.com/office/spreadsheetml/2009/9/main" objectType="Radio" lockText="1" noThreeD="1"/>
</file>

<file path=xl/ctrlProps/ctrlProp203.xml><?xml version="1.0" encoding="utf-8"?>
<formControlPr xmlns="http://schemas.microsoft.com/office/spreadsheetml/2009/9/main" objectType="Radio" checked="Checked" lockText="1" noThreeD="1"/>
</file>

<file path=xl/ctrlProps/ctrlProp204.xml><?xml version="1.0" encoding="utf-8"?>
<formControlPr xmlns="http://schemas.microsoft.com/office/spreadsheetml/2009/9/main" objectType="Radio" lockText="1" noThreeD="1"/>
</file>

<file path=xl/ctrlProps/ctrlProp205.xml><?xml version="1.0" encoding="utf-8"?>
<formControlPr xmlns="http://schemas.microsoft.com/office/spreadsheetml/2009/9/main" objectType="Radio" lockText="1" noThreeD="1"/>
</file>

<file path=xl/ctrlProps/ctrlProp206.xml><?xml version="1.0" encoding="utf-8"?>
<formControlPr xmlns="http://schemas.microsoft.com/office/spreadsheetml/2009/9/main" objectType="Radio" lockText="1" noThreeD="1"/>
</file>

<file path=xl/ctrlProps/ctrlProp207.xml><?xml version="1.0" encoding="utf-8"?>
<formControlPr xmlns="http://schemas.microsoft.com/office/spreadsheetml/2009/9/main" objectType="Radio" firstButton="1" lockText="1" noThreeD="1"/>
</file>

<file path=xl/ctrlProps/ctrlProp208.xml><?xml version="1.0" encoding="utf-8"?>
<formControlPr xmlns="http://schemas.microsoft.com/office/spreadsheetml/2009/9/main" objectType="Radio" lockText="1" noThreeD="1"/>
</file>

<file path=xl/ctrlProps/ctrlProp209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10.xml><?xml version="1.0" encoding="utf-8"?>
<formControlPr xmlns="http://schemas.microsoft.com/office/spreadsheetml/2009/9/main" objectType="Radio" lockText="1" noThreeD="1"/>
</file>

<file path=xl/ctrlProps/ctrlProp211.xml><?xml version="1.0" encoding="utf-8"?>
<formControlPr xmlns="http://schemas.microsoft.com/office/spreadsheetml/2009/9/main" objectType="Radio" lockText="1" noThreeD="1"/>
</file>

<file path=xl/ctrlProps/ctrlProp212.xml><?xml version="1.0" encoding="utf-8"?>
<formControlPr xmlns="http://schemas.microsoft.com/office/spreadsheetml/2009/9/main" objectType="Radio" lockText="1" noThreeD="1"/>
</file>

<file path=xl/ctrlProps/ctrlProp213.xml><?xml version="1.0" encoding="utf-8"?>
<formControlPr xmlns="http://schemas.microsoft.com/office/spreadsheetml/2009/9/main" objectType="Radio" lockText="1" noThreeD="1"/>
</file>

<file path=xl/ctrlProps/ctrlProp214.xml><?xml version="1.0" encoding="utf-8"?>
<formControlPr xmlns="http://schemas.microsoft.com/office/spreadsheetml/2009/9/main" objectType="Radio" lockText="1" noThreeD="1"/>
</file>

<file path=xl/ctrlProps/ctrlProp215.xml><?xml version="1.0" encoding="utf-8"?>
<formControlPr xmlns="http://schemas.microsoft.com/office/spreadsheetml/2009/9/main" objectType="Radio" lockText="1" noThreeD="1"/>
</file>

<file path=xl/ctrlProps/ctrlProp216.xml><?xml version="1.0" encoding="utf-8"?>
<formControlPr xmlns="http://schemas.microsoft.com/office/spreadsheetml/2009/9/main" objectType="Radio" lockText="1" noThreeD="1"/>
</file>

<file path=xl/ctrlProps/ctrlProp217.xml><?xml version="1.0" encoding="utf-8"?>
<formControlPr xmlns="http://schemas.microsoft.com/office/spreadsheetml/2009/9/main" objectType="Radio" firstButton="1" lockText="1" noThreeD="1"/>
</file>

<file path=xl/ctrlProps/ctrlProp218.xml><?xml version="1.0" encoding="utf-8"?>
<formControlPr xmlns="http://schemas.microsoft.com/office/spreadsheetml/2009/9/main" objectType="Radio" lockText="1" noThreeD="1"/>
</file>

<file path=xl/ctrlProps/ctrlProp219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20.xml><?xml version="1.0" encoding="utf-8"?>
<formControlPr xmlns="http://schemas.microsoft.com/office/spreadsheetml/2009/9/main" objectType="Radio" lockText="1" noThreeD="1"/>
</file>

<file path=xl/ctrlProps/ctrlProp221.xml><?xml version="1.0" encoding="utf-8"?>
<formControlPr xmlns="http://schemas.microsoft.com/office/spreadsheetml/2009/9/main" objectType="Radio" lockText="1" noThreeD="1"/>
</file>

<file path=xl/ctrlProps/ctrlProp222.xml><?xml version="1.0" encoding="utf-8"?>
<formControlPr xmlns="http://schemas.microsoft.com/office/spreadsheetml/2009/9/main" objectType="Radio" lockText="1" noThreeD="1"/>
</file>

<file path=xl/ctrlProps/ctrlProp223.xml><?xml version="1.0" encoding="utf-8"?>
<formControlPr xmlns="http://schemas.microsoft.com/office/spreadsheetml/2009/9/main" objectType="Radio" lockText="1" noThreeD="1"/>
</file>

<file path=xl/ctrlProps/ctrlProp224.xml><?xml version="1.0" encoding="utf-8"?>
<formControlPr xmlns="http://schemas.microsoft.com/office/spreadsheetml/2009/9/main" objectType="Radio" lockText="1" noThreeD="1"/>
</file>

<file path=xl/ctrlProps/ctrlProp225.xml><?xml version="1.0" encoding="utf-8"?>
<formControlPr xmlns="http://schemas.microsoft.com/office/spreadsheetml/2009/9/main" objectType="Radio" lockText="1" noThreeD="1"/>
</file>

<file path=xl/ctrlProps/ctrlProp226.xml><?xml version="1.0" encoding="utf-8"?>
<formControlPr xmlns="http://schemas.microsoft.com/office/spreadsheetml/2009/9/main" objectType="Radio" lockText="1" noThreeD="1"/>
</file>

<file path=xl/ctrlProps/ctrlProp227.xml><?xml version="1.0" encoding="utf-8"?>
<formControlPr xmlns="http://schemas.microsoft.com/office/spreadsheetml/2009/9/main" objectType="Radio" firstButton="1" lockText="1" noThreeD="1"/>
</file>

<file path=xl/ctrlProps/ctrlProp228.xml><?xml version="1.0" encoding="utf-8"?>
<formControlPr xmlns="http://schemas.microsoft.com/office/spreadsheetml/2009/9/main" objectType="Radio" lockText="1" noThreeD="1"/>
</file>

<file path=xl/ctrlProps/ctrlProp229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30.xml><?xml version="1.0" encoding="utf-8"?>
<formControlPr xmlns="http://schemas.microsoft.com/office/spreadsheetml/2009/9/main" objectType="Radio" lockText="1" noThreeD="1"/>
</file>

<file path=xl/ctrlProps/ctrlProp231.xml><?xml version="1.0" encoding="utf-8"?>
<formControlPr xmlns="http://schemas.microsoft.com/office/spreadsheetml/2009/9/main" objectType="Radio" lockText="1" noThreeD="1"/>
</file>

<file path=xl/ctrlProps/ctrlProp232.xml><?xml version="1.0" encoding="utf-8"?>
<formControlPr xmlns="http://schemas.microsoft.com/office/spreadsheetml/2009/9/main" objectType="Radio" lockText="1" noThreeD="1"/>
</file>

<file path=xl/ctrlProps/ctrlProp233.xml><?xml version="1.0" encoding="utf-8"?>
<formControlPr xmlns="http://schemas.microsoft.com/office/spreadsheetml/2009/9/main" objectType="Radio" lockText="1" noThreeD="1"/>
</file>

<file path=xl/ctrlProps/ctrlProp234.xml><?xml version="1.0" encoding="utf-8"?>
<formControlPr xmlns="http://schemas.microsoft.com/office/spreadsheetml/2009/9/main" objectType="Radio" lockText="1" noThreeD="1"/>
</file>

<file path=xl/ctrlProps/ctrlProp235.xml><?xml version="1.0" encoding="utf-8"?>
<formControlPr xmlns="http://schemas.microsoft.com/office/spreadsheetml/2009/9/main" objectType="Radio" lockText="1" noThreeD="1"/>
</file>

<file path=xl/ctrlProps/ctrlProp236.xml><?xml version="1.0" encoding="utf-8"?>
<formControlPr xmlns="http://schemas.microsoft.com/office/spreadsheetml/2009/9/main" objectType="Radio" lockText="1" noThreeD="1"/>
</file>

<file path=xl/ctrlProps/ctrlProp237.xml><?xml version="1.0" encoding="utf-8"?>
<formControlPr xmlns="http://schemas.microsoft.com/office/spreadsheetml/2009/9/main" objectType="Radio" firstButton="1" lockText="1" noThreeD="1"/>
</file>

<file path=xl/ctrlProps/ctrlProp238.xml><?xml version="1.0" encoding="utf-8"?>
<formControlPr xmlns="http://schemas.microsoft.com/office/spreadsheetml/2009/9/main" objectType="Radio" lockText="1" noThreeD="1"/>
</file>

<file path=xl/ctrlProps/ctrlProp239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40.xml><?xml version="1.0" encoding="utf-8"?>
<formControlPr xmlns="http://schemas.microsoft.com/office/spreadsheetml/2009/9/main" objectType="Radio" lockText="1" noThreeD="1"/>
</file>

<file path=xl/ctrlProps/ctrlProp241.xml><?xml version="1.0" encoding="utf-8"?>
<formControlPr xmlns="http://schemas.microsoft.com/office/spreadsheetml/2009/9/main" objectType="Radio" lockText="1" noThreeD="1"/>
</file>

<file path=xl/ctrlProps/ctrlProp242.xml><?xml version="1.0" encoding="utf-8"?>
<formControlPr xmlns="http://schemas.microsoft.com/office/spreadsheetml/2009/9/main" objectType="Radio" lockText="1" noThreeD="1"/>
</file>

<file path=xl/ctrlProps/ctrlProp243.xml><?xml version="1.0" encoding="utf-8"?>
<formControlPr xmlns="http://schemas.microsoft.com/office/spreadsheetml/2009/9/main" objectType="Radio" lockText="1" noThreeD="1"/>
</file>

<file path=xl/ctrlProps/ctrlProp244.xml><?xml version="1.0" encoding="utf-8"?>
<formControlPr xmlns="http://schemas.microsoft.com/office/spreadsheetml/2009/9/main" objectType="Radio" lockText="1" noThreeD="1"/>
</file>

<file path=xl/ctrlProps/ctrlProp245.xml><?xml version="1.0" encoding="utf-8"?>
<formControlPr xmlns="http://schemas.microsoft.com/office/spreadsheetml/2009/9/main" objectType="Radio" lockText="1" noThreeD="1"/>
</file>

<file path=xl/ctrlProps/ctrlProp246.xml><?xml version="1.0" encoding="utf-8"?>
<formControlPr xmlns="http://schemas.microsoft.com/office/spreadsheetml/2009/9/main" objectType="Radio" lockText="1" noThreeD="1"/>
</file>

<file path=xl/ctrlProps/ctrlProp247.xml><?xml version="1.0" encoding="utf-8"?>
<formControlPr xmlns="http://schemas.microsoft.com/office/spreadsheetml/2009/9/main" objectType="Radio" firstButton="1" lockText="1" noThreeD="1"/>
</file>

<file path=xl/ctrlProps/ctrlProp248.xml><?xml version="1.0" encoding="utf-8"?>
<formControlPr xmlns="http://schemas.microsoft.com/office/spreadsheetml/2009/9/main" objectType="Radio" lockText="1" noThreeD="1"/>
</file>

<file path=xl/ctrlProps/ctrlProp249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50.xml><?xml version="1.0" encoding="utf-8"?>
<formControlPr xmlns="http://schemas.microsoft.com/office/spreadsheetml/2009/9/main" objectType="Radio" lockText="1" noThreeD="1"/>
</file>

<file path=xl/ctrlProps/ctrlProp251.xml><?xml version="1.0" encoding="utf-8"?>
<formControlPr xmlns="http://schemas.microsoft.com/office/spreadsheetml/2009/9/main" objectType="Radio" lockText="1" noThreeD="1"/>
</file>

<file path=xl/ctrlProps/ctrlProp252.xml><?xml version="1.0" encoding="utf-8"?>
<formControlPr xmlns="http://schemas.microsoft.com/office/spreadsheetml/2009/9/main" objectType="Radio" lockText="1" noThreeD="1"/>
</file>

<file path=xl/ctrlProps/ctrlProp253.xml><?xml version="1.0" encoding="utf-8"?>
<formControlPr xmlns="http://schemas.microsoft.com/office/spreadsheetml/2009/9/main" objectType="Radio" lockText="1" noThreeD="1"/>
</file>

<file path=xl/ctrlProps/ctrlProp254.xml><?xml version="1.0" encoding="utf-8"?>
<formControlPr xmlns="http://schemas.microsoft.com/office/spreadsheetml/2009/9/main" objectType="Radio" lockText="1" noThreeD="1"/>
</file>

<file path=xl/ctrlProps/ctrlProp255.xml><?xml version="1.0" encoding="utf-8"?>
<formControlPr xmlns="http://schemas.microsoft.com/office/spreadsheetml/2009/9/main" objectType="Radio" lockText="1" noThreeD="1"/>
</file>

<file path=xl/ctrlProps/ctrlProp256.xml><?xml version="1.0" encoding="utf-8"?>
<formControlPr xmlns="http://schemas.microsoft.com/office/spreadsheetml/2009/9/main" objectType="Radio" lockText="1" noThreeD="1"/>
</file>

<file path=xl/ctrlProps/ctrlProp257.xml><?xml version="1.0" encoding="utf-8"?>
<formControlPr xmlns="http://schemas.microsoft.com/office/spreadsheetml/2009/9/main" objectType="Radio" firstButton="1" lockText="1" noThreeD="1"/>
</file>

<file path=xl/ctrlProps/ctrlProp258.xml><?xml version="1.0" encoding="utf-8"?>
<formControlPr xmlns="http://schemas.microsoft.com/office/spreadsheetml/2009/9/main" objectType="Radio" lockText="1" noThreeD="1"/>
</file>

<file path=xl/ctrlProps/ctrlProp259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60.xml><?xml version="1.0" encoding="utf-8"?>
<formControlPr xmlns="http://schemas.microsoft.com/office/spreadsheetml/2009/9/main" objectType="Radio" lockText="1" noThreeD="1"/>
</file>

<file path=xl/ctrlProps/ctrlProp261.xml><?xml version="1.0" encoding="utf-8"?>
<formControlPr xmlns="http://schemas.microsoft.com/office/spreadsheetml/2009/9/main" objectType="Radio" lockText="1" noThreeD="1"/>
</file>

<file path=xl/ctrlProps/ctrlProp262.xml><?xml version="1.0" encoding="utf-8"?>
<formControlPr xmlns="http://schemas.microsoft.com/office/spreadsheetml/2009/9/main" objectType="Radio" lockText="1" noThreeD="1"/>
</file>

<file path=xl/ctrlProps/ctrlProp263.xml><?xml version="1.0" encoding="utf-8"?>
<formControlPr xmlns="http://schemas.microsoft.com/office/spreadsheetml/2009/9/main" objectType="Radio" lockText="1" noThreeD="1"/>
</file>

<file path=xl/ctrlProps/ctrlProp264.xml><?xml version="1.0" encoding="utf-8"?>
<formControlPr xmlns="http://schemas.microsoft.com/office/spreadsheetml/2009/9/main" objectType="Radio" lockText="1" noThreeD="1"/>
</file>

<file path=xl/ctrlProps/ctrlProp265.xml><?xml version="1.0" encoding="utf-8"?>
<formControlPr xmlns="http://schemas.microsoft.com/office/spreadsheetml/2009/9/main" objectType="Radio" lockText="1" noThreeD="1"/>
</file>

<file path=xl/ctrlProps/ctrlProp266.xml><?xml version="1.0" encoding="utf-8"?>
<formControlPr xmlns="http://schemas.microsoft.com/office/spreadsheetml/2009/9/main" objectType="Radio" lockText="1" noThreeD="1"/>
</file>

<file path=xl/ctrlProps/ctrlProp267.xml><?xml version="1.0" encoding="utf-8"?>
<formControlPr xmlns="http://schemas.microsoft.com/office/spreadsheetml/2009/9/main" objectType="Radio" firstButton="1" lockText="1" noThreeD="1"/>
</file>

<file path=xl/ctrlProps/ctrlProp268.xml><?xml version="1.0" encoding="utf-8"?>
<formControlPr xmlns="http://schemas.microsoft.com/office/spreadsheetml/2009/9/main" objectType="Radio" lockText="1" noThreeD="1"/>
</file>

<file path=xl/ctrlProps/ctrlProp269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70.xml><?xml version="1.0" encoding="utf-8"?>
<formControlPr xmlns="http://schemas.microsoft.com/office/spreadsheetml/2009/9/main" objectType="Radio" lockText="1" noThreeD="1"/>
</file>

<file path=xl/ctrlProps/ctrlProp271.xml><?xml version="1.0" encoding="utf-8"?>
<formControlPr xmlns="http://schemas.microsoft.com/office/spreadsheetml/2009/9/main" objectType="Radio" lockText="1" noThreeD="1"/>
</file>

<file path=xl/ctrlProps/ctrlProp272.xml><?xml version="1.0" encoding="utf-8"?>
<formControlPr xmlns="http://schemas.microsoft.com/office/spreadsheetml/2009/9/main" objectType="Radio" lockText="1" noThreeD="1"/>
</file>

<file path=xl/ctrlProps/ctrlProp273.xml><?xml version="1.0" encoding="utf-8"?>
<formControlPr xmlns="http://schemas.microsoft.com/office/spreadsheetml/2009/9/main" objectType="Radio" lockText="1" noThreeD="1"/>
</file>

<file path=xl/ctrlProps/ctrlProp274.xml><?xml version="1.0" encoding="utf-8"?>
<formControlPr xmlns="http://schemas.microsoft.com/office/spreadsheetml/2009/9/main" objectType="Radio" lockText="1" noThreeD="1"/>
</file>

<file path=xl/ctrlProps/ctrlProp275.xml><?xml version="1.0" encoding="utf-8"?>
<formControlPr xmlns="http://schemas.microsoft.com/office/spreadsheetml/2009/9/main" objectType="Radio" lockText="1" noThreeD="1"/>
</file>

<file path=xl/ctrlProps/ctrlProp276.xml><?xml version="1.0" encoding="utf-8"?>
<formControlPr xmlns="http://schemas.microsoft.com/office/spreadsheetml/2009/9/main" objectType="Radio" lockText="1" noThreeD="1"/>
</file>

<file path=xl/ctrlProps/ctrlProp277.xml><?xml version="1.0" encoding="utf-8"?>
<formControlPr xmlns="http://schemas.microsoft.com/office/spreadsheetml/2009/9/main" objectType="Radio" firstButton="1" lockText="1" noThreeD="1"/>
</file>

<file path=xl/ctrlProps/ctrlProp278.xml><?xml version="1.0" encoding="utf-8"?>
<formControlPr xmlns="http://schemas.microsoft.com/office/spreadsheetml/2009/9/main" objectType="Radio" lockText="1" noThreeD="1"/>
</file>

<file path=xl/ctrlProps/ctrlProp279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80.xml><?xml version="1.0" encoding="utf-8"?>
<formControlPr xmlns="http://schemas.microsoft.com/office/spreadsheetml/2009/9/main" objectType="Radio" lockText="1" noThreeD="1"/>
</file>

<file path=xl/ctrlProps/ctrlProp281.xml><?xml version="1.0" encoding="utf-8"?>
<formControlPr xmlns="http://schemas.microsoft.com/office/spreadsheetml/2009/9/main" objectType="Radio" lockText="1" noThreeD="1"/>
</file>

<file path=xl/ctrlProps/ctrlProp282.xml><?xml version="1.0" encoding="utf-8"?>
<formControlPr xmlns="http://schemas.microsoft.com/office/spreadsheetml/2009/9/main" objectType="Radio" lockText="1" noThreeD="1"/>
</file>

<file path=xl/ctrlProps/ctrlProp283.xml><?xml version="1.0" encoding="utf-8"?>
<formControlPr xmlns="http://schemas.microsoft.com/office/spreadsheetml/2009/9/main" objectType="Radio" lockText="1" noThreeD="1"/>
</file>

<file path=xl/ctrlProps/ctrlProp284.xml><?xml version="1.0" encoding="utf-8"?>
<formControlPr xmlns="http://schemas.microsoft.com/office/spreadsheetml/2009/9/main" objectType="Radio" lockText="1" noThreeD="1"/>
</file>

<file path=xl/ctrlProps/ctrlProp285.xml><?xml version="1.0" encoding="utf-8"?>
<formControlPr xmlns="http://schemas.microsoft.com/office/spreadsheetml/2009/9/main" objectType="Radio" lockText="1" noThreeD="1"/>
</file>

<file path=xl/ctrlProps/ctrlProp286.xml><?xml version="1.0" encoding="utf-8"?>
<formControlPr xmlns="http://schemas.microsoft.com/office/spreadsheetml/2009/9/main" objectType="Radio" lockText="1" noThreeD="1"/>
</file>

<file path=xl/ctrlProps/ctrlProp287.xml><?xml version="1.0" encoding="utf-8"?>
<formControlPr xmlns="http://schemas.microsoft.com/office/spreadsheetml/2009/9/main" objectType="Radio" firstButton="1" lockText="1" noThreeD="1"/>
</file>

<file path=xl/ctrlProps/ctrlProp288.xml><?xml version="1.0" encoding="utf-8"?>
<formControlPr xmlns="http://schemas.microsoft.com/office/spreadsheetml/2009/9/main" objectType="Radio" lockText="1" noThreeD="1"/>
</file>

<file path=xl/ctrlProps/ctrlProp289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290.xml><?xml version="1.0" encoding="utf-8"?>
<formControlPr xmlns="http://schemas.microsoft.com/office/spreadsheetml/2009/9/main" objectType="Radio" lockText="1" noThreeD="1"/>
</file>

<file path=xl/ctrlProps/ctrlProp291.xml><?xml version="1.0" encoding="utf-8"?>
<formControlPr xmlns="http://schemas.microsoft.com/office/spreadsheetml/2009/9/main" objectType="Radio" lockText="1" noThreeD="1"/>
</file>

<file path=xl/ctrlProps/ctrlProp292.xml><?xml version="1.0" encoding="utf-8"?>
<formControlPr xmlns="http://schemas.microsoft.com/office/spreadsheetml/2009/9/main" objectType="Radio" lockText="1" noThreeD="1"/>
</file>

<file path=xl/ctrlProps/ctrlProp293.xml><?xml version="1.0" encoding="utf-8"?>
<formControlPr xmlns="http://schemas.microsoft.com/office/spreadsheetml/2009/9/main" objectType="Radio" lockText="1" noThreeD="1"/>
</file>

<file path=xl/ctrlProps/ctrlProp294.xml><?xml version="1.0" encoding="utf-8"?>
<formControlPr xmlns="http://schemas.microsoft.com/office/spreadsheetml/2009/9/main" objectType="Radio" lockText="1" noThreeD="1"/>
</file>

<file path=xl/ctrlProps/ctrlProp295.xml><?xml version="1.0" encoding="utf-8"?>
<formControlPr xmlns="http://schemas.microsoft.com/office/spreadsheetml/2009/9/main" objectType="Radio" lockText="1" noThreeD="1"/>
</file>

<file path=xl/ctrlProps/ctrlProp296.xml><?xml version="1.0" encoding="utf-8"?>
<formControlPr xmlns="http://schemas.microsoft.com/office/spreadsheetml/2009/9/main" objectType="Radio" lockText="1" noThreeD="1"/>
</file>

<file path=xl/ctrlProps/ctrlProp297.xml><?xml version="1.0" encoding="utf-8"?>
<formControlPr xmlns="http://schemas.microsoft.com/office/spreadsheetml/2009/9/main" objectType="Radio" firstButton="1" lockText="1" noThreeD="1"/>
</file>

<file path=xl/ctrlProps/ctrlProp298.xml><?xml version="1.0" encoding="utf-8"?>
<formControlPr xmlns="http://schemas.microsoft.com/office/spreadsheetml/2009/9/main" objectType="Radio" lockText="1" noThreeD="1"/>
</file>

<file path=xl/ctrlProps/ctrlProp29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00.xml><?xml version="1.0" encoding="utf-8"?>
<formControlPr xmlns="http://schemas.microsoft.com/office/spreadsheetml/2009/9/main" objectType="Radio" lockText="1" noThreeD="1"/>
</file>

<file path=xl/ctrlProps/ctrlProp301.xml><?xml version="1.0" encoding="utf-8"?>
<formControlPr xmlns="http://schemas.microsoft.com/office/spreadsheetml/2009/9/main" objectType="Radio" lockText="1" noThreeD="1"/>
</file>

<file path=xl/ctrlProps/ctrlProp302.xml><?xml version="1.0" encoding="utf-8"?>
<formControlPr xmlns="http://schemas.microsoft.com/office/spreadsheetml/2009/9/main" objectType="Radio" lockText="1" noThreeD="1"/>
</file>

<file path=xl/ctrlProps/ctrlProp303.xml><?xml version="1.0" encoding="utf-8"?>
<formControlPr xmlns="http://schemas.microsoft.com/office/spreadsheetml/2009/9/main" objectType="Radio" lockText="1" noThreeD="1"/>
</file>

<file path=xl/ctrlProps/ctrlProp304.xml><?xml version="1.0" encoding="utf-8"?>
<formControlPr xmlns="http://schemas.microsoft.com/office/spreadsheetml/2009/9/main" objectType="Radio" lockText="1" noThreeD="1"/>
</file>

<file path=xl/ctrlProps/ctrlProp305.xml><?xml version="1.0" encoding="utf-8"?>
<formControlPr xmlns="http://schemas.microsoft.com/office/spreadsheetml/2009/9/main" objectType="Radio" lockText="1" noThreeD="1"/>
</file>

<file path=xl/ctrlProps/ctrlProp306.xml><?xml version="1.0" encoding="utf-8"?>
<formControlPr xmlns="http://schemas.microsoft.com/office/spreadsheetml/2009/9/main" objectType="Radio" lockText="1" noThreeD="1"/>
</file>

<file path=xl/ctrlProps/ctrlProp307.xml><?xml version="1.0" encoding="utf-8"?>
<formControlPr xmlns="http://schemas.microsoft.com/office/spreadsheetml/2009/9/main" objectType="Radio" firstButton="1" lockText="1" noThreeD="1"/>
</file>

<file path=xl/ctrlProps/ctrlProp308.xml><?xml version="1.0" encoding="utf-8"?>
<formControlPr xmlns="http://schemas.microsoft.com/office/spreadsheetml/2009/9/main" objectType="Radio" lockText="1" noThreeD="1"/>
</file>

<file path=xl/ctrlProps/ctrlProp309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10.xml><?xml version="1.0" encoding="utf-8"?>
<formControlPr xmlns="http://schemas.microsoft.com/office/spreadsheetml/2009/9/main" objectType="Radio" lockText="1" noThreeD="1"/>
</file>

<file path=xl/ctrlProps/ctrlProp311.xml><?xml version="1.0" encoding="utf-8"?>
<formControlPr xmlns="http://schemas.microsoft.com/office/spreadsheetml/2009/9/main" objectType="Radio" lockText="1" noThreeD="1"/>
</file>

<file path=xl/ctrlProps/ctrlProp312.xml><?xml version="1.0" encoding="utf-8"?>
<formControlPr xmlns="http://schemas.microsoft.com/office/spreadsheetml/2009/9/main" objectType="Radio" lockText="1" noThreeD="1"/>
</file>

<file path=xl/ctrlProps/ctrlProp313.xml><?xml version="1.0" encoding="utf-8"?>
<formControlPr xmlns="http://schemas.microsoft.com/office/spreadsheetml/2009/9/main" objectType="Radio" lockText="1" noThreeD="1"/>
</file>

<file path=xl/ctrlProps/ctrlProp314.xml><?xml version="1.0" encoding="utf-8"?>
<formControlPr xmlns="http://schemas.microsoft.com/office/spreadsheetml/2009/9/main" objectType="Radio" lockText="1" noThreeD="1"/>
</file>

<file path=xl/ctrlProps/ctrlProp315.xml><?xml version="1.0" encoding="utf-8"?>
<formControlPr xmlns="http://schemas.microsoft.com/office/spreadsheetml/2009/9/main" objectType="Radio" lockText="1" noThreeD="1"/>
</file>

<file path=xl/ctrlProps/ctrlProp316.xml><?xml version="1.0" encoding="utf-8"?>
<formControlPr xmlns="http://schemas.microsoft.com/office/spreadsheetml/2009/9/main" objectType="Radio" lockText="1" noThreeD="1"/>
</file>

<file path=xl/ctrlProps/ctrlProp317.xml><?xml version="1.0" encoding="utf-8"?>
<formControlPr xmlns="http://schemas.microsoft.com/office/spreadsheetml/2009/9/main" objectType="Radio" firstButton="1" lockText="1" noThreeD="1"/>
</file>

<file path=xl/ctrlProps/ctrlProp318.xml><?xml version="1.0" encoding="utf-8"?>
<formControlPr xmlns="http://schemas.microsoft.com/office/spreadsheetml/2009/9/main" objectType="Radio" lockText="1" noThreeD="1"/>
</file>

<file path=xl/ctrlProps/ctrlProp319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20.xml><?xml version="1.0" encoding="utf-8"?>
<formControlPr xmlns="http://schemas.microsoft.com/office/spreadsheetml/2009/9/main" objectType="Radio" lockText="1" noThreeD="1"/>
</file>

<file path=xl/ctrlProps/ctrlProp321.xml><?xml version="1.0" encoding="utf-8"?>
<formControlPr xmlns="http://schemas.microsoft.com/office/spreadsheetml/2009/9/main" objectType="Radio" lockText="1" noThreeD="1"/>
</file>

<file path=xl/ctrlProps/ctrlProp322.xml><?xml version="1.0" encoding="utf-8"?>
<formControlPr xmlns="http://schemas.microsoft.com/office/spreadsheetml/2009/9/main" objectType="Radio" lockText="1" noThreeD="1"/>
</file>

<file path=xl/ctrlProps/ctrlProp323.xml><?xml version="1.0" encoding="utf-8"?>
<formControlPr xmlns="http://schemas.microsoft.com/office/spreadsheetml/2009/9/main" objectType="Radio" lockText="1" noThreeD="1"/>
</file>

<file path=xl/ctrlProps/ctrlProp324.xml><?xml version="1.0" encoding="utf-8"?>
<formControlPr xmlns="http://schemas.microsoft.com/office/spreadsheetml/2009/9/main" objectType="Radio" lockText="1" noThreeD="1"/>
</file>

<file path=xl/ctrlProps/ctrlProp325.xml><?xml version="1.0" encoding="utf-8"?>
<formControlPr xmlns="http://schemas.microsoft.com/office/spreadsheetml/2009/9/main" objectType="Radio" lockText="1" noThreeD="1"/>
</file>

<file path=xl/ctrlProps/ctrlProp326.xml><?xml version="1.0" encoding="utf-8"?>
<formControlPr xmlns="http://schemas.microsoft.com/office/spreadsheetml/2009/9/main" objectType="Radio" lockText="1" noThreeD="1"/>
</file>

<file path=xl/ctrlProps/ctrlProp327.xml><?xml version="1.0" encoding="utf-8"?>
<formControlPr xmlns="http://schemas.microsoft.com/office/spreadsheetml/2009/9/main" objectType="Radio" firstButton="1" lockText="1" noThreeD="1"/>
</file>

<file path=xl/ctrlProps/ctrlProp328.xml><?xml version="1.0" encoding="utf-8"?>
<formControlPr xmlns="http://schemas.microsoft.com/office/spreadsheetml/2009/9/main" objectType="Radio" lockText="1" noThreeD="1"/>
</file>

<file path=xl/ctrlProps/ctrlProp329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30.xml><?xml version="1.0" encoding="utf-8"?>
<formControlPr xmlns="http://schemas.microsoft.com/office/spreadsheetml/2009/9/main" objectType="Radio" lockText="1" noThreeD="1"/>
</file>

<file path=xl/ctrlProps/ctrlProp331.xml><?xml version="1.0" encoding="utf-8"?>
<formControlPr xmlns="http://schemas.microsoft.com/office/spreadsheetml/2009/9/main" objectType="Radio" lockText="1" noThreeD="1"/>
</file>

<file path=xl/ctrlProps/ctrlProp332.xml><?xml version="1.0" encoding="utf-8"?>
<formControlPr xmlns="http://schemas.microsoft.com/office/spreadsheetml/2009/9/main" objectType="Radio" lockText="1" noThreeD="1"/>
</file>

<file path=xl/ctrlProps/ctrlProp333.xml><?xml version="1.0" encoding="utf-8"?>
<formControlPr xmlns="http://schemas.microsoft.com/office/spreadsheetml/2009/9/main" objectType="Radio" lockText="1" noThreeD="1"/>
</file>

<file path=xl/ctrlProps/ctrlProp334.xml><?xml version="1.0" encoding="utf-8"?>
<formControlPr xmlns="http://schemas.microsoft.com/office/spreadsheetml/2009/9/main" objectType="Radio" lockText="1" noThreeD="1"/>
</file>

<file path=xl/ctrlProps/ctrlProp335.xml><?xml version="1.0" encoding="utf-8"?>
<formControlPr xmlns="http://schemas.microsoft.com/office/spreadsheetml/2009/9/main" objectType="Radio" lockText="1" noThreeD="1"/>
</file>

<file path=xl/ctrlProps/ctrlProp336.xml><?xml version="1.0" encoding="utf-8"?>
<formControlPr xmlns="http://schemas.microsoft.com/office/spreadsheetml/2009/9/main" objectType="Radio" lockText="1" noThreeD="1"/>
</file>

<file path=xl/ctrlProps/ctrlProp337.xml><?xml version="1.0" encoding="utf-8"?>
<formControlPr xmlns="http://schemas.microsoft.com/office/spreadsheetml/2009/9/main" objectType="Radio" firstButton="1" lockText="1" noThreeD="1"/>
</file>

<file path=xl/ctrlProps/ctrlProp338.xml><?xml version="1.0" encoding="utf-8"?>
<formControlPr xmlns="http://schemas.microsoft.com/office/spreadsheetml/2009/9/main" objectType="Radio" lockText="1" noThreeD="1"/>
</file>

<file path=xl/ctrlProps/ctrlProp339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checked="Checked" lockText="1" noThreeD="1"/>
</file>

<file path=xl/ctrlProps/ctrlProp340.xml><?xml version="1.0" encoding="utf-8"?>
<formControlPr xmlns="http://schemas.microsoft.com/office/spreadsheetml/2009/9/main" objectType="Radio" lockText="1" noThreeD="1"/>
</file>

<file path=xl/ctrlProps/ctrlProp341.xml><?xml version="1.0" encoding="utf-8"?>
<formControlPr xmlns="http://schemas.microsoft.com/office/spreadsheetml/2009/9/main" objectType="Radio" lockText="1" noThreeD="1"/>
</file>

<file path=xl/ctrlProps/ctrlProp342.xml><?xml version="1.0" encoding="utf-8"?>
<formControlPr xmlns="http://schemas.microsoft.com/office/spreadsheetml/2009/9/main" objectType="Radio" lockText="1" noThreeD="1"/>
</file>

<file path=xl/ctrlProps/ctrlProp343.xml><?xml version="1.0" encoding="utf-8"?>
<formControlPr xmlns="http://schemas.microsoft.com/office/spreadsheetml/2009/9/main" objectType="Radio" lockText="1" noThreeD="1"/>
</file>

<file path=xl/ctrlProps/ctrlProp344.xml><?xml version="1.0" encoding="utf-8"?>
<formControlPr xmlns="http://schemas.microsoft.com/office/spreadsheetml/2009/9/main" objectType="Radio" lockText="1" noThreeD="1"/>
</file>

<file path=xl/ctrlProps/ctrlProp345.xml><?xml version="1.0" encoding="utf-8"?>
<formControlPr xmlns="http://schemas.microsoft.com/office/spreadsheetml/2009/9/main" objectType="Radio" lockText="1" noThreeD="1"/>
</file>

<file path=xl/ctrlProps/ctrlProp346.xml><?xml version="1.0" encoding="utf-8"?>
<formControlPr xmlns="http://schemas.microsoft.com/office/spreadsheetml/2009/9/main" objectType="Radio" lockText="1" noThreeD="1"/>
</file>

<file path=xl/ctrlProps/ctrlProp347.xml><?xml version="1.0" encoding="utf-8"?>
<formControlPr xmlns="http://schemas.microsoft.com/office/spreadsheetml/2009/9/main" objectType="Radio" lockText="1" noThreeD="1"/>
</file>

<file path=xl/ctrlProps/ctrlProp348.xml><?xml version="1.0" encoding="utf-8"?>
<formControlPr xmlns="http://schemas.microsoft.com/office/spreadsheetml/2009/9/main" objectType="Radio" lockText="1" noThreeD="1"/>
</file>

<file path=xl/ctrlProps/ctrlProp349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firstButton="1" lockText="1" noThreeD="1"/>
</file>

<file path=xl/ctrlProps/ctrlProp350.xml><?xml version="1.0" encoding="utf-8"?>
<formControlPr xmlns="http://schemas.microsoft.com/office/spreadsheetml/2009/9/main" objectType="Radio" lockText="1" noThreeD="1"/>
</file>

<file path=xl/ctrlProps/ctrlProp351.xml><?xml version="1.0" encoding="utf-8"?>
<formControlPr xmlns="http://schemas.microsoft.com/office/spreadsheetml/2009/9/main" objectType="Radio" lockText="1" noThreeD="1"/>
</file>

<file path=xl/ctrlProps/ctrlProp352.xml><?xml version="1.0" encoding="utf-8"?>
<formControlPr xmlns="http://schemas.microsoft.com/office/spreadsheetml/2009/9/main" objectType="Radio" lockText="1" noThreeD="1"/>
</file>

<file path=xl/ctrlProps/ctrlProp353.xml><?xml version="1.0" encoding="utf-8"?>
<formControlPr xmlns="http://schemas.microsoft.com/office/spreadsheetml/2009/9/main" objectType="Radio" lockText="1" noThreeD="1"/>
</file>

<file path=xl/ctrlProps/ctrlProp354.xml><?xml version="1.0" encoding="utf-8"?>
<formControlPr xmlns="http://schemas.microsoft.com/office/spreadsheetml/2009/9/main" objectType="Radio" lockText="1" noThreeD="1"/>
</file>

<file path=xl/ctrlProps/ctrlProp355.xml><?xml version="1.0" encoding="utf-8"?>
<formControlPr xmlns="http://schemas.microsoft.com/office/spreadsheetml/2009/9/main" objectType="Radio" lockText="1" noThreeD="1"/>
</file>

<file path=xl/ctrlProps/ctrlProp356.xml><?xml version="1.0" encoding="utf-8"?>
<formControlPr xmlns="http://schemas.microsoft.com/office/spreadsheetml/2009/9/main" objectType="Radio" lockText="1" noThreeD="1"/>
</file>

<file path=xl/ctrlProps/ctrlProp357.xml><?xml version="1.0" encoding="utf-8"?>
<formControlPr xmlns="http://schemas.microsoft.com/office/spreadsheetml/2009/9/main" objectType="Radio" lockText="1" noThreeD="1"/>
</file>

<file path=xl/ctrlProps/ctrlProp358.xml><?xml version="1.0" encoding="utf-8"?>
<formControlPr xmlns="http://schemas.microsoft.com/office/spreadsheetml/2009/9/main" objectType="Radio" lockText="1" noThreeD="1"/>
</file>

<file path=xl/ctrlProps/ctrlProp359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60.xml><?xml version="1.0" encoding="utf-8"?>
<formControlPr xmlns="http://schemas.microsoft.com/office/spreadsheetml/2009/9/main" objectType="Radio" lockText="1" noThreeD="1"/>
</file>

<file path=xl/ctrlProps/ctrlProp361.xml><?xml version="1.0" encoding="utf-8"?>
<formControlPr xmlns="http://schemas.microsoft.com/office/spreadsheetml/2009/9/main" objectType="Radio" lockText="1" noThreeD="1"/>
</file>

<file path=xl/ctrlProps/ctrlProp362.xml><?xml version="1.0" encoding="utf-8"?>
<formControlPr xmlns="http://schemas.microsoft.com/office/spreadsheetml/2009/9/main" objectType="Radio" lockText="1" noThreeD="1"/>
</file>

<file path=xl/ctrlProps/ctrlProp363.xml><?xml version="1.0" encoding="utf-8"?>
<formControlPr xmlns="http://schemas.microsoft.com/office/spreadsheetml/2009/9/main" objectType="Radio" lockText="1" noThreeD="1"/>
</file>

<file path=xl/ctrlProps/ctrlProp364.xml><?xml version="1.0" encoding="utf-8"?>
<formControlPr xmlns="http://schemas.microsoft.com/office/spreadsheetml/2009/9/main" objectType="Radio" lockText="1" noThreeD="1"/>
</file>

<file path=xl/ctrlProps/ctrlProp365.xml><?xml version="1.0" encoding="utf-8"?>
<formControlPr xmlns="http://schemas.microsoft.com/office/spreadsheetml/2009/9/main" objectType="Radio" lockText="1" noThreeD="1"/>
</file>

<file path=xl/ctrlProps/ctrlProp366.xml><?xml version="1.0" encoding="utf-8"?>
<formControlPr xmlns="http://schemas.microsoft.com/office/spreadsheetml/2009/9/main" objectType="Radio" checked="Checked" lockText="1" noThreeD="1"/>
</file>

<file path=xl/ctrlProps/ctrlProp367.xml><?xml version="1.0" encoding="utf-8"?>
<formControlPr xmlns="http://schemas.microsoft.com/office/spreadsheetml/2009/9/main" objectType="Radio" lockText="1" noThreeD="1"/>
</file>

<file path=xl/ctrlProps/ctrlProp368.xml><?xml version="1.0" encoding="utf-8"?>
<formControlPr xmlns="http://schemas.microsoft.com/office/spreadsheetml/2009/9/main" objectType="Radio" lockText="1" noThreeD="1"/>
</file>

<file path=xl/ctrlProps/ctrlProp369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70.xml><?xml version="1.0" encoding="utf-8"?>
<formControlPr xmlns="http://schemas.microsoft.com/office/spreadsheetml/2009/9/main" objectType="Radio" firstButton="1" lockText="1" noThreeD="1"/>
</file>

<file path=xl/ctrlProps/ctrlProp371.xml><?xml version="1.0" encoding="utf-8"?>
<formControlPr xmlns="http://schemas.microsoft.com/office/spreadsheetml/2009/9/main" objectType="Radio" lockText="1" noThreeD="1"/>
</file>

<file path=xl/ctrlProps/ctrlProp372.xml><?xml version="1.0" encoding="utf-8"?>
<formControlPr xmlns="http://schemas.microsoft.com/office/spreadsheetml/2009/9/main" objectType="Radio" lockText="1" noThreeD="1"/>
</file>

<file path=xl/ctrlProps/ctrlProp373.xml><?xml version="1.0" encoding="utf-8"?>
<formControlPr xmlns="http://schemas.microsoft.com/office/spreadsheetml/2009/9/main" objectType="Radio" lockText="1" noThreeD="1"/>
</file>

<file path=xl/ctrlProps/ctrlProp374.xml><?xml version="1.0" encoding="utf-8"?>
<formControlPr xmlns="http://schemas.microsoft.com/office/spreadsheetml/2009/9/main" objectType="Radio" lockText="1" noThreeD="1"/>
</file>

<file path=xl/ctrlProps/ctrlProp375.xml><?xml version="1.0" encoding="utf-8"?>
<formControlPr xmlns="http://schemas.microsoft.com/office/spreadsheetml/2009/9/main" objectType="Radio" lockText="1" noThreeD="1"/>
</file>

<file path=xl/ctrlProps/ctrlProp376.xml><?xml version="1.0" encoding="utf-8"?>
<formControlPr xmlns="http://schemas.microsoft.com/office/spreadsheetml/2009/9/main" objectType="Radio" lockText="1" noThreeD="1"/>
</file>

<file path=xl/ctrlProps/ctrlProp377.xml><?xml version="1.0" encoding="utf-8"?>
<formControlPr xmlns="http://schemas.microsoft.com/office/spreadsheetml/2009/9/main" objectType="Radio" lockText="1" noThreeD="1"/>
</file>

<file path=xl/ctrlProps/ctrlProp378.xml><?xml version="1.0" encoding="utf-8"?>
<formControlPr xmlns="http://schemas.microsoft.com/office/spreadsheetml/2009/9/main" objectType="Radio" lockText="1" noThreeD="1"/>
</file>

<file path=xl/ctrlProps/ctrlProp379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80.xml><?xml version="1.0" encoding="utf-8"?>
<formControlPr xmlns="http://schemas.microsoft.com/office/spreadsheetml/2009/9/main" objectType="Radio" lockText="1" noThreeD="1"/>
</file>

<file path=xl/ctrlProps/ctrlProp381.xml><?xml version="1.0" encoding="utf-8"?>
<formControlPr xmlns="http://schemas.microsoft.com/office/spreadsheetml/2009/9/main" objectType="Radio" lockText="1" noThreeD="1"/>
</file>

<file path=xl/ctrlProps/ctrlProp382.xml><?xml version="1.0" encoding="utf-8"?>
<formControlPr xmlns="http://schemas.microsoft.com/office/spreadsheetml/2009/9/main" objectType="Radio" lockText="1" noThreeD="1"/>
</file>

<file path=xl/ctrlProps/ctrlProp383.xml><?xml version="1.0" encoding="utf-8"?>
<formControlPr xmlns="http://schemas.microsoft.com/office/spreadsheetml/2009/9/main" objectType="Radio" lockText="1" noThreeD="1"/>
</file>

<file path=xl/ctrlProps/ctrlProp384.xml><?xml version="1.0" encoding="utf-8"?>
<formControlPr xmlns="http://schemas.microsoft.com/office/spreadsheetml/2009/9/main" objectType="Radio" lockText="1" noThreeD="1"/>
</file>

<file path=xl/ctrlProps/ctrlProp385.xml><?xml version="1.0" encoding="utf-8"?>
<formControlPr xmlns="http://schemas.microsoft.com/office/spreadsheetml/2009/9/main" objectType="Radio" lockText="1" noThreeD="1"/>
</file>

<file path=xl/ctrlProps/ctrlProp386.xml><?xml version="1.0" encoding="utf-8"?>
<formControlPr xmlns="http://schemas.microsoft.com/office/spreadsheetml/2009/9/main" objectType="Radio" lockText="1" noThreeD="1"/>
</file>

<file path=xl/ctrlProps/ctrlProp387.xml><?xml version="1.0" encoding="utf-8"?>
<formControlPr xmlns="http://schemas.microsoft.com/office/spreadsheetml/2009/9/main" objectType="Radio" lockText="1" noThreeD="1"/>
</file>

<file path=xl/ctrlProps/ctrlProp388.xml><?xml version="1.0" encoding="utf-8"?>
<formControlPr xmlns="http://schemas.microsoft.com/office/spreadsheetml/2009/9/main" objectType="Radio" lockText="1" noThreeD="1"/>
</file>

<file path=xl/ctrlProps/ctrlProp389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390.xml><?xml version="1.0" encoding="utf-8"?>
<formControlPr xmlns="http://schemas.microsoft.com/office/spreadsheetml/2009/9/main" objectType="Radio" lockText="1" noThreeD="1"/>
</file>

<file path=xl/ctrlProps/ctrlProp391.xml><?xml version="1.0" encoding="utf-8"?>
<formControlPr xmlns="http://schemas.microsoft.com/office/spreadsheetml/2009/9/main" objectType="Radio" lockText="1" noThreeD="1"/>
</file>

<file path=xl/ctrlProps/ctrlProp392.xml><?xml version="1.0" encoding="utf-8"?>
<formControlPr xmlns="http://schemas.microsoft.com/office/spreadsheetml/2009/9/main" objectType="Radio" lockText="1" noThreeD="1"/>
</file>

<file path=xl/ctrlProps/ctrlProp393.xml><?xml version="1.0" encoding="utf-8"?>
<formControlPr xmlns="http://schemas.microsoft.com/office/spreadsheetml/2009/9/main" objectType="Radio" lockText="1" noThreeD="1"/>
</file>

<file path=xl/ctrlProps/ctrlProp394.xml><?xml version="1.0" encoding="utf-8"?>
<formControlPr xmlns="http://schemas.microsoft.com/office/spreadsheetml/2009/9/main" objectType="Radio" lockText="1" noThreeD="1"/>
</file>

<file path=xl/ctrlProps/ctrlProp395.xml><?xml version="1.0" encoding="utf-8"?>
<formControlPr xmlns="http://schemas.microsoft.com/office/spreadsheetml/2009/9/main" objectType="Radio" lockText="1" noThreeD="1"/>
</file>

<file path=xl/ctrlProps/ctrlProp396.xml><?xml version="1.0" encoding="utf-8"?>
<formControlPr xmlns="http://schemas.microsoft.com/office/spreadsheetml/2009/9/main" objectType="Radio" lockText="1" noThreeD="1"/>
</file>

<file path=xl/ctrlProps/ctrlProp397.xml><?xml version="1.0" encoding="utf-8"?>
<formControlPr xmlns="http://schemas.microsoft.com/office/spreadsheetml/2009/9/main" objectType="Radio" lockText="1" noThreeD="1"/>
</file>

<file path=xl/ctrlProps/ctrlProp398.xml><?xml version="1.0" encoding="utf-8"?>
<formControlPr xmlns="http://schemas.microsoft.com/office/spreadsheetml/2009/9/main" objectType="Radio" lockText="1" noThreeD="1"/>
</file>

<file path=xl/ctrlProps/ctrlProp399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00.xml><?xml version="1.0" encoding="utf-8"?>
<formControlPr xmlns="http://schemas.microsoft.com/office/spreadsheetml/2009/9/main" objectType="Radio" lockText="1" noThreeD="1"/>
</file>

<file path=xl/ctrlProps/ctrlProp401.xml><?xml version="1.0" encoding="utf-8"?>
<formControlPr xmlns="http://schemas.microsoft.com/office/spreadsheetml/2009/9/main" objectType="Radio" lockText="1" noThreeD="1"/>
</file>

<file path=xl/ctrlProps/ctrlProp402.xml><?xml version="1.0" encoding="utf-8"?>
<formControlPr xmlns="http://schemas.microsoft.com/office/spreadsheetml/2009/9/main" objectType="Radio" lockText="1" noThreeD="1"/>
</file>

<file path=xl/ctrlProps/ctrlProp403.xml><?xml version="1.0" encoding="utf-8"?>
<formControlPr xmlns="http://schemas.microsoft.com/office/spreadsheetml/2009/9/main" objectType="Radio" firstButton="1" lockText="1" noThreeD="1"/>
</file>

<file path=xl/ctrlProps/ctrlProp404.xml><?xml version="1.0" encoding="utf-8"?>
<formControlPr xmlns="http://schemas.microsoft.com/office/spreadsheetml/2009/9/main" objectType="Radio" lockText="1" noThreeD="1"/>
</file>

<file path=xl/ctrlProps/ctrlProp405.xml><?xml version="1.0" encoding="utf-8"?>
<formControlPr xmlns="http://schemas.microsoft.com/office/spreadsheetml/2009/9/main" objectType="Radio" lockText="1" noThreeD="1"/>
</file>

<file path=xl/ctrlProps/ctrlProp406.xml><?xml version="1.0" encoding="utf-8"?>
<formControlPr xmlns="http://schemas.microsoft.com/office/spreadsheetml/2009/9/main" objectType="Radio" lockText="1" noThreeD="1"/>
</file>

<file path=xl/ctrlProps/ctrlProp407.xml><?xml version="1.0" encoding="utf-8"?>
<formControlPr xmlns="http://schemas.microsoft.com/office/spreadsheetml/2009/9/main" objectType="Radio" lockText="1" noThreeD="1"/>
</file>

<file path=xl/ctrlProps/ctrlProp408.xml><?xml version="1.0" encoding="utf-8"?>
<formControlPr xmlns="http://schemas.microsoft.com/office/spreadsheetml/2009/9/main" objectType="Radio" lockText="1" noThreeD="1"/>
</file>

<file path=xl/ctrlProps/ctrlProp409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10.xml><?xml version="1.0" encoding="utf-8"?>
<formControlPr xmlns="http://schemas.microsoft.com/office/spreadsheetml/2009/9/main" objectType="Radio" lockText="1" noThreeD="1"/>
</file>

<file path=xl/ctrlProps/ctrlProp411.xml><?xml version="1.0" encoding="utf-8"?>
<formControlPr xmlns="http://schemas.microsoft.com/office/spreadsheetml/2009/9/main" objectType="Radio" lockText="1" noThreeD="1"/>
</file>

<file path=xl/ctrlProps/ctrlProp412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checked="Checked" lockText="1" noThreeD="1"/>
</file>

<file path=xl/ctrlProps/ctrlProp69.xml><?xml version="1.0" encoding="utf-8"?>
<formControlPr xmlns="http://schemas.microsoft.com/office/spreadsheetml/2009/9/main" objectType="Radio" firstButton="1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224692</xdr:colOff>
      <xdr:row>167</xdr:row>
      <xdr:rowOff>0</xdr:rowOff>
    </xdr:from>
    <xdr:to>
      <xdr:col>16</xdr:col>
      <xdr:colOff>517769</xdr:colOff>
      <xdr:row>170</xdr:row>
      <xdr:rowOff>332154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7223154" y="4220308"/>
          <a:ext cx="293077" cy="121138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14</xdr:col>
      <xdr:colOff>0</xdr:colOff>
      <xdr:row>15</xdr:row>
      <xdr:rowOff>39077</xdr:rowOff>
    </xdr:from>
    <xdr:to>
      <xdr:col>18</xdr:col>
      <xdr:colOff>233680</xdr:colOff>
      <xdr:row>18</xdr:row>
      <xdr:rowOff>175845</xdr:rowOff>
    </xdr:to>
    <xdr:pic>
      <xdr:nvPicPr>
        <xdr:cNvPr id="5" name="Picture 4" descr="C:\Users\NHAGHA~1.HYD\AppData\Local\Temp\SNAGHTML61f868d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68308" y="2784231"/>
          <a:ext cx="6427372" cy="664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19539</xdr:colOff>
      <xdr:row>21</xdr:row>
      <xdr:rowOff>39077</xdr:rowOff>
    </xdr:from>
    <xdr:to>
      <xdr:col>16</xdr:col>
      <xdr:colOff>1436077</xdr:colOff>
      <xdr:row>23</xdr:row>
      <xdr:rowOff>39076</xdr:rowOff>
    </xdr:to>
    <xdr:pic>
      <xdr:nvPicPr>
        <xdr:cNvPr id="7" name="Picture 6" descr="C:\Users\NHAGHA~1.HYD\AppData\Local\Temp\SNAGHTML63b0869.PN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97616" y="3849077"/>
          <a:ext cx="4884615" cy="361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22</xdr:row>
      <xdr:rowOff>9769</xdr:rowOff>
    </xdr:from>
    <xdr:to>
      <xdr:col>16</xdr:col>
      <xdr:colOff>1475154</xdr:colOff>
      <xdr:row>26</xdr:row>
      <xdr:rowOff>39078</xdr:rowOff>
    </xdr:to>
    <xdr:pic>
      <xdr:nvPicPr>
        <xdr:cNvPr id="8" name="Picture 7" descr="C:\Users\NHAGHA~1.HYD\AppData\Local\Temp\SNAGHTML63ccd4d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78077" y="5236307"/>
          <a:ext cx="4943231" cy="732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91</xdr:row>
          <xdr:rowOff>0</xdr:rowOff>
        </xdr:from>
        <xdr:to>
          <xdr:col>14</xdr:col>
          <xdr:colOff>647700</xdr:colOff>
          <xdr:row>93</xdr:row>
          <xdr:rowOff>28575</xdr:rowOff>
        </xdr:to>
        <xdr:sp macro="" textlink="">
          <xdr:nvSpPr>
            <xdr:cNvPr id="146433" name="Option Button 1" hidden="1">
              <a:extLst>
                <a:ext uri="{63B3BB69-23CF-44E3-9099-C40C66FF867C}">
                  <a14:compatExt spid="_x0000_s146433"/>
                </a:ext>
                <a:ext uri="{FF2B5EF4-FFF2-40B4-BE49-F238E27FC236}">
                  <a16:creationId xmlns:a16="http://schemas.microsoft.com/office/drawing/2014/main" id="{00000000-0008-0000-0C00-000001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91</xdr:row>
          <xdr:rowOff>0</xdr:rowOff>
        </xdr:from>
        <xdr:to>
          <xdr:col>9</xdr:col>
          <xdr:colOff>95250</xdr:colOff>
          <xdr:row>92</xdr:row>
          <xdr:rowOff>85725</xdr:rowOff>
        </xdr:to>
        <xdr:sp macro="" textlink="">
          <xdr:nvSpPr>
            <xdr:cNvPr id="146434" name="Option Button 2" hidden="1">
              <a:extLst>
                <a:ext uri="{63B3BB69-23CF-44E3-9099-C40C66FF867C}">
                  <a14:compatExt spid="_x0000_s146434"/>
                </a:ext>
                <a:ext uri="{FF2B5EF4-FFF2-40B4-BE49-F238E27FC236}">
                  <a16:creationId xmlns:a16="http://schemas.microsoft.com/office/drawing/2014/main" id="{00000000-0008-0000-0C00-000002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91</xdr:row>
          <xdr:rowOff>0</xdr:rowOff>
        </xdr:from>
        <xdr:to>
          <xdr:col>14</xdr:col>
          <xdr:colOff>647700</xdr:colOff>
          <xdr:row>93</xdr:row>
          <xdr:rowOff>28575</xdr:rowOff>
        </xdr:to>
        <xdr:sp macro="" textlink="">
          <xdr:nvSpPr>
            <xdr:cNvPr id="146435" name="Option Button 3" hidden="1">
              <a:extLst>
                <a:ext uri="{63B3BB69-23CF-44E3-9099-C40C66FF867C}">
                  <a14:compatExt spid="_x0000_s146435"/>
                </a:ext>
                <a:ext uri="{FF2B5EF4-FFF2-40B4-BE49-F238E27FC236}">
                  <a16:creationId xmlns:a16="http://schemas.microsoft.com/office/drawing/2014/main" id="{00000000-0008-0000-0C00-000003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91</xdr:row>
          <xdr:rowOff>0</xdr:rowOff>
        </xdr:from>
        <xdr:to>
          <xdr:col>9</xdr:col>
          <xdr:colOff>95250</xdr:colOff>
          <xdr:row>92</xdr:row>
          <xdr:rowOff>85725</xdr:rowOff>
        </xdr:to>
        <xdr:sp macro="" textlink="">
          <xdr:nvSpPr>
            <xdr:cNvPr id="146436" name="Option Button 4" hidden="1">
              <a:extLst>
                <a:ext uri="{63B3BB69-23CF-44E3-9099-C40C66FF867C}">
                  <a14:compatExt spid="_x0000_s146436"/>
                </a:ext>
                <a:ext uri="{FF2B5EF4-FFF2-40B4-BE49-F238E27FC236}">
                  <a16:creationId xmlns:a16="http://schemas.microsoft.com/office/drawing/2014/main" id="{00000000-0008-0000-0C00-000004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91</xdr:row>
          <xdr:rowOff>0</xdr:rowOff>
        </xdr:from>
        <xdr:to>
          <xdr:col>14</xdr:col>
          <xdr:colOff>647700</xdr:colOff>
          <xdr:row>93</xdr:row>
          <xdr:rowOff>28575</xdr:rowOff>
        </xdr:to>
        <xdr:sp macro="" textlink="">
          <xdr:nvSpPr>
            <xdr:cNvPr id="146437" name="Option Button 5" hidden="1">
              <a:extLst>
                <a:ext uri="{63B3BB69-23CF-44E3-9099-C40C66FF867C}">
                  <a14:compatExt spid="_x0000_s146437"/>
                </a:ext>
                <a:ext uri="{FF2B5EF4-FFF2-40B4-BE49-F238E27FC236}">
                  <a16:creationId xmlns:a16="http://schemas.microsoft.com/office/drawing/2014/main" id="{00000000-0008-0000-0C00-000005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91</xdr:row>
          <xdr:rowOff>0</xdr:rowOff>
        </xdr:from>
        <xdr:to>
          <xdr:col>9</xdr:col>
          <xdr:colOff>95250</xdr:colOff>
          <xdr:row>92</xdr:row>
          <xdr:rowOff>85725</xdr:rowOff>
        </xdr:to>
        <xdr:sp macro="" textlink="">
          <xdr:nvSpPr>
            <xdr:cNvPr id="146438" name="Option Button 6" hidden="1">
              <a:extLst>
                <a:ext uri="{63B3BB69-23CF-44E3-9099-C40C66FF867C}">
                  <a14:compatExt spid="_x0000_s146438"/>
                </a:ext>
                <a:ext uri="{FF2B5EF4-FFF2-40B4-BE49-F238E27FC236}">
                  <a16:creationId xmlns:a16="http://schemas.microsoft.com/office/drawing/2014/main" id="{00000000-0008-0000-0C00-000006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91</xdr:row>
          <xdr:rowOff>0</xdr:rowOff>
        </xdr:from>
        <xdr:to>
          <xdr:col>14</xdr:col>
          <xdr:colOff>647700</xdr:colOff>
          <xdr:row>93</xdr:row>
          <xdr:rowOff>28575</xdr:rowOff>
        </xdr:to>
        <xdr:sp macro="" textlink="">
          <xdr:nvSpPr>
            <xdr:cNvPr id="146439" name="Option Button 7" hidden="1">
              <a:extLst>
                <a:ext uri="{63B3BB69-23CF-44E3-9099-C40C66FF867C}">
                  <a14:compatExt spid="_x0000_s146439"/>
                </a:ext>
                <a:ext uri="{FF2B5EF4-FFF2-40B4-BE49-F238E27FC236}">
                  <a16:creationId xmlns:a16="http://schemas.microsoft.com/office/drawing/2014/main" id="{00000000-0008-0000-0C00-000007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91</xdr:row>
          <xdr:rowOff>0</xdr:rowOff>
        </xdr:from>
        <xdr:to>
          <xdr:col>9</xdr:col>
          <xdr:colOff>95250</xdr:colOff>
          <xdr:row>92</xdr:row>
          <xdr:rowOff>85725</xdr:rowOff>
        </xdr:to>
        <xdr:sp macro="" textlink="">
          <xdr:nvSpPr>
            <xdr:cNvPr id="146440" name="Option Button 8" hidden="1">
              <a:extLst>
                <a:ext uri="{63B3BB69-23CF-44E3-9099-C40C66FF867C}">
                  <a14:compatExt spid="_x0000_s146440"/>
                </a:ext>
                <a:ext uri="{FF2B5EF4-FFF2-40B4-BE49-F238E27FC236}">
                  <a16:creationId xmlns:a16="http://schemas.microsoft.com/office/drawing/2014/main" id="{00000000-0008-0000-0C00-000008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91</xdr:row>
          <xdr:rowOff>0</xdr:rowOff>
        </xdr:from>
        <xdr:to>
          <xdr:col>14</xdr:col>
          <xdr:colOff>647700</xdr:colOff>
          <xdr:row>93</xdr:row>
          <xdr:rowOff>28575</xdr:rowOff>
        </xdr:to>
        <xdr:sp macro="" textlink="">
          <xdr:nvSpPr>
            <xdr:cNvPr id="146441" name="Option Button 9" hidden="1">
              <a:extLst>
                <a:ext uri="{63B3BB69-23CF-44E3-9099-C40C66FF867C}">
                  <a14:compatExt spid="_x0000_s146441"/>
                </a:ext>
                <a:ext uri="{FF2B5EF4-FFF2-40B4-BE49-F238E27FC236}">
                  <a16:creationId xmlns:a16="http://schemas.microsoft.com/office/drawing/2014/main" id="{00000000-0008-0000-0C00-000009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91</xdr:row>
          <xdr:rowOff>0</xdr:rowOff>
        </xdr:from>
        <xdr:to>
          <xdr:col>9</xdr:col>
          <xdr:colOff>95250</xdr:colOff>
          <xdr:row>92</xdr:row>
          <xdr:rowOff>85725</xdr:rowOff>
        </xdr:to>
        <xdr:sp macro="" textlink="">
          <xdr:nvSpPr>
            <xdr:cNvPr id="146442" name="Option Button 10" hidden="1">
              <a:extLst>
                <a:ext uri="{63B3BB69-23CF-44E3-9099-C40C66FF867C}">
                  <a14:compatExt spid="_x0000_s146442"/>
                </a:ext>
                <a:ext uri="{FF2B5EF4-FFF2-40B4-BE49-F238E27FC236}">
                  <a16:creationId xmlns:a16="http://schemas.microsoft.com/office/drawing/2014/main" id="{00000000-0008-0000-0C00-00000A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647700</xdr:colOff>
          <xdr:row>91</xdr:row>
          <xdr:rowOff>28575</xdr:rowOff>
        </xdr:to>
        <xdr:sp macro="" textlink="">
          <xdr:nvSpPr>
            <xdr:cNvPr id="125955" name="Option Button 3" hidden="1">
              <a:extLst>
                <a:ext uri="{63B3BB69-23CF-44E3-9099-C40C66FF867C}">
                  <a14:compatExt spid="_x0000_s125955"/>
                </a:ext>
                <a:ext uri="{FF2B5EF4-FFF2-40B4-BE49-F238E27FC236}">
                  <a16:creationId xmlns:a16="http://schemas.microsoft.com/office/drawing/2014/main" id="{00000000-0008-0000-0D00-000003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123825</xdr:colOff>
          <xdr:row>90</xdr:row>
          <xdr:rowOff>85725</xdr:rowOff>
        </xdr:to>
        <xdr:sp macro="" textlink="">
          <xdr:nvSpPr>
            <xdr:cNvPr id="125956" name="Option Button 4" hidden="1">
              <a:extLst>
                <a:ext uri="{63B3BB69-23CF-44E3-9099-C40C66FF867C}">
                  <a14:compatExt spid="_x0000_s125956"/>
                </a:ext>
                <a:ext uri="{FF2B5EF4-FFF2-40B4-BE49-F238E27FC236}">
                  <a16:creationId xmlns:a16="http://schemas.microsoft.com/office/drawing/2014/main" id="{00000000-0008-0000-0D00-000004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647700</xdr:colOff>
          <xdr:row>91</xdr:row>
          <xdr:rowOff>28575</xdr:rowOff>
        </xdr:to>
        <xdr:sp macro="" textlink="">
          <xdr:nvSpPr>
            <xdr:cNvPr id="125957" name="Option Button 5" hidden="1">
              <a:extLst>
                <a:ext uri="{63B3BB69-23CF-44E3-9099-C40C66FF867C}">
                  <a14:compatExt spid="_x0000_s125957"/>
                </a:ext>
                <a:ext uri="{FF2B5EF4-FFF2-40B4-BE49-F238E27FC236}">
                  <a16:creationId xmlns:a16="http://schemas.microsoft.com/office/drawing/2014/main" id="{00000000-0008-0000-0D00-000005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123825</xdr:colOff>
          <xdr:row>90</xdr:row>
          <xdr:rowOff>85725</xdr:rowOff>
        </xdr:to>
        <xdr:sp macro="" textlink="">
          <xdr:nvSpPr>
            <xdr:cNvPr id="125958" name="Option Button 6" hidden="1">
              <a:extLst>
                <a:ext uri="{63B3BB69-23CF-44E3-9099-C40C66FF867C}">
                  <a14:compatExt spid="_x0000_s125958"/>
                </a:ext>
                <a:ext uri="{FF2B5EF4-FFF2-40B4-BE49-F238E27FC236}">
                  <a16:creationId xmlns:a16="http://schemas.microsoft.com/office/drawing/2014/main" id="{00000000-0008-0000-0D00-000006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647700</xdr:colOff>
          <xdr:row>91</xdr:row>
          <xdr:rowOff>28575</xdr:rowOff>
        </xdr:to>
        <xdr:sp macro="" textlink="">
          <xdr:nvSpPr>
            <xdr:cNvPr id="125959" name="Option Button 7" hidden="1">
              <a:extLst>
                <a:ext uri="{63B3BB69-23CF-44E3-9099-C40C66FF867C}">
                  <a14:compatExt spid="_x0000_s125959"/>
                </a:ext>
                <a:ext uri="{FF2B5EF4-FFF2-40B4-BE49-F238E27FC236}">
                  <a16:creationId xmlns:a16="http://schemas.microsoft.com/office/drawing/2014/main" id="{00000000-0008-0000-0D00-000007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123825</xdr:colOff>
          <xdr:row>90</xdr:row>
          <xdr:rowOff>85725</xdr:rowOff>
        </xdr:to>
        <xdr:sp macro="" textlink="">
          <xdr:nvSpPr>
            <xdr:cNvPr id="125960" name="Option Button 8" hidden="1">
              <a:extLst>
                <a:ext uri="{63B3BB69-23CF-44E3-9099-C40C66FF867C}">
                  <a14:compatExt spid="_x0000_s125960"/>
                </a:ext>
                <a:ext uri="{FF2B5EF4-FFF2-40B4-BE49-F238E27FC236}">
                  <a16:creationId xmlns:a16="http://schemas.microsoft.com/office/drawing/2014/main" id="{00000000-0008-0000-0D00-000008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647700</xdr:colOff>
          <xdr:row>91</xdr:row>
          <xdr:rowOff>28575</xdr:rowOff>
        </xdr:to>
        <xdr:sp macro="" textlink="">
          <xdr:nvSpPr>
            <xdr:cNvPr id="125961" name="Option Button 9" hidden="1">
              <a:extLst>
                <a:ext uri="{63B3BB69-23CF-44E3-9099-C40C66FF867C}">
                  <a14:compatExt spid="_x0000_s125961"/>
                </a:ext>
                <a:ext uri="{FF2B5EF4-FFF2-40B4-BE49-F238E27FC236}">
                  <a16:creationId xmlns:a16="http://schemas.microsoft.com/office/drawing/2014/main" id="{00000000-0008-0000-0D00-000009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123825</xdr:colOff>
          <xdr:row>90</xdr:row>
          <xdr:rowOff>85725</xdr:rowOff>
        </xdr:to>
        <xdr:sp macro="" textlink="">
          <xdr:nvSpPr>
            <xdr:cNvPr id="125962" name="Option Button 10" hidden="1">
              <a:extLst>
                <a:ext uri="{63B3BB69-23CF-44E3-9099-C40C66FF867C}">
                  <a14:compatExt spid="_x0000_s125962"/>
                </a:ext>
                <a:ext uri="{FF2B5EF4-FFF2-40B4-BE49-F238E27FC236}">
                  <a16:creationId xmlns:a16="http://schemas.microsoft.com/office/drawing/2014/main" id="{00000000-0008-0000-0D00-00000A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647700</xdr:colOff>
          <xdr:row>91</xdr:row>
          <xdr:rowOff>28575</xdr:rowOff>
        </xdr:to>
        <xdr:sp macro="" textlink="">
          <xdr:nvSpPr>
            <xdr:cNvPr id="125963" name="Option Button 11" hidden="1">
              <a:extLst>
                <a:ext uri="{63B3BB69-23CF-44E3-9099-C40C66FF867C}">
                  <a14:compatExt spid="_x0000_s125963"/>
                </a:ext>
                <a:ext uri="{FF2B5EF4-FFF2-40B4-BE49-F238E27FC236}">
                  <a16:creationId xmlns:a16="http://schemas.microsoft.com/office/drawing/2014/main" id="{00000000-0008-0000-0D00-00000B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123825</xdr:colOff>
          <xdr:row>90</xdr:row>
          <xdr:rowOff>85725</xdr:rowOff>
        </xdr:to>
        <xdr:sp macro="" textlink="">
          <xdr:nvSpPr>
            <xdr:cNvPr id="125964" name="Option Button 12" hidden="1">
              <a:extLst>
                <a:ext uri="{63B3BB69-23CF-44E3-9099-C40C66FF867C}">
                  <a14:compatExt spid="_x0000_s125964"/>
                </a:ext>
                <a:ext uri="{FF2B5EF4-FFF2-40B4-BE49-F238E27FC236}">
                  <a16:creationId xmlns:a16="http://schemas.microsoft.com/office/drawing/2014/main" id="{00000000-0008-0000-0D00-00000C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647700</xdr:colOff>
          <xdr:row>91</xdr:row>
          <xdr:rowOff>28575</xdr:rowOff>
        </xdr:to>
        <xdr:sp macro="" textlink="">
          <xdr:nvSpPr>
            <xdr:cNvPr id="124931" name="Option Button 3" hidden="1">
              <a:extLst>
                <a:ext uri="{63B3BB69-23CF-44E3-9099-C40C66FF867C}">
                  <a14:compatExt spid="_x0000_s124931"/>
                </a:ext>
                <a:ext uri="{FF2B5EF4-FFF2-40B4-BE49-F238E27FC236}">
                  <a16:creationId xmlns:a16="http://schemas.microsoft.com/office/drawing/2014/main" id="{00000000-0008-0000-0E00-000003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24932" name="Option Button 4" hidden="1">
              <a:extLst>
                <a:ext uri="{63B3BB69-23CF-44E3-9099-C40C66FF867C}">
                  <a14:compatExt spid="_x0000_s124932"/>
                </a:ext>
                <a:ext uri="{FF2B5EF4-FFF2-40B4-BE49-F238E27FC236}">
                  <a16:creationId xmlns:a16="http://schemas.microsoft.com/office/drawing/2014/main" id="{00000000-0008-0000-0E00-000004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647700</xdr:colOff>
          <xdr:row>91</xdr:row>
          <xdr:rowOff>28575</xdr:rowOff>
        </xdr:to>
        <xdr:sp macro="" textlink="">
          <xdr:nvSpPr>
            <xdr:cNvPr id="124933" name="Option Button 5" hidden="1">
              <a:extLst>
                <a:ext uri="{63B3BB69-23CF-44E3-9099-C40C66FF867C}">
                  <a14:compatExt spid="_x0000_s124933"/>
                </a:ext>
                <a:ext uri="{FF2B5EF4-FFF2-40B4-BE49-F238E27FC236}">
                  <a16:creationId xmlns:a16="http://schemas.microsoft.com/office/drawing/2014/main" id="{00000000-0008-0000-0E00-000005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24934" name="Option Button 6" hidden="1">
              <a:extLst>
                <a:ext uri="{63B3BB69-23CF-44E3-9099-C40C66FF867C}">
                  <a14:compatExt spid="_x0000_s124934"/>
                </a:ext>
                <a:ext uri="{FF2B5EF4-FFF2-40B4-BE49-F238E27FC236}">
                  <a16:creationId xmlns:a16="http://schemas.microsoft.com/office/drawing/2014/main" id="{00000000-0008-0000-0E00-000006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647700</xdr:colOff>
          <xdr:row>91</xdr:row>
          <xdr:rowOff>28575</xdr:rowOff>
        </xdr:to>
        <xdr:sp macro="" textlink="">
          <xdr:nvSpPr>
            <xdr:cNvPr id="124935" name="Option Button 7" hidden="1">
              <a:extLst>
                <a:ext uri="{63B3BB69-23CF-44E3-9099-C40C66FF867C}">
                  <a14:compatExt spid="_x0000_s124935"/>
                </a:ext>
                <a:ext uri="{FF2B5EF4-FFF2-40B4-BE49-F238E27FC236}">
                  <a16:creationId xmlns:a16="http://schemas.microsoft.com/office/drawing/2014/main" id="{00000000-0008-0000-0E00-000007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24936" name="Option Button 8" hidden="1">
              <a:extLst>
                <a:ext uri="{63B3BB69-23CF-44E3-9099-C40C66FF867C}">
                  <a14:compatExt spid="_x0000_s124936"/>
                </a:ext>
                <a:ext uri="{FF2B5EF4-FFF2-40B4-BE49-F238E27FC236}">
                  <a16:creationId xmlns:a16="http://schemas.microsoft.com/office/drawing/2014/main" id="{00000000-0008-0000-0E00-000008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647700</xdr:colOff>
          <xdr:row>91</xdr:row>
          <xdr:rowOff>28575</xdr:rowOff>
        </xdr:to>
        <xdr:sp macro="" textlink="">
          <xdr:nvSpPr>
            <xdr:cNvPr id="124937" name="Option Button 9" hidden="1">
              <a:extLst>
                <a:ext uri="{63B3BB69-23CF-44E3-9099-C40C66FF867C}">
                  <a14:compatExt spid="_x0000_s124937"/>
                </a:ext>
                <a:ext uri="{FF2B5EF4-FFF2-40B4-BE49-F238E27FC236}">
                  <a16:creationId xmlns:a16="http://schemas.microsoft.com/office/drawing/2014/main" id="{00000000-0008-0000-0E00-000009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24938" name="Option Button 10" hidden="1">
              <a:extLst>
                <a:ext uri="{63B3BB69-23CF-44E3-9099-C40C66FF867C}">
                  <a14:compatExt spid="_x0000_s124938"/>
                </a:ext>
                <a:ext uri="{FF2B5EF4-FFF2-40B4-BE49-F238E27FC236}">
                  <a16:creationId xmlns:a16="http://schemas.microsoft.com/office/drawing/2014/main" id="{00000000-0008-0000-0E00-00000A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647700</xdr:colOff>
          <xdr:row>91</xdr:row>
          <xdr:rowOff>28575</xdr:rowOff>
        </xdr:to>
        <xdr:sp macro="" textlink="">
          <xdr:nvSpPr>
            <xdr:cNvPr id="124939" name="Option Button 11" hidden="1">
              <a:extLst>
                <a:ext uri="{63B3BB69-23CF-44E3-9099-C40C66FF867C}">
                  <a14:compatExt spid="_x0000_s124939"/>
                </a:ext>
                <a:ext uri="{FF2B5EF4-FFF2-40B4-BE49-F238E27FC236}">
                  <a16:creationId xmlns:a16="http://schemas.microsoft.com/office/drawing/2014/main" id="{00000000-0008-0000-0E00-00000B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24940" name="Option Button 12" hidden="1">
              <a:extLst>
                <a:ext uri="{63B3BB69-23CF-44E3-9099-C40C66FF867C}">
                  <a14:compatExt spid="_x0000_s124940"/>
                </a:ext>
                <a:ext uri="{FF2B5EF4-FFF2-40B4-BE49-F238E27FC236}">
                  <a16:creationId xmlns:a16="http://schemas.microsoft.com/office/drawing/2014/main" id="{00000000-0008-0000-0E00-00000C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476250</xdr:colOff>
          <xdr:row>91</xdr:row>
          <xdr:rowOff>28575</xdr:rowOff>
        </xdr:to>
        <xdr:sp macro="" textlink="">
          <xdr:nvSpPr>
            <xdr:cNvPr id="132099" name="Option Button 3" hidden="1">
              <a:extLst>
                <a:ext uri="{63B3BB69-23CF-44E3-9099-C40C66FF867C}">
                  <a14:compatExt spid="_x0000_s132099"/>
                </a:ext>
                <a:ext uri="{FF2B5EF4-FFF2-40B4-BE49-F238E27FC236}">
                  <a16:creationId xmlns:a16="http://schemas.microsoft.com/office/drawing/2014/main" id="{00000000-0008-0000-0F00-000003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152400</xdr:colOff>
          <xdr:row>90</xdr:row>
          <xdr:rowOff>85725</xdr:rowOff>
        </xdr:to>
        <xdr:sp macro="" textlink="">
          <xdr:nvSpPr>
            <xdr:cNvPr id="132100" name="Option Button 4" hidden="1">
              <a:extLst>
                <a:ext uri="{63B3BB69-23CF-44E3-9099-C40C66FF867C}">
                  <a14:compatExt spid="_x0000_s132100"/>
                </a:ext>
                <a:ext uri="{FF2B5EF4-FFF2-40B4-BE49-F238E27FC236}">
                  <a16:creationId xmlns:a16="http://schemas.microsoft.com/office/drawing/2014/main" id="{00000000-0008-0000-0F00-000004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476250</xdr:colOff>
          <xdr:row>91</xdr:row>
          <xdr:rowOff>28575</xdr:rowOff>
        </xdr:to>
        <xdr:sp macro="" textlink="">
          <xdr:nvSpPr>
            <xdr:cNvPr id="132101" name="Option Button 5" hidden="1">
              <a:extLst>
                <a:ext uri="{63B3BB69-23CF-44E3-9099-C40C66FF867C}">
                  <a14:compatExt spid="_x0000_s132101"/>
                </a:ext>
                <a:ext uri="{FF2B5EF4-FFF2-40B4-BE49-F238E27FC236}">
                  <a16:creationId xmlns:a16="http://schemas.microsoft.com/office/drawing/2014/main" id="{00000000-0008-0000-0F00-000005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152400</xdr:colOff>
          <xdr:row>90</xdr:row>
          <xdr:rowOff>85725</xdr:rowOff>
        </xdr:to>
        <xdr:sp macro="" textlink="">
          <xdr:nvSpPr>
            <xdr:cNvPr id="132102" name="Option Button 6" hidden="1">
              <a:extLst>
                <a:ext uri="{63B3BB69-23CF-44E3-9099-C40C66FF867C}">
                  <a14:compatExt spid="_x0000_s132102"/>
                </a:ext>
                <a:ext uri="{FF2B5EF4-FFF2-40B4-BE49-F238E27FC236}">
                  <a16:creationId xmlns:a16="http://schemas.microsoft.com/office/drawing/2014/main" id="{00000000-0008-0000-0F00-000006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476250</xdr:colOff>
          <xdr:row>91</xdr:row>
          <xdr:rowOff>28575</xdr:rowOff>
        </xdr:to>
        <xdr:sp macro="" textlink="">
          <xdr:nvSpPr>
            <xdr:cNvPr id="132103" name="Option Button 7" hidden="1">
              <a:extLst>
                <a:ext uri="{63B3BB69-23CF-44E3-9099-C40C66FF867C}">
                  <a14:compatExt spid="_x0000_s132103"/>
                </a:ext>
                <a:ext uri="{FF2B5EF4-FFF2-40B4-BE49-F238E27FC236}">
                  <a16:creationId xmlns:a16="http://schemas.microsoft.com/office/drawing/2014/main" id="{00000000-0008-0000-0F00-000007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152400</xdr:colOff>
          <xdr:row>90</xdr:row>
          <xdr:rowOff>85725</xdr:rowOff>
        </xdr:to>
        <xdr:sp macro="" textlink="">
          <xdr:nvSpPr>
            <xdr:cNvPr id="132104" name="Option Button 8" hidden="1">
              <a:extLst>
                <a:ext uri="{63B3BB69-23CF-44E3-9099-C40C66FF867C}">
                  <a14:compatExt spid="_x0000_s132104"/>
                </a:ext>
                <a:ext uri="{FF2B5EF4-FFF2-40B4-BE49-F238E27FC236}">
                  <a16:creationId xmlns:a16="http://schemas.microsoft.com/office/drawing/2014/main" id="{00000000-0008-0000-0F00-000008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476250</xdr:colOff>
          <xdr:row>91</xdr:row>
          <xdr:rowOff>28575</xdr:rowOff>
        </xdr:to>
        <xdr:sp macro="" textlink="">
          <xdr:nvSpPr>
            <xdr:cNvPr id="132105" name="Option Button 9" hidden="1">
              <a:extLst>
                <a:ext uri="{63B3BB69-23CF-44E3-9099-C40C66FF867C}">
                  <a14:compatExt spid="_x0000_s132105"/>
                </a:ext>
                <a:ext uri="{FF2B5EF4-FFF2-40B4-BE49-F238E27FC236}">
                  <a16:creationId xmlns:a16="http://schemas.microsoft.com/office/drawing/2014/main" id="{00000000-0008-0000-0F00-000009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152400</xdr:colOff>
          <xdr:row>90</xdr:row>
          <xdr:rowOff>85725</xdr:rowOff>
        </xdr:to>
        <xdr:sp macro="" textlink="">
          <xdr:nvSpPr>
            <xdr:cNvPr id="132106" name="Option Button 10" hidden="1">
              <a:extLst>
                <a:ext uri="{63B3BB69-23CF-44E3-9099-C40C66FF867C}">
                  <a14:compatExt spid="_x0000_s132106"/>
                </a:ext>
                <a:ext uri="{FF2B5EF4-FFF2-40B4-BE49-F238E27FC236}">
                  <a16:creationId xmlns:a16="http://schemas.microsoft.com/office/drawing/2014/main" id="{00000000-0008-0000-0F00-00000A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476250</xdr:colOff>
          <xdr:row>91</xdr:row>
          <xdr:rowOff>28575</xdr:rowOff>
        </xdr:to>
        <xdr:sp macro="" textlink="">
          <xdr:nvSpPr>
            <xdr:cNvPr id="132107" name="Option Button 11" hidden="1">
              <a:extLst>
                <a:ext uri="{63B3BB69-23CF-44E3-9099-C40C66FF867C}">
                  <a14:compatExt spid="_x0000_s132107"/>
                </a:ext>
                <a:ext uri="{FF2B5EF4-FFF2-40B4-BE49-F238E27FC236}">
                  <a16:creationId xmlns:a16="http://schemas.microsoft.com/office/drawing/2014/main" id="{00000000-0008-0000-0F00-00000B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152400</xdr:colOff>
          <xdr:row>90</xdr:row>
          <xdr:rowOff>85725</xdr:rowOff>
        </xdr:to>
        <xdr:sp macro="" textlink="">
          <xdr:nvSpPr>
            <xdr:cNvPr id="132108" name="Option Button 12" hidden="1">
              <a:extLst>
                <a:ext uri="{63B3BB69-23CF-44E3-9099-C40C66FF867C}">
                  <a14:compatExt spid="_x0000_s132108"/>
                </a:ext>
                <a:ext uri="{FF2B5EF4-FFF2-40B4-BE49-F238E27FC236}">
                  <a16:creationId xmlns:a16="http://schemas.microsoft.com/office/drawing/2014/main" id="{00000000-0008-0000-0F00-00000C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638175</xdr:colOff>
          <xdr:row>91</xdr:row>
          <xdr:rowOff>28575</xdr:rowOff>
        </xdr:to>
        <xdr:sp macro="" textlink="">
          <xdr:nvSpPr>
            <xdr:cNvPr id="131075" name="Option Button 3" hidden="1">
              <a:extLst>
                <a:ext uri="{63B3BB69-23CF-44E3-9099-C40C66FF867C}">
                  <a14:compatExt spid="_x0000_s131075"/>
                </a:ext>
                <a:ext uri="{FF2B5EF4-FFF2-40B4-BE49-F238E27FC236}">
                  <a16:creationId xmlns:a16="http://schemas.microsoft.com/office/drawing/2014/main" id="{00000000-0008-0000-1000-000003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31076" name="Option Button 4" hidden="1">
              <a:extLst>
                <a:ext uri="{63B3BB69-23CF-44E3-9099-C40C66FF867C}">
                  <a14:compatExt spid="_x0000_s131076"/>
                </a:ext>
                <a:ext uri="{FF2B5EF4-FFF2-40B4-BE49-F238E27FC236}">
                  <a16:creationId xmlns:a16="http://schemas.microsoft.com/office/drawing/2014/main" id="{00000000-0008-0000-1000-000004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638175</xdr:colOff>
          <xdr:row>91</xdr:row>
          <xdr:rowOff>28575</xdr:rowOff>
        </xdr:to>
        <xdr:sp macro="" textlink="">
          <xdr:nvSpPr>
            <xdr:cNvPr id="131077" name="Option Button 5" hidden="1">
              <a:extLst>
                <a:ext uri="{63B3BB69-23CF-44E3-9099-C40C66FF867C}">
                  <a14:compatExt spid="_x0000_s131077"/>
                </a:ext>
                <a:ext uri="{FF2B5EF4-FFF2-40B4-BE49-F238E27FC236}">
                  <a16:creationId xmlns:a16="http://schemas.microsoft.com/office/drawing/2014/main" id="{00000000-0008-0000-1000-000005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31078" name="Option Button 6" hidden="1">
              <a:extLst>
                <a:ext uri="{63B3BB69-23CF-44E3-9099-C40C66FF867C}">
                  <a14:compatExt spid="_x0000_s131078"/>
                </a:ext>
                <a:ext uri="{FF2B5EF4-FFF2-40B4-BE49-F238E27FC236}">
                  <a16:creationId xmlns:a16="http://schemas.microsoft.com/office/drawing/2014/main" id="{00000000-0008-0000-1000-000006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638175</xdr:colOff>
          <xdr:row>91</xdr:row>
          <xdr:rowOff>28575</xdr:rowOff>
        </xdr:to>
        <xdr:sp macro="" textlink="">
          <xdr:nvSpPr>
            <xdr:cNvPr id="131079" name="Option Button 7" hidden="1">
              <a:extLst>
                <a:ext uri="{63B3BB69-23CF-44E3-9099-C40C66FF867C}">
                  <a14:compatExt spid="_x0000_s131079"/>
                </a:ext>
                <a:ext uri="{FF2B5EF4-FFF2-40B4-BE49-F238E27FC236}">
                  <a16:creationId xmlns:a16="http://schemas.microsoft.com/office/drawing/2014/main" id="{00000000-0008-0000-1000-000007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31080" name="Option Button 8" hidden="1">
              <a:extLst>
                <a:ext uri="{63B3BB69-23CF-44E3-9099-C40C66FF867C}">
                  <a14:compatExt spid="_x0000_s131080"/>
                </a:ext>
                <a:ext uri="{FF2B5EF4-FFF2-40B4-BE49-F238E27FC236}">
                  <a16:creationId xmlns:a16="http://schemas.microsoft.com/office/drawing/2014/main" id="{00000000-0008-0000-1000-000008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638175</xdr:colOff>
          <xdr:row>91</xdr:row>
          <xdr:rowOff>28575</xdr:rowOff>
        </xdr:to>
        <xdr:sp macro="" textlink="">
          <xdr:nvSpPr>
            <xdr:cNvPr id="131081" name="Option Button 9" hidden="1">
              <a:extLst>
                <a:ext uri="{63B3BB69-23CF-44E3-9099-C40C66FF867C}">
                  <a14:compatExt spid="_x0000_s131081"/>
                </a:ext>
                <a:ext uri="{FF2B5EF4-FFF2-40B4-BE49-F238E27FC236}">
                  <a16:creationId xmlns:a16="http://schemas.microsoft.com/office/drawing/2014/main" id="{00000000-0008-0000-1000-000009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31082" name="Option Button 10" hidden="1">
              <a:extLst>
                <a:ext uri="{63B3BB69-23CF-44E3-9099-C40C66FF867C}">
                  <a14:compatExt spid="_x0000_s131082"/>
                </a:ext>
                <a:ext uri="{FF2B5EF4-FFF2-40B4-BE49-F238E27FC236}">
                  <a16:creationId xmlns:a16="http://schemas.microsoft.com/office/drawing/2014/main" id="{00000000-0008-0000-1000-00000A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638175</xdr:colOff>
          <xdr:row>91</xdr:row>
          <xdr:rowOff>28575</xdr:rowOff>
        </xdr:to>
        <xdr:sp macro="" textlink="">
          <xdr:nvSpPr>
            <xdr:cNvPr id="131083" name="Option Button 11" hidden="1">
              <a:extLst>
                <a:ext uri="{63B3BB69-23CF-44E3-9099-C40C66FF867C}">
                  <a14:compatExt spid="_x0000_s131083"/>
                </a:ext>
                <a:ext uri="{FF2B5EF4-FFF2-40B4-BE49-F238E27FC236}">
                  <a16:creationId xmlns:a16="http://schemas.microsoft.com/office/drawing/2014/main" id="{00000000-0008-0000-1000-00000B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31084" name="Option Button 12" hidden="1">
              <a:extLst>
                <a:ext uri="{63B3BB69-23CF-44E3-9099-C40C66FF867C}">
                  <a14:compatExt spid="_x0000_s131084"/>
                </a:ext>
                <a:ext uri="{FF2B5EF4-FFF2-40B4-BE49-F238E27FC236}">
                  <a16:creationId xmlns:a16="http://schemas.microsoft.com/office/drawing/2014/main" id="{00000000-0008-0000-1000-00000C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609600</xdr:colOff>
          <xdr:row>91</xdr:row>
          <xdr:rowOff>28575</xdr:rowOff>
        </xdr:to>
        <xdr:sp macro="" textlink="">
          <xdr:nvSpPr>
            <xdr:cNvPr id="130051" name="Option Button 3" hidden="1">
              <a:extLst>
                <a:ext uri="{63B3BB69-23CF-44E3-9099-C40C66FF867C}">
                  <a14:compatExt spid="_x0000_s130051"/>
                </a:ext>
                <a:ext uri="{FF2B5EF4-FFF2-40B4-BE49-F238E27FC236}">
                  <a16:creationId xmlns:a16="http://schemas.microsoft.com/office/drawing/2014/main" id="{00000000-0008-0000-1100-000003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133350</xdr:colOff>
          <xdr:row>90</xdr:row>
          <xdr:rowOff>85725</xdr:rowOff>
        </xdr:to>
        <xdr:sp macro="" textlink="">
          <xdr:nvSpPr>
            <xdr:cNvPr id="130052" name="Option Button 4" hidden="1">
              <a:extLst>
                <a:ext uri="{63B3BB69-23CF-44E3-9099-C40C66FF867C}">
                  <a14:compatExt spid="_x0000_s130052"/>
                </a:ext>
                <a:ext uri="{FF2B5EF4-FFF2-40B4-BE49-F238E27FC236}">
                  <a16:creationId xmlns:a16="http://schemas.microsoft.com/office/drawing/2014/main" id="{00000000-0008-0000-1100-000004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609600</xdr:colOff>
          <xdr:row>91</xdr:row>
          <xdr:rowOff>28575</xdr:rowOff>
        </xdr:to>
        <xdr:sp macro="" textlink="">
          <xdr:nvSpPr>
            <xdr:cNvPr id="130053" name="Option Button 5" hidden="1">
              <a:extLst>
                <a:ext uri="{63B3BB69-23CF-44E3-9099-C40C66FF867C}">
                  <a14:compatExt spid="_x0000_s130053"/>
                </a:ext>
                <a:ext uri="{FF2B5EF4-FFF2-40B4-BE49-F238E27FC236}">
                  <a16:creationId xmlns:a16="http://schemas.microsoft.com/office/drawing/2014/main" id="{00000000-0008-0000-1100-000005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133350</xdr:colOff>
          <xdr:row>90</xdr:row>
          <xdr:rowOff>85725</xdr:rowOff>
        </xdr:to>
        <xdr:sp macro="" textlink="">
          <xdr:nvSpPr>
            <xdr:cNvPr id="130054" name="Option Button 6" hidden="1">
              <a:extLst>
                <a:ext uri="{63B3BB69-23CF-44E3-9099-C40C66FF867C}">
                  <a14:compatExt spid="_x0000_s130054"/>
                </a:ext>
                <a:ext uri="{FF2B5EF4-FFF2-40B4-BE49-F238E27FC236}">
                  <a16:creationId xmlns:a16="http://schemas.microsoft.com/office/drawing/2014/main" id="{00000000-0008-0000-1100-000006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609600</xdr:colOff>
          <xdr:row>91</xdr:row>
          <xdr:rowOff>28575</xdr:rowOff>
        </xdr:to>
        <xdr:sp macro="" textlink="">
          <xdr:nvSpPr>
            <xdr:cNvPr id="130055" name="Option Button 7" hidden="1">
              <a:extLst>
                <a:ext uri="{63B3BB69-23CF-44E3-9099-C40C66FF867C}">
                  <a14:compatExt spid="_x0000_s130055"/>
                </a:ext>
                <a:ext uri="{FF2B5EF4-FFF2-40B4-BE49-F238E27FC236}">
                  <a16:creationId xmlns:a16="http://schemas.microsoft.com/office/drawing/2014/main" id="{00000000-0008-0000-1100-000007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133350</xdr:colOff>
          <xdr:row>90</xdr:row>
          <xdr:rowOff>85725</xdr:rowOff>
        </xdr:to>
        <xdr:sp macro="" textlink="">
          <xdr:nvSpPr>
            <xdr:cNvPr id="130056" name="Option Button 8" hidden="1">
              <a:extLst>
                <a:ext uri="{63B3BB69-23CF-44E3-9099-C40C66FF867C}">
                  <a14:compatExt spid="_x0000_s130056"/>
                </a:ext>
                <a:ext uri="{FF2B5EF4-FFF2-40B4-BE49-F238E27FC236}">
                  <a16:creationId xmlns:a16="http://schemas.microsoft.com/office/drawing/2014/main" id="{00000000-0008-0000-1100-000008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609600</xdr:colOff>
          <xdr:row>91</xdr:row>
          <xdr:rowOff>28575</xdr:rowOff>
        </xdr:to>
        <xdr:sp macro="" textlink="">
          <xdr:nvSpPr>
            <xdr:cNvPr id="130057" name="Option Button 9" hidden="1">
              <a:extLst>
                <a:ext uri="{63B3BB69-23CF-44E3-9099-C40C66FF867C}">
                  <a14:compatExt spid="_x0000_s130057"/>
                </a:ext>
                <a:ext uri="{FF2B5EF4-FFF2-40B4-BE49-F238E27FC236}">
                  <a16:creationId xmlns:a16="http://schemas.microsoft.com/office/drawing/2014/main" id="{00000000-0008-0000-1100-000009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133350</xdr:colOff>
          <xdr:row>90</xdr:row>
          <xdr:rowOff>85725</xdr:rowOff>
        </xdr:to>
        <xdr:sp macro="" textlink="">
          <xdr:nvSpPr>
            <xdr:cNvPr id="130058" name="Option Button 10" hidden="1">
              <a:extLst>
                <a:ext uri="{63B3BB69-23CF-44E3-9099-C40C66FF867C}">
                  <a14:compatExt spid="_x0000_s130058"/>
                </a:ext>
                <a:ext uri="{FF2B5EF4-FFF2-40B4-BE49-F238E27FC236}">
                  <a16:creationId xmlns:a16="http://schemas.microsoft.com/office/drawing/2014/main" id="{00000000-0008-0000-1100-00000A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609600</xdr:colOff>
          <xdr:row>91</xdr:row>
          <xdr:rowOff>28575</xdr:rowOff>
        </xdr:to>
        <xdr:sp macro="" textlink="">
          <xdr:nvSpPr>
            <xdr:cNvPr id="130059" name="Option Button 11" hidden="1">
              <a:extLst>
                <a:ext uri="{63B3BB69-23CF-44E3-9099-C40C66FF867C}">
                  <a14:compatExt spid="_x0000_s130059"/>
                </a:ext>
                <a:ext uri="{FF2B5EF4-FFF2-40B4-BE49-F238E27FC236}">
                  <a16:creationId xmlns:a16="http://schemas.microsoft.com/office/drawing/2014/main" id="{00000000-0008-0000-1100-00000B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133350</xdr:colOff>
          <xdr:row>90</xdr:row>
          <xdr:rowOff>85725</xdr:rowOff>
        </xdr:to>
        <xdr:sp macro="" textlink="">
          <xdr:nvSpPr>
            <xdr:cNvPr id="130060" name="Option Button 12" hidden="1">
              <a:extLst>
                <a:ext uri="{63B3BB69-23CF-44E3-9099-C40C66FF867C}">
                  <a14:compatExt spid="_x0000_s130060"/>
                </a:ext>
                <a:ext uri="{FF2B5EF4-FFF2-40B4-BE49-F238E27FC236}">
                  <a16:creationId xmlns:a16="http://schemas.microsoft.com/office/drawing/2014/main" id="{00000000-0008-0000-1100-00000C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88</xdr:row>
          <xdr:rowOff>0</xdr:rowOff>
        </xdr:from>
        <xdr:to>
          <xdr:col>14</xdr:col>
          <xdr:colOff>609600</xdr:colOff>
          <xdr:row>90</xdr:row>
          <xdr:rowOff>28575</xdr:rowOff>
        </xdr:to>
        <xdr:sp macro="" textlink="">
          <xdr:nvSpPr>
            <xdr:cNvPr id="129027" name="Option Button 3" hidden="1">
              <a:extLst>
                <a:ext uri="{63B3BB69-23CF-44E3-9099-C40C66FF867C}">
                  <a14:compatExt spid="_x0000_s129027"/>
                </a:ext>
                <a:ext uri="{FF2B5EF4-FFF2-40B4-BE49-F238E27FC236}">
                  <a16:creationId xmlns:a16="http://schemas.microsoft.com/office/drawing/2014/main" id="{00000000-0008-0000-1200-000003F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88</xdr:row>
          <xdr:rowOff>0</xdr:rowOff>
        </xdr:from>
        <xdr:to>
          <xdr:col>9</xdr:col>
          <xdr:colOff>95250</xdr:colOff>
          <xdr:row>89</xdr:row>
          <xdr:rowOff>85725</xdr:rowOff>
        </xdr:to>
        <xdr:sp macro="" textlink="">
          <xdr:nvSpPr>
            <xdr:cNvPr id="129028" name="Option Button 4" hidden="1">
              <a:extLst>
                <a:ext uri="{63B3BB69-23CF-44E3-9099-C40C66FF867C}">
                  <a14:compatExt spid="_x0000_s129028"/>
                </a:ext>
                <a:ext uri="{FF2B5EF4-FFF2-40B4-BE49-F238E27FC236}">
                  <a16:creationId xmlns:a16="http://schemas.microsoft.com/office/drawing/2014/main" id="{00000000-0008-0000-1200-000004F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88</xdr:row>
          <xdr:rowOff>0</xdr:rowOff>
        </xdr:from>
        <xdr:to>
          <xdr:col>14</xdr:col>
          <xdr:colOff>609600</xdr:colOff>
          <xdr:row>90</xdr:row>
          <xdr:rowOff>28575</xdr:rowOff>
        </xdr:to>
        <xdr:sp macro="" textlink="">
          <xdr:nvSpPr>
            <xdr:cNvPr id="129029" name="Option Button 5" hidden="1">
              <a:extLst>
                <a:ext uri="{63B3BB69-23CF-44E3-9099-C40C66FF867C}">
                  <a14:compatExt spid="_x0000_s129029"/>
                </a:ext>
                <a:ext uri="{FF2B5EF4-FFF2-40B4-BE49-F238E27FC236}">
                  <a16:creationId xmlns:a16="http://schemas.microsoft.com/office/drawing/2014/main" id="{00000000-0008-0000-1200-000005F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88</xdr:row>
          <xdr:rowOff>0</xdr:rowOff>
        </xdr:from>
        <xdr:to>
          <xdr:col>9</xdr:col>
          <xdr:colOff>95250</xdr:colOff>
          <xdr:row>89</xdr:row>
          <xdr:rowOff>85725</xdr:rowOff>
        </xdr:to>
        <xdr:sp macro="" textlink="">
          <xdr:nvSpPr>
            <xdr:cNvPr id="129030" name="Option Button 6" hidden="1">
              <a:extLst>
                <a:ext uri="{63B3BB69-23CF-44E3-9099-C40C66FF867C}">
                  <a14:compatExt spid="_x0000_s129030"/>
                </a:ext>
                <a:ext uri="{FF2B5EF4-FFF2-40B4-BE49-F238E27FC236}">
                  <a16:creationId xmlns:a16="http://schemas.microsoft.com/office/drawing/2014/main" id="{00000000-0008-0000-1200-000006F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88</xdr:row>
          <xdr:rowOff>0</xdr:rowOff>
        </xdr:from>
        <xdr:to>
          <xdr:col>14</xdr:col>
          <xdr:colOff>609600</xdr:colOff>
          <xdr:row>90</xdr:row>
          <xdr:rowOff>28575</xdr:rowOff>
        </xdr:to>
        <xdr:sp macro="" textlink="">
          <xdr:nvSpPr>
            <xdr:cNvPr id="129031" name="Option Button 7" hidden="1">
              <a:extLst>
                <a:ext uri="{63B3BB69-23CF-44E3-9099-C40C66FF867C}">
                  <a14:compatExt spid="_x0000_s129031"/>
                </a:ext>
                <a:ext uri="{FF2B5EF4-FFF2-40B4-BE49-F238E27FC236}">
                  <a16:creationId xmlns:a16="http://schemas.microsoft.com/office/drawing/2014/main" id="{00000000-0008-0000-1200-000007F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88</xdr:row>
          <xdr:rowOff>0</xdr:rowOff>
        </xdr:from>
        <xdr:to>
          <xdr:col>9</xdr:col>
          <xdr:colOff>95250</xdr:colOff>
          <xdr:row>89</xdr:row>
          <xdr:rowOff>85725</xdr:rowOff>
        </xdr:to>
        <xdr:sp macro="" textlink="">
          <xdr:nvSpPr>
            <xdr:cNvPr id="129032" name="Option Button 8" hidden="1">
              <a:extLst>
                <a:ext uri="{63B3BB69-23CF-44E3-9099-C40C66FF867C}">
                  <a14:compatExt spid="_x0000_s129032"/>
                </a:ext>
                <a:ext uri="{FF2B5EF4-FFF2-40B4-BE49-F238E27FC236}">
                  <a16:creationId xmlns:a16="http://schemas.microsoft.com/office/drawing/2014/main" id="{00000000-0008-0000-1200-000008F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88</xdr:row>
          <xdr:rowOff>0</xdr:rowOff>
        </xdr:from>
        <xdr:to>
          <xdr:col>14</xdr:col>
          <xdr:colOff>609600</xdr:colOff>
          <xdr:row>90</xdr:row>
          <xdr:rowOff>28575</xdr:rowOff>
        </xdr:to>
        <xdr:sp macro="" textlink="">
          <xdr:nvSpPr>
            <xdr:cNvPr id="129033" name="Option Button 9" hidden="1">
              <a:extLst>
                <a:ext uri="{63B3BB69-23CF-44E3-9099-C40C66FF867C}">
                  <a14:compatExt spid="_x0000_s129033"/>
                </a:ext>
                <a:ext uri="{FF2B5EF4-FFF2-40B4-BE49-F238E27FC236}">
                  <a16:creationId xmlns:a16="http://schemas.microsoft.com/office/drawing/2014/main" id="{00000000-0008-0000-1200-000009F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88</xdr:row>
          <xdr:rowOff>0</xdr:rowOff>
        </xdr:from>
        <xdr:to>
          <xdr:col>9</xdr:col>
          <xdr:colOff>95250</xdr:colOff>
          <xdr:row>89</xdr:row>
          <xdr:rowOff>85725</xdr:rowOff>
        </xdr:to>
        <xdr:sp macro="" textlink="">
          <xdr:nvSpPr>
            <xdr:cNvPr id="129034" name="Option Button 10" hidden="1">
              <a:extLst>
                <a:ext uri="{63B3BB69-23CF-44E3-9099-C40C66FF867C}">
                  <a14:compatExt spid="_x0000_s129034"/>
                </a:ext>
                <a:ext uri="{FF2B5EF4-FFF2-40B4-BE49-F238E27FC236}">
                  <a16:creationId xmlns:a16="http://schemas.microsoft.com/office/drawing/2014/main" id="{00000000-0008-0000-1200-00000AF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88</xdr:row>
          <xdr:rowOff>0</xdr:rowOff>
        </xdr:from>
        <xdr:to>
          <xdr:col>14</xdr:col>
          <xdr:colOff>609600</xdr:colOff>
          <xdr:row>90</xdr:row>
          <xdr:rowOff>28575</xdr:rowOff>
        </xdr:to>
        <xdr:sp macro="" textlink="">
          <xdr:nvSpPr>
            <xdr:cNvPr id="129035" name="Option Button 11" hidden="1">
              <a:extLst>
                <a:ext uri="{63B3BB69-23CF-44E3-9099-C40C66FF867C}">
                  <a14:compatExt spid="_x0000_s129035"/>
                </a:ext>
                <a:ext uri="{FF2B5EF4-FFF2-40B4-BE49-F238E27FC236}">
                  <a16:creationId xmlns:a16="http://schemas.microsoft.com/office/drawing/2014/main" id="{00000000-0008-0000-1200-00000BF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88</xdr:row>
          <xdr:rowOff>0</xdr:rowOff>
        </xdr:from>
        <xdr:to>
          <xdr:col>9</xdr:col>
          <xdr:colOff>95250</xdr:colOff>
          <xdr:row>89</xdr:row>
          <xdr:rowOff>85725</xdr:rowOff>
        </xdr:to>
        <xdr:sp macro="" textlink="">
          <xdr:nvSpPr>
            <xdr:cNvPr id="129036" name="Option Button 12" hidden="1">
              <a:extLst>
                <a:ext uri="{63B3BB69-23CF-44E3-9099-C40C66FF867C}">
                  <a14:compatExt spid="_x0000_s129036"/>
                </a:ext>
                <a:ext uri="{FF2B5EF4-FFF2-40B4-BE49-F238E27FC236}">
                  <a16:creationId xmlns:a16="http://schemas.microsoft.com/office/drawing/2014/main" id="{00000000-0008-0000-1200-00000CF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561975</xdr:colOff>
          <xdr:row>91</xdr:row>
          <xdr:rowOff>28575</xdr:rowOff>
        </xdr:to>
        <xdr:sp macro="" textlink="">
          <xdr:nvSpPr>
            <xdr:cNvPr id="126979" name="Option Button 3" hidden="1">
              <a:extLst>
                <a:ext uri="{63B3BB69-23CF-44E3-9099-C40C66FF867C}">
                  <a14:compatExt spid="_x0000_s126979"/>
                </a:ext>
                <a:ext uri="{FF2B5EF4-FFF2-40B4-BE49-F238E27FC236}">
                  <a16:creationId xmlns:a16="http://schemas.microsoft.com/office/drawing/2014/main" id="{00000000-0008-0000-1300-000003F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26980" name="Option Button 4" hidden="1">
              <a:extLst>
                <a:ext uri="{63B3BB69-23CF-44E3-9099-C40C66FF867C}">
                  <a14:compatExt spid="_x0000_s126980"/>
                </a:ext>
                <a:ext uri="{FF2B5EF4-FFF2-40B4-BE49-F238E27FC236}">
                  <a16:creationId xmlns:a16="http://schemas.microsoft.com/office/drawing/2014/main" id="{00000000-0008-0000-1300-000004F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561975</xdr:colOff>
          <xdr:row>91</xdr:row>
          <xdr:rowOff>28575</xdr:rowOff>
        </xdr:to>
        <xdr:sp macro="" textlink="">
          <xdr:nvSpPr>
            <xdr:cNvPr id="126981" name="Option Button 5" hidden="1">
              <a:extLst>
                <a:ext uri="{63B3BB69-23CF-44E3-9099-C40C66FF867C}">
                  <a14:compatExt spid="_x0000_s126981"/>
                </a:ext>
                <a:ext uri="{FF2B5EF4-FFF2-40B4-BE49-F238E27FC236}">
                  <a16:creationId xmlns:a16="http://schemas.microsoft.com/office/drawing/2014/main" id="{00000000-0008-0000-1300-000005F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26982" name="Option Button 6" hidden="1">
              <a:extLst>
                <a:ext uri="{63B3BB69-23CF-44E3-9099-C40C66FF867C}">
                  <a14:compatExt spid="_x0000_s126982"/>
                </a:ext>
                <a:ext uri="{FF2B5EF4-FFF2-40B4-BE49-F238E27FC236}">
                  <a16:creationId xmlns:a16="http://schemas.microsoft.com/office/drawing/2014/main" id="{00000000-0008-0000-1300-000006F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561975</xdr:colOff>
          <xdr:row>91</xdr:row>
          <xdr:rowOff>28575</xdr:rowOff>
        </xdr:to>
        <xdr:sp macro="" textlink="">
          <xdr:nvSpPr>
            <xdr:cNvPr id="126983" name="Option Button 7" hidden="1">
              <a:extLst>
                <a:ext uri="{63B3BB69-23CF-44E3-9099-C40C66FF867C}">
                  <a14:compatExt spid="_x0000_s126983"/>
                </a:ext>
                <a:ext uri="{FF2B5EF4-FFF2-40B4-BE49-F238E27FC236}">
                  <a16:creationId xmlns:a16="http://schemas.microsoft.com/office/drawing/2014/main" id="{00000000-0008-0000-1300-000007F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26984" name="Option Button 8" hidden="1">
              <a:extLst>
                <a:ext uri="{63B3BB69-23CF-44E3-9099-C40C66FF867C}">
                  <a14:compatExt spid="_x0000_s126984"/>
                </a:ext>
                <a:ext uri="{FF2B5EF4-FFF2-40B4-BE49-F238E27FC236}">
                  <a16:creationId xmlns:a16="http://schemas.microsoft.com/office/drawing/2014/main" id="{00000000-0008-0000-1300-000008F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561975</xdr:colOff>
          <xdr:row>91</xdr:row>
          <xdr:rowOff>28575</xdr:rowOff>
        </xdr:to>
        <xdr:sp macro="" textlink="">
          <xdr:nvSpPr>
            <xdr:cNvPr id="126985" name="Option Button 9" hidden="1">
              <a:extLst>
                <a:ext uri="{63B3BB69-23CF-44E3-9099-C40C66FF867C}">
                  <a14:compatExt spid="_x0000_s126985"/>
                </a:ext>
                <a:ext uri="{FF2B5EF4-FFF2-40B4-BE49-F238E27FC236}">
                  <a16:creationId xmlns:a16="http://schemas.microsoft.com/office/drawing/2014/main" id="{00000000-0008-0000-1300-000009F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26986" name="Option Button 10" hidden="1">
              <a:extLst>
                <a:ext uri="{63B3BB69-23CF-44E3-9099-C40C66FF867C}">
                  <a14:compatExt spid="_x0000_s126986"/>
                </a:ext>
                <a:ext uri="{FF2B5EF4-FFF2-40B4-BE49-F238E27FC236}">
                  <a16:creationId xmlns:a16="http://schemas.microsoft.com/office/drawing/2014/main" id="{00000000-0008-0000-1300-00000AF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561975</xdr:colOff>
          <xdr:row>91</xdr:row>
          <xdr:rowOff>28575</xdr:rowOff>
        </xdr:to>
        <xdr:sp macro="" textlink="">
          <xdr:nvSpPr>
            <xdr:cNvPr id="126987" name="Option Button 11" hidden="1">
              <a:extLst>
                <a:ext uri="{63B3BB69-23CF-44E3-9099-C40C66FF867C}">
                  <a14:compatExt spid="_x0000_s126987"/>
                </a:ext>
                <a:ext uri="{FF2B5EF4-FFF2-40B4-BE49-F238E27FC236}">
                  <a16:creationId xmlns:a16="http://schemas.microsoft.com/office/drawing/2014/main" id="{00000000-0008-0000-1300-00000BF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26988" name="Option Button 12" hidden="1">
              <a:extLst>
                <a:ext uri="{63B3BB69-23CF-44E3-9099-C40C66FF867C}">
                  <a14:compatExt spid="_x0000_s126988"/>
                </a:ext>
                <a:ext uri="{FF2B5EF4-FFF2-40B4-BE49-F238E27FC236}">
                  <a16:creationId xmlns:a16="http://schemas.microsoft.com/office/drawing/2014/main" id="{00000000-0008-0000-1300-00000CF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600075</xdr:colOff>
          <xdr:row>91</xdr:row>
          <xdr:rowOff>28575</xdr:rowOff>
        </xdr:to>
        <xdr:sp macro="" textlink="">
          <xdr:nvSpPr>
            <xdr:cNvPr id="128003" name="Option Button 3" hidden="1">
              <a:extLst>
                <a:ext uri="{63B3BB69-23CF-44E3-9099-C40C66FF867C}">
                  <a14:compatExt spid="_x0000_s128003"/>
                </a:ext>
                <a:ext uri="{FF2B5EF4-FFF2-40B4-BE49-F238E27FC236}">
                  <a16:creationId xmlns:a16="http://schemas.microsoft.com/office/drawing/2014/main" id="{00000000-0008-0000-1400-000003F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28004" name="Option Button 4" hidden="1">
              <a:extLst>
                <a:ext uri="{63B3BB69-23CF-44E3-9099-C40C66FF867C}">
                  <a14:compatExt spid="_x0000_s128004"/>
                </a:ext>
                <a:ext uri="{FF2B5EF4-FFF2-40B4-BE49-F238E27FC236}">
                  <a16:creationId xmlns:a16="http://schemas.microsoft.com/office/drawing/2014/main" id="{00000000-0008-0000-1400-000004F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600075</xdr:colOff>
          <xdr:row>91</xdr:row>
          <xdr:rowOff>28575</xdr:rowOff>
        </xdr:to>
        <xdr:sp macro="" textlink="">
          <xdr:nvSpPr>
            <xdr:cNvPr id="128005" name="Option Button 5" hidden="1">
              <a:extLst>
                <a:ext uri="{63B3BB69-23CF-44E3-9099-C40C66FF867C}">
                  <a14:compatExt spid="_x0000_s128005"/>
                </a:ext>
                <a:ext uri="{FF2B5EF4-FFF2-40B4-BE49-F238E27FC236}">
                  <a16:creationId xmlns:a16="http://schemas.microsoft.com/office/drawing/2014/main" id="{00000000-0008-0000-1400-000005F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28006" name="Option Button 6" hidden="1">
              <a:extLst>
                <a:ext uri="{63B3BB69-23CF-44E3-9099-C40C66FF867C}">
                  <a14:compatExt spid="_x0000_s128006"/>
                </a:ext>
                <a:ext uri="{FF2B5EF4-FFF2-40B4-BE49-F238E27FC236}">
                  <a16:creationId xmlns:a16="http://schemas.microsoft.com/office/drawing/2014/main" id="{00000000-0008-0000-1400-000006F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600075</xdr:colOff>
          <xdr:row>91</xdr:row>
          <xdr:rowOff>28575</xdr:rowOff>
        </xdr:to>
        <xdr:sp macro="" textlink="">
          <xdr:nvSpPr>
            <xdr:cNvPr id="128007" name="Option Button 7" hidden="1">
              <a:extLst>
                <a:ext uri="{63B3BB69-23CF-44E3-9099-C40C66FF867C}">
                  <a14:compatExt spid="_x0000_s128007"/>
                </a:ext>
                <a:ext uri="{FF2B5EF4-FFF2-40B4-BE49-F238E27FC236}">
                  <a16:creationId xmlns:a16="http://schemas.microsoft.com/office/drawing/2014/main" id="{00000000-0008-0000-1400-000007F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28008" name="Option Button 8" hidden="1">
              <a:extLst>
                <a:ext uri="{63B3BB69-23CF-44E3-9099-C40C66FF867C}">
                  <a14:compatExt spid="_x0000_s128008"/>
                </a:ext>
                <a:ext uri="{FF2B5EF4-FFF2-40B4-BE49-F238E27FC236}">
                  <a16:creationId xmlns:a16="http://schemas.microsoft.com/office/drawing/2014/main" id="{00000000-0008-0000-1400-000008F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600075</xdr:colOff>
          <xdr:row>91</xdr:row>
          <xdr:rowOff>28575</xdr:rowOff>
        </xdr:to>
        <xdr:sp macro="" textlink="">
          <xdr:nvSpPr>
            <xdr:cNvPr id="128009" name="Option Button 9" hidden="1">
              <a:extLst>
                <a:ext uri="{63B3BB69-23CF-44E3-9099-C40C66FF867C}">
                  <a14:compatExt spid="_x0000_s128009"/>
                </a:ext>
                <a:ext uri="{FF2B5EF4-FFF2-40B4-BE49-F238E27FC236}">
                  <a16:creationId xmlns:a16="http://schemas.microsoft.com/office/drawing/2014/main" id="{00000000-0008-0000-1400-000009F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28010" name="Option Button 10" hidden="1">
              <a:extLst>
                <a:ext uri="{63B3BB69-23CF-44E3-9099-C40C66FF867C}">
                  <a14:compatExt spid="_x0000_s128010"/>
                </a:ext>
                <a:ext uri="{FF2B5EF4-FFF2-40B4-BE49-F238E27FC236}">
                  <a16:creationId xmlns:a16="http://schemas.microsoft.com/office/drawing/2014/main" id="{00000000-0008-0000-1400-00000AF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600075</xdr:colOff>
          <xdr:row>91</xdr:row>
          <xdr:rowOff>28575</xdr:rowOff>
        </xdr:to>
        <xdr:sp macro="" textlink="">
          <xdr:nvSpPr>
            <xdr:cNvPr id="128011" name="Option Button 11" hidden="1">
              <a:extLst>
                <a:ext uri="{63B3BB69-23CF-44E3-9099-C40C66FF867C}">
                  <a14:compatExt spid="_x0000_s128011"/>
                </a:ext>
                <a:ext uri="{FF2B5EF4-FFF2-40B4-BE49-F238E27FC236}">
                  <a16:creationId xmlns:a16="http://schemas.microsoft.com/office/drawing/2014/main" id="{00000000-0008-0000-1400-00000BF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28012" name="Option Button 12" hidden="1">
              <a:extLst>
                <a:ext uri="{63B3BB69-23CF-44E3-9099-C40C66FF867C}">
                  <a14:compatExt spid="_x0000_s128012"/>
                </a:ext>
                <a:ext uri="{FF2B5EF4-FFF2-40B4-BE49-F238E27FC236}">
                  <a16:creationId xmlns:a16="http://schemas.microsoft.com/office/drawing/2014/main" id="{00000000-0008-0000-1400-00000CF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609600</xdr:colOff>
          <xdr:row>91</xdr:row>
          <xdr:rowOff>28575</xdr:rowOff>
        </xdr:to>
        <xdr:sp macro="" textlink="">
          <xdr:nvSpPr>
            <xdr:cNvPr id="133123" name="Option Button 3" hidden="1">
              <a:extLst>
                <a:ext uri="{63B3BB69-23CF-44E3-9099-C40C66FF867C}">
                  <a14:compatExt spid="_x0000_s133123"/>
                </a:ext>
                <a:ext uri="{FF2B5EF4-FFF2-40B4-BE49-F238E27FC236}">
                  <a16:creationId xmlns:a16="http://schemas.microsoft.com/office/drawing/2014/main" id="{00000000-0008-0000-1500-000003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33124" name="Option Button 4" hidden="1">
              <a:extLst>
                <a:ext uri="{63B3BB69-23CF-44E3-9099-C40C66FF867C}">
                  <a14:compatExt spid="_x0000_s133124"/>
                </a:ext>
                <a:ext uri="{FF2B5EF4-FFF2-40B4-BE49-F238E27FC236}">
                  <a16:creationId xmlns:a16="http://schemas.microsoft.com/office/drawing/2014/main" id="{00000000-0008-0000-1500-000004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609600</xdr:colOff>
          <xdr:row>91</xdr:row>
          <xdr:rowOff>28575</xdr:rowOff>
        </xdr:to>
        <xdr:sp macro="" textlink="">
          <xdr:nvSpPr>
            <xdr:cNvPr id="133125" name="Option Button 5" hidden="1">
              <a:extLst>
                <a:ext uri="{63B3BB69-23CF-44E3-9099-C40C66FF867C}">
                  <a14:compatExt spid="_x0000_s133125"/>
                </a:ext>
                <a:ext uri="{FF2B5EF4-FFF2-40B4-BE49-F238E27FC236}">
                  <a16:creationId xmlns:a16="http://schemas.microsoft.com/office/drawing/2014/main" id="{00000000-0008-0000-1500-000005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33126" name="Option Button 6" hidden="1">
              <a:extLst>
                <a:ext uri="{63B3BB69-23CF-44E3-9099-C40C66FF867C}">
                  <a14:compatExt spid="_x0000_s133126"/>
                </a:ext>
                <a:ext uri="{FF2B5EF4-FFF2-40B4-BE49-F238E27FC236}">
                  <a16:creationId xmlns:a16="http://schemas.microsoft.com/office/drawing/2014/main" id="{00000000-0008-0000-1500-000006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609600</xdr:colOff>
          <xdr:row>91</xdr:row>
          <xdr:rowOff>28575</xdr:rowOff>
        </xdr:to>
        <xdr:sp macro="" textlink="">
          <xdr:nvSpPr>
            <xdr:cNvPr id="133127" name="Option Button 7" hidden="1">
              <a:extLst>
                <a:ext uri="{63B3BB69-23CF-44E3-9099-C40C66FF867C}">
                  <a14:compatExt spid="_x0000_s133127"/>
                </a:ext>
                <a:ext uri="{FF2B5EF4-FFF2-40B4-BE49-F238E27FC236}">
                  <a16:creationId xmlns:a16="http://schemas.microsoft.com/office/drawing/2014/main" id="{00000000-0008-0000-1500-000007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33128" name="Option Button 8" hidden="1">
              <a:extLst>
                <a:ext uri="{63B3BB69-23CF-44E3-9099-C40C66FF867C}">
                  <a14:compatExt spid="_x0000_s133128"/>
                </a:ext>
                <a:ext uri="{FF2B5EF4-FFF2-40B4-BE49-F238E27FC236}">
                  <a16:creationId xmlns:a16="http://schemas.microsoft.com/office/drawing/2014/main" id="{00000000-0008-0000-1500-000008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609600</xdr:colOff>
          <xdr:row>91</xdr:row>
          <xdr:rowOff>28575</xdr:rowOff>
        </xdr:to>
        <xdr:sp macro="" textlink="">
          <xdr:nvSpPr>
            <xdr:cNvPr id="133129" name="Option Button 9" hidden="1">
              <a:extLst>
                <a:ext uri="{63B3BB69-23CF-44E3-9099-C40C66FF867C}">
                  <a14:compatExt spid="_x0000_s133129"/>
                </a:ext>
                <a:ext uri="{FF2B5EF4-FFF2-40B4-BE49-F238E27FC236}">
                  <a16:creationId xmlns:a16="http://schemas.microsoft.com/office/drawing/2014/main" id="{00000000-0008-0000-1500-000009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33130" name="Option Button 10" hidden="1">
              <a:extLst>
                <a:ext uri="{63B3BB69-23CF-44E3-9099-C40C66FF867C}">
                  <a14:compatExt spid="_x0000_s133130"/>
                </a:ext>
                <a:ext uri="{FF2B5EF4-FFF2-40B4-BE49-F238E27FC236}">
                  <a16:creationId xmlns:a16="http://schemas.microsoft.com/office/drawing/2014/main" id="{00000000-0008-0000-1500-00000A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609600</xdr:colOff>
          <xdr:row>91</xdr:row>
          <xdr:rowOff>28575</xdr:rowOff>
        </xdr:to>
        <xdr:sp macro="" textlink="">
          <xdr:nvSpPr>
            <xdr:cNvPr id="133131" name="Option Button 11" hidden="1">
              <a:extLst>
                <a:ext uri="{63B3BB69-23CF-44E3-9099-C40C66FF867C}">
                  <a14:compatExt spid="_x0000_s133131"/>
                </a:ext>
                <a:ext uri="{FF2B5EF4-FFF2-40B4-BE49-F238E27FC236}">
                  <a16:creationId xmlns:a16="http://schemas.microsoft.com/office/drawing/2014/main" id="{00000000-0008-0000-1500-00000B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33132" name="Option Button 12" hidden="1">
              <a:extLst>
                <a:ext uri="{63B3BB69-23CF-44E3-9099-C40C66FF867C}">
                  <a14:compatExt spid="_x0000_s133132"/>
                </a:ext>
                <a:ext uri="{FF2B5EF4-FFF2-40B4-BE49-F238E27FC236}">
                  <a16:creationId xmlns:a16="http://schemas.microsoft.com/office/drawing/2014/main" id="{00000000-0008-0000-1500-00000C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80</xdr:row>
          <xdr:rowOff>0</xdr:rowOff>
        </xdr:to>
        <xdr:sp macro="" textlink="">
          <xdr:nvSpPr>
            <xdr:cNvPr id="120833" name="Option Button 1" hidden="1">
              <a:extLst>
                <a:ext uri="{63B3BB69-23CF-44E3-9099-C40C66FF867C}">
                  <a14:compatExt spid="_x0000_s120833"/>
                </a:ext>
                <a:ext uri="{FF2B5EF4-FFF2-40B4-BE49-F238E27FC236}">
                  <a16:creationId xmlns:a16="http://schemas.microsoft.com/office/drawing/2014/main" id="{00000000-0008-0000-0400-000001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647700</xdr:colOff>
          <xdr:row>80</xdr:row>
          <xdr:rowOff>0</xdr:rowOff>
        </xdr:to>
        <xdr:sp macro="" textlink="">
          <xdr:nvSpPr>
            <xdr:cNvPr id="120834" name="Option Button 2" hidden="1">
              <a:extLst>
                <a:ext uri="{63B3BB69-23CF-44E3-9099-C40C66FF867C}">
                  <a14:compatExt spid="_x0000_s120834"/>
                </a:ext>
                <a:ext uri="{FF2B5EF4-FFF2-40B4-BE49-F238E27FC236}">
                  <a16:creationId xmlns:a16="http://schemas.microsoft.com/office/drawing/2014/main" id="{00000000-0008-0000-0400-000002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80</xdr:row>
          <xdr:rowOff>0</xdr:rowOff>
        </xdr:to>
        <xdr:sp macro="" textlink="">
          <xdr:nvSpPr>
            <xdr:cNvPr id="120835" name="Option Button 3" hidden="1">
              <a:extLst>
                <a:ext uri="{63B3BB69-23CF-44E3-9099-C40C66FF867C}">
                  <a14:compatExt spid="_x0000_s120835"/>
                </a:ext>
                <a:ext uri="{FF2B5EF4-FFF2-40B4-BE49-F238E27FC236}">
                  <a16:creationId xmlns:a16="http://schemas.microsoft.com/office/drawing/2014/main" id="{00000000-0008-0000-0400-000003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647700</xdr:colOff>
          <xdr:row>80</xdr:row>
          <xdr:rowOff>0</xdr:rowOff>
        </xdr:to>
        <xdr:sp macro="" textlink="">
          <xdr:nvSpPr>
            <xdr:cNvPr id="120836" name="Option Button 4" hidden="1">
              <a:extLst>
                <a:ext uri="{63B3BB69-23CF-44E3-9099-C40C66FF867C}">
                  <a14:compatExt spid="_x0000_s120836"/>
                </a:ext>
                <a:ext uri="{FF2B5EF4-FFF2-40B4-BE49-F238E27FC236}">
                  <a16:creationId xmlns:a16="http://schemas.microsoft.com/office/drawing/2014/main" id="{00000000-0008-0000-0400-000004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80</xdr:row>
          <xdr:rowOff>0</xdr:rowOff>
        </xdr:to>
        <xdr:sp macro="" textlink="">
          <xdr:nvSpPr>
            <xdr:cNvPr id="120837" name="Option Button 5" hidden="1">
              <a:extLst>
                <a:ext uri="{63B3BB69-23CF-44E3-9099-C40C66FF867C}">
                  <a14:compatExt spid="_x0000_s120837"/>
                </a:ext>
                <a:ext uri="{FF2B5EF4-FFF2-40B4-BE49-F238E27FC236}">
                  <a16:creationId xmlns:a16="http://schemas.microsoft.com/office/drawing/2014/main" id="{00000000-0008-0000-0400-000005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647700</xdr:colOff>
          <xdr:row>80</xdr:row>
          <xdr:rowOff>0</xdr:rowOff>
        </xdr:to>
        <xdr:sp macro="" textlink="">
          <xdr:nvSpPr>
            <xdr:cNvPr id="120838" name="Option Button 6" hidden="1">
              <a:extLst>
                <a:ext uri="{63B3BB69-23CF-44E3-9099-C40C66FF867C}">
                  <a14:compatExt spid="_x0000_s120838"/>
                </a:ext>
                <a:ext uri="{FF2B5EF4-FFF2-40B4-BE49-F238E27FC236}">
                  <a16:creationId xmlns:a16="http://schemas.microsoft.com/office/drawing/2014/main" id="{00000000-0008-0000-0400-000006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80</xdr:row>
          <xdr:rowOff>0</xdr:rowOff>
        </xdr:to>
        <xdr:sp macro="" textlink="">
          <xdr:nvSpPr>
            <xdr:cNvPr id="120839" name="Option Button 7" hidden="1">
              <a:extLst>
                <a:ext uri="{63B3BB69-23CF-44E3-9099-C40C66FF867C}">
                  <a14:compatExt spid="_x0000_s120839"/>
                </a:ext>
                <a:ext uri="{FF2B5EF4-FFF2-40B4-BE49-F238E27FC236}">
                  <a16:creationId xmlns:a16="http://schemas.microsoft.com/office/drawing/2014/main" id="{00000000-0008-0000-0400-000007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647700</xdr:colOff>
          <xdr:row>80</xdr:row>
          <xdr:rowOff>0</xdr:rowOff>
        </xdr:to>
        <xdr:sp macro="" textlink="">
          <xdr:nvSpPr>
            <xdr:cNvPr id="120840" name="Option Button 8" hidden="1">
              <a:extLst>
                <a:ext uri="{63B3BB69-23CF-44E3-9099-C40C66FF867C}">
                  <a14:compatExt spid="_x0000_s120840"/>
                </a:ext>
                <a:ext uri="{FF2B5EF4-FFF2-40B4-BE49-F238E27FC236}">
                  <a16:creationId xmlns:a16="http://schemas.microsoft.com/office/drawing/2014/main" id="{00000000-0008-0000-0400-000008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80</xdr:row>
          <xdr:rowOff>0</xdr:rowOff>
        </xdr:to>
        <xdr:sp macro="" textlink="">
          <xdr:nvSpPr>
            <xdr:cNvPr id="120841" name="Option Button 9" hidden="1">
              <a:extLst>
                <a:ext uri="{63B3BB69-23CF-44E3-9099-C40C66FF867C}">
                  <a14:compatExt spid="_x0000_s120841"/>
                </a:ext>
                <a:ext uri="{FF2B5EF4-FFF2-40B4-BE49-F238E27FC236}">
                  <a16:creationId xmlns:a16="http://schemas.microsoft.com/office/drawing/2014/main" id="{00000000-0008-0000-0400-000009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647700</xdr:colOff>
          <xdr:row>80</xdr:row>
          <xdr:rowOff>0</xdr:rowOff>
        </xdr:to>
        <xdr:sp macro="" textlink="">
          <xdr:nvSpPr>
            <xdr:cNvPr id="120842" name="Option Button 10" hidden="1">
              <a:extLst>
                <a:ext uri="{63B3BB69-23CF-44E3-9099-C40C66FF867C}">
                  <a14:compatExt spid="_x0000_s120842"/>
                </a:ext>
                <a:ext uri="{FF2B5EF4-FFF2-40B4-BE49-F238E27FC236}">
                  <a16:creationId xmlns:a16="http://schemas.microsoft.com/office/drawing/2014/main" id="{00000000-0008-0000-0400-00000A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20843" name="Option Button 11" hidden="1">
              <a:extLst>
                <a:ext uri="{63B3BB69-23CF-44E3-9099-C40C66FF867C}">
                  <a14:compatExt spid="_x0000_s120843"/>
                </a:ext>
                <a:ext uri="{FF2B5EF4-FFF2-40B4-BE49-F238E27FC236}">
                  <a16:creationId xmlns:a16="http://schemas.microsoft.com/office/drawing/2014/main" id="{00000000-0008-0000-0400-00000B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647700</xdr:colOff>
          <xdr:row>81</xdr:row>
          <xdr:rowOff>38100</xdr:rowOff>
        </xdr:to>
        <xdr:sp macro="" textlink="">
          <xdr:nvSpPr>
            <xdr:cNvPr id="120844" name="Option Button 12" hidden="1">
              <a:extLst>
                <a:ext uri="{63B3BB69-23CF-44E3-9099-C40C66FF867C}">
                  <a14:compatExt spid="_x0000_s120844"/>
                </a:ext>
                <a:ext uri="{FF2B5EF4-FFF2-40B4-BE49-F238E27FC236}">
                  <a16:creationId xmlns:a16="http://schemas.microsoft.com/office/drawing/2014/main" id="{00000000-0008-0000-0400-00000C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20845" name="Option Button 13" hidden="1">
              <a:extLst>
                <a:ext uri="{63B3BB69-23CF-44E3-9099-C40C66FF867C}">
                  <a14:compatExt spid="_x0000_s120845"/>
                </a:ext>
                <a:ext uri="{FF2B5EF4-FFF2-40B4-BE49-F238E27FC236}">
                  <a16:creationId xmlns:a16="http://schemas.microsoft.com/office/drawing/2014/main" id="{00000000-0008-0000-0400-00000D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647700</xdr:colOff>
          <xdr:row>81</xdr:row>
          <xdr:rowOff>38100</xdr:rowOff>
        </xdr:to>
        <xdr:sp macro="" textlink="">
          <xdr:nvSpPr>
            <xdr:cNvPr id="120846" name="Option Button 14" hidden="1">
              <a:extLst>
                <a:ext uri="{63B3BB69-23CF-44E3-9099-C40C66FF867C}">
                  <a14:compatExt spid="_x0000_s120846"/>
                </a:ext>
                <a:ext uri="{FF2B5EF4-FFF2-40B4-BE49-F238E27FC236}">
                  <a16:creationId xmlns:a16="http://schemas.microsoft.com/office/drawing/2014/main" id="{00000000-0008-0000-0400-00000E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20847" name="Option Button 15" hidden="1">
              <a:extLst>
                <a:ext uri="{63B3BB69-23CF-44E3-9099-C40C66FF867C}">
                  <a14:compatExt spid="_x0000_s120847"/>
                </a:ext>
                <a:ext uri="{FF2B5EF4-FFF2-40B4-BE49-F238E27FC236}">
                  <a16:creationId xmlns:a16="http://schemas.microsoft.com/office/drawing/2014/main" id="{00000000-0008-0000-0400-00000F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647700</xdr:colOff>
          <xdr:row>81</xdr:row>
          <xdr:rowOff>38100</xdr:rowOff>
        </xdr:to>
        <xdr:sp macro="" textlink="">
          <xdr:nvSpPr>
            <xdr:cNvPr id="120848" name="Option Button 16" hidden="1">
              <a:extLst>
                <a:ext uri="{63B3BB69-23CF-44E3-9099-C40C66FF867C}">
                  <a14:compatExt spid="_x0000_s120848"/>
                </a:ext>
                <a:ext uri="{FF2B5EF4-FFF2-40B4-BE49-F238E27FC236}">
                  <a16:creationId xmlns:a16="http://schemas.microsoft.com/office/drawing/2014/main" id="{00000000-0008-0000-0400-000010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20849" name="Option Button 17" hidden="1">
              <a:extLst>
                <a:ext uri="{63B3BB69-23CF-44E3-9099-C40C66FF867C}">
                  <a14:compatExt spid="_x0000_s120849"/>
                </a:ext>
                <a:ext uri="{FF2B5EF4-FFF2-40B4-BE49-F238E27FC236}">
                  <a16:creationId xmlns:a16="http://schemas.microsoft.com/office/drawing/2014/main" id="{00000000-0008-0000-0400-000011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647700</xdr:colOff>
          <xdr:row>81</xdr:row>
          <xdr:rowOff>38100</xdr:rowOff>
        </xdr:to>
        <xdr:sp macro="" textlink="">
          <xdr:nvSpPr>
            <xdr:cNvPr id="120850" name="Option Button 18" hidden="1">
              <a:extLst>
                <a:ext uri="{63B3BB69-23CF-44E3-9099-C40C66FF867C}">
                  <a14:compatExt spid="_x0000_s120850"/>
                </a:ext>
                <a:ext uri="{FF2B5EF4-FFF2-40B4-BE49-F238E27FC236}">
                  <a16:creationId xmlns:a16="http://schemas.microsoft.com/office/drawing/2014/main" id="{00000000-0008-0000-0400-000012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20851" name="Option Button 19" hidden="1">
              <a:extLst>
                <a:ext uri="{63B3BB69-23CF-44E3-9099-C40C66FF867C}">
                  <a14:compatExt spid="_x0000_s120851"/>
                </a:ext>
                <a:ext uri="{FF2B5EF4-FFF2-40B4-BE49-F238E27FC236}">
                  <a16:creationId xmlns:a16="http://schemas.microsoft.com/office/drawing/2014/main" id="{00000000-0008-0000-0400-000013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647700</xdr:colOff>
          <xdr:row>81</xdr:row>
          <xdr:rowOff>38100</xdr:rowOff>
        </xdr:to>
        <xdr:sp macro="" textlink="">
          <xdr:nvSpPr>
            <xdr:cNvPr id="120852" name="Option Button 20" hidden="1">
              <a:extLst>
                <a:ext uri="{63B3BB69-23CF-44E3-9099-C40C66FF867C}">
                  <a14:compatExt spid="_x0000_s120852"/>
                </a:ext>
                <a:ext uri="{FF2B5EF4-FFF2-40B4-BE49-F238E27FC236}">
                  <a16:creationId xmlns:a16="http://schemas.microsoft.com/office/drawing/2014/main" id="{00000000-0008-0000-0400-000014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20853" name="Option Button 21" hidden="1">
              <a:extLst>
                <a:ext uri="{63B3BB69-23CF-44E3-9099-C40C66FF867C}">
                  <a14:compatExt spid="_x0000_s120853"/>
                </a:ext>
                <a:ext uri="{FF2B5EF4-FFF2-40B4-BE49-F238E27FC236}">
                  <a16:creationId xmlns:a16="http://schemas.microsoft.com/office/drawing/2014/main" id="{00000000-0008-0000-0400-000015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647700</xdr:colOff>
          <xdr:row>81</xdr:row>
          <xdr:rowOff>38100</xdr:rowOff>
        </xdr:to>
        <xdr:sp macro="" textlink="">
          <xdr:nvSpPr>
            <xdr:cNvPr id="120854" name="Option Button 22" hidden="1">
              <a:extLst>
                <a:ext uri="{63B3BB69-23CF-44E3-9099-C40C66FF867C}">
                  <a14:compatExt spid="_x0000_s120854"/>
                </a:ext>
                <a:ext uri="{FF2B5EF4-FFF2-40B4-BE49-F238E27FC236}">
                  <a16:creationId xmlns:a16="http://schemas.microsoft.com/office/drawing/2014/main" id="{00000000-0008-0000-0400-000016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20855" name="Option Button 23" hidden="1">
              <a:extLst>
                <a:ext uri="{63B3BB69-23CF-44E3-9099-C40C66FF867C}">
                  <a14:compatExt spid="_x0000_s120855"/>
                </a:ext>
                <a:ext uri="{FF2B5EF4-FFF2-40B4-BE49-F238E27FC236}">
                  <a16:creationId xmlns:a16="http://schemas.microsoft.com/office/drawing/2014/main" id="{00000000-0008-0000-0400-000017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647700</xdr:colOff>
          <xdr:row>81</xdr:row>
          <xdr:rowOff>38100</xdr:rowOff>
        </xdr:to>
        <xdr:sp macro="" textlink="">
          <xdr:nvSpPr>
            <xdr:cNvPr id="120856" name="Option Button 24" hidden="1">
              <a:extLst>
                <a:ext uri="{63B3BB69-23CF-44E3-9099-C40C66FF867C}">
                  <a14:compatExt spid="_x0000_s120856"/>
                </a:ext>
                <a:ext uri="{FF2B5EF4-FFF2-40B4-BE49-F238E27FC236}">
                  <a16:creationId xmlns:a16="http://schemas.microsoft.com/office/drawing/2014/main" id="{00000000-0008-0000-0400-000018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20857" name="Option Button 25" hidden="1">
              <a:extLst>
                <a:ext uri="{63B3BB69-23CF-44E3-9099-C40C66FF867C}">
                  <a14:compatExt spid="_x0000_s120857"/>
                </a:ext>
                <a:ext uri="{FF2B5EF4-FFF2-40B4-BE49-F238E27FC236}">
                  <a16:creationId xmlns:a16="http://schemas.microsoft.com/office/drawing/2014/main" id="{00000000-0008-0000-0400-000019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647700</xdr:colOff>
          <xdr:row>81</xdr:row>
          <xdr:rowOff>38100</xdr:rowOff>
        </xdr:to>
        <xdr:sp macro="" textlink="">
          <xdr:nvSpPr>
            <xdr:cNvPr id="120858" name="Option Button 26" hidden="1">
              <a:extLst>
                <a:ext uri="{63B3BB69-23CF-44E3-9099-C40C66FF867C}">
                  <a14:compatExt spid="_x0000_s120858"/>
                </a:ext>
                <a:ext uri="{FF2B5EF4-FFF2-40B4-BE49-F238E27FC236}">
                  <a16:creationId xmlns:a16="http://schemas.microsoft.com/office/drawing/2014/main" id="{00000000-0008-0000-0400-00001A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20859" name="Option Button 27" hidden="1">
              <a:extLst>
                <a:ext uri="{63B3BB69-23CF-44E3-9099-C40C66FF867C}">
                  <a14:compatExt spid="_x0000_s120859"/>
                </a:ext>
                <a:ext uri="{FF2B5EF4-FFF2-40B4-BE49-F238E27FC236}">
                  <a16:creationId xmlns:a16="http://schemas.microsoft.com/office/drawing/2014/main" id="{00000000-0008-0000-0400-00001B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647700</xdr:colOff>
          <xdr:row>81</xdr:row>
          <xdr:rowOff>38100</xdr:rowOff>
        </xdr:to>
        <xdr:sp macro="" textlink="">
          <xdr:nvSpPr>
            <xdr:cNvPr id="120860" name="Option Button 28" hidden="1">
              <a:extLst>
                <a:ext uri="{63B3BB69-23CF-44E3-9099-C40C66FF867C}">
                  <a14:compatExt spid="_x0000_s120860"/>
                </a:ext>
                <a:ext uri="{FF2B5EF4-FFF2-40B4-BE49-F238E27FC236}">
                  <a16:creationId xmlns:a16="http://schemas.microsoft.com/office/drawing/2014/main" id="{00000000-0008-0000-0400-00001C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20861" name="Option Button 29" hidden="1">
              <a:extLst>
                <a:ext uri="{63B3BB69-23CF-44E3-9099-C40C66FF867C}">
                  <a14:compatExt spid="_x0000_s120861"/>
                </a:ext>
                <a:ext uri="{FF2B5EF4-FFF2-40B4-BE49-F238E27FC236}">
                  <a16:creationId xmlns:a16="http://schemas.microsoft.com/office/drawing/2014/main" id="{00000000-0008-0000-0400-00001D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647700</xdr:colOff>
          <xdr:row>81</xdr:row>
          <xdr:rowOff>38100</xdr:rowOff>
        </xdr:to>
        <xdr:sp macro="" textlink="">
          <xdr:nvSpPr>
            <xdr:cNvPr id="120862" name="Option Button 30" hidden="1">
              <a:extLst>
                <a:ext uri="{63B3BB69-23CF-44E3-9099-C40C66FF867C}">
                  <a14:compatExt spid="_x0000_s120862"/>
                </a:ext>
                <a:ext uri="{FF2B5EF4-FFF2-40B4-BE49-F238E27FC236}">
                  <a16:creationId xmlns:a16="http://schemas.microsoft.com/office/drawing/2014/main" id="{00000000-0008-0000-0400-00001E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20863" name="Option Button 31" hidden="1">
              <a:extLst>
                <a:ext uri="{63B3BB69-23CF-44E3-9099-C40C66FF867C}">
                  <a14:compatExt spid="_x0000_s120863"/>
                </a:ext>
                <a:ext uri="{FF2B5EF4-FFF2-40B4-BE49-F238E27FC236}">
                  <a16:creationId xmlns:a16="http://schemas.microsoft.com/office/drawing/2014/main" id="{00000000-0008-0000-0400-00001F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647700</xdr:colOff>
          <xdr:row>81</xdr:row>
          <xdr:rowOff>38100</xdr:rowOff>
        </xdr:to>
        <xdr:sp macro="" textlink="">
          <xdr:nvSpPr>
            <xdr:cNvPr id="120864" name="Option Button 32" hidden="1">
              <a:extLst>
                <a:ext uri="{63B3BB69-23CF-44E3-9099-C40C66FF867C}">
                  <a14:compatExt spid="_x0000_s120864"/>
                </a:ext>
                <a:ext uri="{FF2B5EF4-FFF2-40B4-BE49-F238E27FC236}">
                  <a16:creationId xmlns:a16="http://schemas.microsoft.com/office/drawing/2014/main" id="{00000000-0008-0000-0400-000020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20865" name="Option Button 33" hidden="1">
              <a:extLst>
                <a:ext uri="{63B3BB69-23CF-44E3-9099-C40C66FF867C}">
                  <a14:compatExt spid="_x0000_s120865"/>
                </a:ext>
                <a:ext uri="{FF2B5EF4-FFF2-40B4-BE49-F238E27FC236}">
                  <a16:creationId xmlns:a16="http://schemas.microsoft.com/office/drawing/2014/main" id="{00000000-0008-0000-0400-000021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20867" name="Option Button 35" hidden="1">
              <a:extLst>
                <a:ext uri="{63B3BB69-23CF-44E3-9099-C40C66FF867C}">
                  <a14:compatExt spid="_x0000_s120867"/>
                </a:ext>
                <a:ext uri="{FF2B5EF4-FFF2-40B4-BE49-F238E27FC236}">
                  <a16:creationId xmlns:a16="http://schemas.microsoft.com/office/drawing/2014/main" id="{00000000-0008-0000-0400-000023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628650</xdr:colOff>
          <xdr:row>91</xdr:row>
          <xdr:rowOff>28575</xdr:rowOff>
        </xdr:to>
        <xdr:sp macro="" textlink="">
          <xdr:nvSpPr>
            <xdr:cNvPr id="134147" name="Option Button 3" hidden="1">
              <a:extLst>
                <a:ext uri="{63B3BB69-23CF-44E3-9099-C40C66FF867C}">
                  <a14:compatExt spid="_x0000_s134147"/>
                </a:ext>
                <a:ext uri="{FF2B5EF4-FFF2-40B4-BE49-F238E27FC236}">
                  <a16:creationId xmlns:a16="http://schemas.microsoft.com/office/drawing/2014/main" id="{00000000-0008-0000-1600-0000030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34148" name="Option Button 4" hidden="1">
              <a:extLst>
                <a:ext uri="{63B3BB69-23CF-44E3-9099-C40C66FF867C}">
                  <a14:compatExt spid="_x0000_s134148"/>
                </a:ext>
                <a:ext uri="{FF2B5EF4-FFF2-40B4-BE49-F238E27FC236}">
                  <a16:creationId xmlns:a16="http://schemas.microsoft.com/office/drawing/2014/main" id="{00000000-0008-0000-1600-0000040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628650</xdr:colOff>
          <xdr:row>91</xdr:row>
          <xdr:rowOff>28575</xdr:rowOff>
        </xdr:to>
        <xdr:sp macro="" textlink="">
          <xdr:nvSpPr>
            <xdr:cNvPr id="134149" name="Option Button 5" hidden="1">
              <a:extLst>
                <a:ext uri="{63B3BB69-23CF-44E3-9099-C40C66FF867C}">
                  <a14:compatExt spid="_x0000_s134149"/>
                </a:ext>
                <a:ext uri="{FF2B5EF4-FFF2-40B4-BE49-F238E27FC236}">
                  <a16:creationId xmlns:a16="http://schemas.microsoft.com/office/drawing/2014/main" id="{00000000-0008-0000-1600-0000050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34150" name="Option Button 6" hidden="1">
              <a:extLst>
                <a:ext uri="{63B3BB69-23CF-44E3-9099-C40C66FF867C}">
                  <a14:compatExt spid="_x0000_s134150"/>
                </a:ext>
                <a:ext uri="{FF2B5EF4-FFF2-40B4-BE49-F238E27FC236}">
                  <a16:creationId xmlns:a16="http://schemas.microsoft.com/office/drawing/2014/main" id="{00000000-0008-0000-1600-0000060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628650</xdr:colOff>
          <xdr:row>91</xdr:row>
          <xdr:rowOff>28575</xdr:rowOff>
        </xdr:to>
        <xdr:sp macro="" textlink="">
          <xdr:nvSpPr>
            <xdr:cNvPr id="134151" name="Option Button 7" hidden="1">
              <a:extLst>
                <a:ext uri="{63B3BB69-23CF-44E3-9099-C40C66FF867C}">
                  <a14:compatExt spid="_x0000_s134151"/>
                </a:ext>
                <a:ext uri="{FF2B5EF4-FFF2-40B4-BE49-F238E27FC236}">
                  <a16:creationId xmlns:a16="http://schemas.microsoft.com/office/drawing/2014/main" id="{00000000-0008-0000-1600-0000070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34152" name="Option Button 8" hidden="1">
              <a:extLst>
                <a:ext uri="{63B3BB69-23CF-44E3-9099-C40C66FF867C}">
                  <a14:compatExt spid="_x0000_s134152"/>
                </a:ext>
                <a:ext uri="{FF2B5EF4-FFF2-40B4-BE49-F238E27FC236}">
                  <a16:creationId xmlns:a16="http://schemas.microsoft.com/office/drawing/2014/main" id="{00000000-0008-0000-1600-0000080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628650</xdr:colOff>
          <xdr:row>91</xdr:row>
          <xdr:rowOff>28575</xdr:rowOff>
        </xdr:to>
        <xdr:sp macro="" textlink="">
          <xdr:nvSpPr>
            <xdr:cNvPr id="134153" name="Option Button 9" hidden="1">
              <a:extLst>
                <a:ext uri="{63B3BB69-23CF-44E3-9099-C40C66FF867C}">
                  <a14:compatExt spid="_x0000_s134153"/>
                </a:ext>
                <a:ext uri="{FF2B5EF4-FFF2-40B4-BE49-F238E27FC236}">
                  <a16:creationId xmlns:a16="http://schemas.microsoft.com/office/drawing/2014/main" id="{00000000-0008-0000-1600-0000090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34154" name="Option Button 10" hidden="1">
              <a:extLst>
                <a:ext uri="{63B3BB69-23CF-44E3-9099-C40C66FF867C}">
                  <a14:compatExt spid="_x0000_s134154"/>
                </a:ext>
                <a:ext uri="{FF2B5EF4-FFF2-40B4-BE49-F238E27FC236}">
                  <a16:creationId xmlns:a16="http://schemas.microsoft.com/office/drawing/2014/main" id="{00000000-0008-0000-1600-00000A0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628650</xdr:colOff>
          <xdr:row>91</xdr:row>
          <xdr:rowOff>28575</xdr:rowOff>
        </xdr:to>
        <xdr:sp macro="" textlink="">
          <xdr:nvSpPr>
            <xdr:cNvPr id="134155" name="Option Button 11" hidden="1">
              <a:extLst>
                <a:ext uri="{63B3BB69-23CF-44E3-9099-C40C66FF867C}">
                  <a14:compatExt spid="_x0000_s134155"/>
                </a:ext>
                <a:ext uri="{FF2B5EF4-FFF2-40B4-BE49-F238E27FC236}">
                  <a16:creationId xmlns:a16="http://schemas.microsoft.com/office/drawing/2014/main" id="{00000000-0008-0000-1600-00000B0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34156" name="Option Button 12" hidden="1">
              <a:extLst>
                <a:ext uri="{63B3BB69-23CF-44E3-9099-C40C66FF867C}">
                  <a14:compatExt spid="_x0000_s134156"/>
                </a:ext>
                <a:ext uri="{FF2B5EF4-FFF2-40B4-BE49-F238E27FC236}">
                  <a16:creationId xmlns:a16="http://schemas.microsoft.com/office/drawing/2014/main" id="{00000000-0008-0000-1600-00000C0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82</xdr:row>
          <xdr:rowOff>0</xdr:rowOff>
        </xdr:from>
        <xdr:to>
          <xdr:col>17</xdr:col>
          <xdr:colOff>190500</xdr:colOff>
          <xdr:row>82</xdr:row>
          <xdr:rowOff>0</xdr:rowOff>
        </xdr:to>
        <xdr:sp macro="" textlink="">
          <xdr:nvSpPr>
            <xdr:cNvPr id="138241" name="Option Button 1" hidden="1">
              <a:extLst>
                <a:ext uri="{63B3BB69-23CF-44E3-9099-C40C66FF867C}">
                  <a14:compatExt spid="_x0000_s138241"/>
                </a:ext>
                <a:ext uri="{FF2B5EF4-FFF2-40B4-BE49-F238E27FC236}">
                  <a16:creationId xmlns:a16="http://schemas.microsoft.com/office/drawing/2014/main" id="{00000000-0008-0000-1700-000001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82</xdr:row>
          <xdr:rowOff>0</xdr:rowOff>
        </xdr:from>
        <xdr:to>
          <xdr:col>9</xdr:col>
          <xdr:colOff>600075</xdr:colOff>
          <xdr:row>82</xdr:row>
          <xdr:rowOff>0</xdr:rowOff>
        </xdr:to>
        <xdr:sp macro="" textlink="">
          <xdr:nvSpPr>
            <xdr:cNvPr id="138242" name="Option Button 2" hidden="1">
              <a:extLst>
                <a:ext uri="{63B3BB69-23CF-44E3-9099-C40C66FF867C}">
                  <a14:compatExt spid="_x0000_s138242"/>
                </a:ext>
                <a:ext uri="{FF2B5EF4-FFF2-40B4-BE49-F238E27FC236}">
                  <a16:creationId xmlns:a16="http://schemas.microsoft.com/office/drawing/2014/main" id="{00000000-0008-0000-1700-000002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82</xdr:row>
          <xdr:rowOff>0</xdr:rowOff>
        </xdr:from>
        <xdr:to>
          <xdr:col>17</xdr:col>
          <xdr:colOff>190500</xdr:colOff>
          <xdr:row>82</xdr:row>
          <xdr:rowOff>0</xdr:rowOff>
        </xdr:to>
        <xdr:sp macro="" textlink="">
          <xdr:nvSpPr>
            <xdr:cNvPr id="138243" name="Option Button 3" hidden="1">
              <a:extLst>
                <a:ext uri="{63B3BB69-23CF-44E3-9099-C40C66FF867C}">
                  <a14:compatExt spid="_x0000_s138243"/>
                </a:ext>
                <a:ext uri="{FF2B5EF4-FFF2-40B4-BE49-F238E27FC236}">
                  <a16:creationId xmlns:a16="http://schemas.microsoft.com/office/drawing/2014/main" id="{00000000-0008-0000-1700-000003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82</xdr:row>
          <xdr:rowOff>0</xdr:rowOff>
        </xdr:from>
        <xdr:to>
          <xdr:col>9</xdr:col>
          <xdr:colOff>600075</xdr:colOff>
          <xdr:row>82</xdr:row>
          <xdr:rowOff>0</xdr:rowOff>
        </xdr:to>
        <xdr:sp macro="" textlink="">
          <xdr:nvSpPr>
            <xdr:cNvPr id="138244" name="Option Button 4" hidden="1">
              <a:extLst>
                <a:ext uri="{63B3BB69-23CF-44E3-9099-C40C66FF867C}">
                  <a14:compatExt spid="_x0000_s138244"/>
                </a:ext>
                <a:ext uri="{FF2B5EF4-FFF2-40B4-BE49-F238E27FC236}">
                  <a16:creationId xmlns:a16="http://schemas.microsoft.com/office/drawing/2014/main" id="{00000000-0008-0000-1700-000004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82</xdr:row>
          <xdr:rowOff>0</xdr:rowOff>
        </xdr:from>
        <xdr:to>
          <xdr:col>17</xdr:col>
          <xdr:colOff>190500</xdr:colOff>
          <xdr:row>82</xdr:row>
          <xdr:rowOff>0</xdr:rowOff>
        </xdr:to>
        <xdr:sp macro="" textlink="">
          <xdr:nvSpPr>
            <xdr:cNvPr id="138245" name="Option Button 5" hidden="1">
              <a:extLst>
                <a:ext uri="{63B3BB69-23CF-44E3-9099-C40C66FF867C}">
                  <a14:compatExt spid="_x0000_s138245"/>
                </a:ext>
                <a:ext uri="{FF2B5EF4-FFF2-40B4-BE49-F238E27FC236}">
                  <a16:creationId xmlns:a16="http://schemas.microsoft.com/office/drawing/2014/main" id="{00000000-0008-0000-1700-000005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82</xdr:row>
          <xdr:rowOff>0</xdr:rowOff>
        </xdr:from>
        <xdr:to>
          <xdr:col>9</xdr:col>
          <xdr:colOff>600075</xdr:colOff>
          <xdr:row>82</xdr:row>
          <xdr:rowOff>0</xdr:rowOff>
        </xdr:to>
        <xdr:sp macro="" textlink="">
          <xdr:nvSpPr>
            <xdr:cNvPr id="138246" name="Option Button 6" hidden="1">
              <a:extLst>
                <a:ext uri="{63B3BB69-23CF-44E3-9099-C40C66FF867C}">
                  <a14:compatExt spid="_x0000_s138246"/>
                </a:ext>
                <a:ext uri="{FF2B5EF4-FFF2-40B4-BE49-F238E27FC236}">
                  <a16:creationId xmlns:a16="http://schemas.microsoft.com/office/drawing/2014/main" id="{00000000-0008-0000-1700-000006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82</xdr:row>
          <xdr:rowOff>0</xdr:rowOff>
        </xdr:from>
        <xdr:to>
          <xdr:col>17</xdr:col>
          <xdr:colOff>190500</xdr:colOff>
          <xdr:row>82</xdr:row>
          <xdr:rowOff>0</xdr:rowOff>
        </xdr:to>
        <xdr:sp macro="" textlink="">
          <xdr:nvSpPr>
            <xdr:cNvPr id="138247" name="Option Button 7" hidden="1">
              <a:extLst>
                <a:ext uri="{63B3BB69-23CF-44E3-9099-C40C66FF867C}">
                  <a14:compatExt spid="_x0000_s138247"/>
                </a:ext>
                <a:ext uri="{FF2B5EF4-FFF2-40B4-BE49-F238E27FC236}">
                  <a16:creationId xmlns:a16="http://schemas.microsoft.com/office/drawing/2014/main" id="{00000000-0008-0000-1700-000007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82</xdr:row>
          <xdr:rowOff>0</xdr:rowOff>
        </xdr:from>
        <xdr:to>
          <xdr:col>9</xdr:col>
          <xdr:colOff>600075</xdr:colOff>
          <xdr:row>82</xdr:row>
          <xdr:rowOff>0</xdr:rowOff>
        </xdr:to>
        <xdr:sp macro="" textlink="">
          <xdr:nvSpPr>
            <xdr:cNvPr id="138248" name="Option Button 8" hidden="1">
              <a:extLst>
                <a:ext uri="{63B3BB69-23CF-44E3-9099-C40C66FF867C}">
                  <a14:compatExt spid="_x0000_s138248"/>
                </a:ext>
                <a:ext uri="{FF2B5EF4-FFF2-40B4-BE49-F238E27FC236}">
                  <a16:creationId xmlns:a16="http://schemas.microsoft.com/office/drawing/2014/main" id="{00000000-0008-0000-1700-000008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82</xdr:row>
          <xdr:rowOff>0</xdr:rowOff>
        </xdr:from>
        <xdr:to>
          <xdr:col>17</xdr:col>
          <xdr:colOff>190500</xdr:colOff>
          <xdr:row>82</xdr:row>
          <xdr:rowOff>0</xdr:rowOff>
        </xdr:to>
        <xdr:sp macro="" textlink="">
          <xdr:nvSpPr>
            <xdr:cNvPr id="138249" name="Option Button 9" hidden="1">
              <a:extLst>
                <a:ext uri="{63B3BB69-23CF-44E3-9099-C40C66FF867C}">
                  <a14:compatExt spid="_x0000_s138249"/>
                </a:ext>
                <a:ext uri="{FF2B5EF4-FFF2-40B4-BE49-F238E27FC236}">
                  <a16:creationId xmlns:a16="http://schemas.microsoft.com/office/drawing/2014/main" id="{00000000-0008-0000-1700-000009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82</xdr:row>
          <xdr:rowOff>0</xdr:rowOff>
        </xdr:from>
        <xdr:to>
          <xdr:col>9</xdr:col>
          <xdr:colOff>600075</xdr:colOff>
          <xdr:row>82</xdr:row>
          <xdr:rowOff>0</xdr:rowOff>
        </xdr:to>
        <xdr:sp macro="" textlink="">
          <xdr:nvSpPr>
            <xdr:cNvPr id="138250" name="Option Button 10" hidden="1">
              <a:extLst>
                <a:ext uri="{63B3BB69-23CF-44E3-9099-C40C66FF867C}">
                  <a14:compatExt spid="_x0000_s138250"/>
                </a:ext>
                <a:ext uri="{FF2B5EF4-FFF2-40B4-BE49-F238E27FC236}">
                  <a16:creationId xmlns:a16="http://schemas.microsoft.com/office/drawing/2014/main" id="{00000000-0008-0000-1700-00000A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83</xdr:row>
          <xdr:rowOff>9525</xdr:rowOff>
        </xdr:to>
        <xdr:sp macro="" textlink="">
          <xdr:nvSpPr>
            <xdr:cNvPr id="138251" name="Option Button 11" hidden="1">
              <a:extLst>
                <a:ext uri="{63B3BB69-23CF-44E3-9099-C40C66FF867C}">
                  <a14:compatExt spid="_x0000_s138251"/>
                </a:ext>
                <a:ext uri="{FF2B5EF4-FFF2-40B4-BE49-F238E27FC236}">
                  <a16:creationId xmlns:a16="http://schemas.microsoft.com/office/drawing/2014/main" id="{00000000-0008-0000-1700-00000B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600075</xdr:colOff>
          <xdr:row>82</xdr:row>
          <xdr:rowOff>38100</xdr:rowOff>
        </xdr:to>
        <xdr:sp macro="" textlink="">
          <xdr:nvSpPr>
            <xdr:cNvPr id="138252" name="Option Button 12" hidden="1">
              <a:extLst>
                <a:ext uri="{63B3BB69-23CF-44E3-9099-C40C66FF867C}">
                  <a14:compatExt spid="_x0000_s138252"/>
                </a:ext>
                <a:ext uri="{FF2B5EF4-FFF2-40B4-BE49-F238E27FC236}">
                  <a16:creationId xmlns:a16="http://schemas.microsoft.com/office/drawing/2014/main" id="{00000000-0008-0000-1700-00000C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83</xdr:row>
          <xdr:rowOff>9525</xdr:rowOff>
        </xdr:to>
        <xdr:sp macro="" textlink="">
          <xdr:nvSpPr>
            <xdr:cNvPr id="138253" name="Option Button 13" hidden="1">
              <a:extLst>
                <a:ext uri="{63B3BB69-23CF-44E3-9099-C40C66FF867C}">
                  <a14:compatExt spid="_x0000_s138253"/>
                </a:ext>
                <a:ext uri="{FF2B5EF4-FFF2-40B4-BE49-F238E27FC236}">
                  <a16:creationId xmlns:a16="http://schemas.microsoft.com/office/drawing/2014/main" id="{00000000-0008-0000-1700-00000D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600075</xdr:colOff>
          <xdr:row>82</xdr:row>
          <xdr:rowOff>38100</xdr:rowOff>
        </xdr:to>
        <xdr:sp macro="" textlink="">
          <xdr:nvSpPr>
            <xdr:cNvPr id="138254" name="Option Button 14" hidden="1">
              <a:extLst>
                <a:ext uri="{63B3BB69-23CF-44E3-9099-C40C66FF867C}">
                  <a14:compatExt spid="_x0000_s138254"/>
                </a:ext>
                <a:ext uri="{FF2B5EF4-FFF2-40B4-BE49-F238E27FC236}">
                  <a16:creationId xmlns:a16="http://schemas.microsoft.com/office/drawing/2014/main" id="{00000000-0008-0000-1700-00000E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83</xdr:row>
          <xdr:rowOff>9525</xdr:rowOff>
        </xdr:to>
        <xdr:sp macro="" textlink="">
          <xdr:nvSpPr>
            <xdr:cNvPr id="138255" name="Option Button 15" hidden="1">
              <a:extLst>
                <a:ext uri="{63B3BB69-23CF-44E3-9099-C40C66FF867C}">
                  <a14:compatExt spid="_x0000_s138255"/>
                </a:ext>
                <a:ext uri="{FF2B5EF4-FFF2-40B4-BE49-F238E27FC236}">
                  <a16:creationId xmlns:a16="http://schemas.microsoft.com/office/drawing/2014/main" id="{00000000-0008-0000-1700-00000F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600075</xdr:colOff>
          <xdr:row>82</xdr:row>
          <xdr:rowOff>38100</xdr:rowOff>
        </xdr:to>
        <xdr:sp macro="" textlink="">
          <xdr:nvSpPr>
            <xdr:cNvPr id="138256" name="Option Button 16" hidden="1">
              <a:extLst>
                <a:ext uri="{63B3BB69-23CF-44E3-9099-C40C66FF867C}">
                  <a14:compatExt spid="_x0000_s138256"/>
                </a:ext>
                <a:ext uri="{FF2B5EF4-FFF2-40B4-BE49-F238E27FC236}">
                  <a16:creationId xmlns:a16="http://schemas.microsoft.com/office/drawing/2014/main" id="{00000000-0008-0000-1700-000010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83</xdr:row>
          <xdr:rowOff>9525</xdr:rowOff>
        </xdr:to>
        <xdr:sp macro="" textlink="">
          <xdr:nvSpPr>
            <xdr:cNvPr id="138257" name="Option Button 17" hidden="1">
              <a:extLst>
                <a:ext uri="{63B3BB69-23CF-44E3-9099-C40C66FF867C}">
                  <a14:compatExt spid="_x0000_s138257"/>
                </a:ext>
                <a:ext uri="{FF2B5EF4-FFF2-40B4-BE49-F238E27FC236}">
                  <a16:creationId xmlns:a16="http://schemas.microsoft.com/office/drawing/2014/main" id="{00000000-0008-0000-1700-000011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600075</xdr:colOff>
          <xdr:row>82</xdr:row>
          <xdr:rowOff>38100</xdr:rowOff>
        </xdr:to>
        <xdr:sp macro="" textlink="">
          <xdr:nvSpPr>
            <xdr:cNvPr id="138258" name="Option Button 18" hidden="1">
              <a:extLst>
                <a:ext uri="{63B3BB69-23CF-44E3-9099-C40C66FF867C}">
                  <a14:compatExt spid="_x0000_s138258"/>
                </a:ext>
                <a:ext uri="{FF2B5EF4-FFF2-40B4-BE49-F238E27FC236}">
                  <a16:creationId xmlns:a16="http://schemas.microsoft.com/office/drawing/2014/main" id="{00000000-0008-0000-1700-000012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83</xdr:row>
          <xdr:rowOff>9525</xdr:rowOff>
        </xdr:to>
        <xdr:sp macro="" textlink="">
          <xdr:nvSpPr>
            <xdr:cNvPr id="138259" name="Option Button 19" hidden="1">
              <a:extLst>
                <a:ext uri="{63B3BB69-23CF-44E3-9099-C40C66FF867C}">
                  <a14:compatExt spid="_x0000_s138259"/>
                </a:ext>
                <a:ext uri="{FF2B5EF4-FFF2-40B4-BE49-F238E27FC236}">
                  <a16:creationId xmlns:a16="http://schemas.microsoft.com/office/drawing/2014/main" id="{00000000-0008-0000-1700-000013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600075</xdr:colOff>
          <xdr:row>82</xdr:row>
          <xdr:rowOff>38100</xdr:rowOff>
        </xdr:to>
        <xdr:sp macro="" textlink="">
          <xdr:nvSpPr>
            <xdr:cNvPr id="138260" name="Option Button 20" hidden="1">
              <a:extLst>
                <a:ext uri="{63B3BB69-23CF-44E3-9099-C40C66FF867C}">
                  <a14:compatExt spid="_x0000_s138260"/>
                </a:ext>
                <a:ext uri="{FF2B5EF4-FFF2-40B4-BE49-F238E27FC236}">
                  <a16:creationId xmlns:a16="http://schemas.microsoft.com/office/drawing/2014/main" id="{00000000-0008-0000-1700-000014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83</xdr:row>
          <xdr:rowOff>9525</xdr:rowOff>
        </xdr:to>
        <xdr:sp macro="" textlink="">
          <xdr:nvSpPr>
            <xdr:cNvPr id="138261" name="Option Button 21" hidden="1">
              <a:extLst>
                <a:ext uri="{63B3BB69-23CF-44E3-9099-C40C66FF867C}">
                  <a14:compatExt spid="_x0000_s138261"/>
                </a:ext>
                <a:ext uri="{FF2B5EF4-FFF2-40B4-BE49-F238E27FC236}">
                  <a16:creationId xmlns:a16="http://schemas.microsoft.com/office/drawing/2014/main" id="{00000000-0008-0000-1700-000015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600075</xdr:colOff>
          <xdr:row>82</xdr:row>
          <xdr:rowOff>38100</xdr:rowOff>
        </xdr:to>
        <xdr:sp macro="" textlink="">
          <xdr:nvSpPr>
            <xdr:cNvPr id="138262" name="Option Button 22" hidden="1">
              <a:extLst>
                <a:ext uri="{63B3BB69-23CF-44E3-9099-C40C66FF867C}">
                  <a14:compatExt spid="_x0000_s138262"/>
                </a:ext>
                <a:ext uri="{FF2B5EF4-FFF2-40B4-BE49-F238E27FC236}">
                  <a16:creationId xmlns:a16="http://schemas.microsoft.com/office/drawing/2014/main" id="{00000000-0008-0000-1700-000016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83</xdr:row>
          <xdr:rowOff>9525</xdr:rowOff>
        </xdr:to>
        <xdr:sp macro="" textlink="">
          <xdr:nvSpPr>
            <xdr:cNvPr id="138263" name="Option Button 23" hidden="1">
              <a:extLst>
                <a:ext uri="{63B3BB69-23CF-44E3-9099-C40C66FF867C}">
                  <a14:compatExt spid="_x0000_s138263"/>
                </a:ext>
                <a:ext uri="{FF2B5EF4-FFF2-40B4-BE49-F238E27FC236}">
                  <a16:creationId xmlns:a16="http://schemas.microsoft.com/office/drawing/2014/main" id="{00000000-0008-0000-1700-000017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600075</xdr:colOff>
          <xdr:row>82</xdr:row>
          <xdr:rowOff>38100</xdr:rowOff>
        </xdr:to>
        <xdr:sp macro="" textlink="">
          <xdr:nvSpPr>
            <xdr:cNvPr id="138264" name="Option Button 24" hidden="1">
              <a:extLst>
                <a:ext uri="{63B3BB69-23CF-44E3-9099-C40C66FF867C}">
                  <a14:compatExt spid="_x0000_s138264"/>
                </a:ext>
                <a:ext uri="{FF2B5EF4-FFF2-40B4-BE49-F238E27FC236}">
                  <a16:creationId xmlns:a16="http://schemas.microsoft.com/office/drawing/2014/main" id="{00000000-0008-0000-1700-000018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83</xdr:row>
          <xdr:rowOff>9525</xdr:rowOff>
        </xdr:to>
        <xdr:sp macro="" textlink="">
          <xdr:nvSpPr>
            <xdr:cNvPr id="138265" name="Option Button 25" hidden="1">
              <a:extLst>
                <a:ext uri="{63B3BB69-23CF-44E3-9099-C40C66FF867C}">
                  <a14:compatExt spid="_x0000_s138265"/>
                </a:ext>
                <a:ext uri="{FF2B5EF4-FFF2-40B4-BE49-F238E27FC236}">
                  <a16:creationId xmlns:a16="http://schemas.microsoft.com/office/drawing/2014/main" id="{00000000-0008-0000-1700-000019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600075</xdr:colOff>
          <xdr:row>82</xdr:row>
          <xdr:rowOff>38100</xdr:rowOff>
        </xdr:to>
        <xdr:sp macro="" textlink="">
          <xdr:nvSpPr>
            <xdr:cNvPr id="138266" name="Option Button 26" hidden="1">
              <a:extLst>
                <a:ext uri="{63B3BB69-23CF-44E3-9099-C40C66FF867C}">
                  <a14:compatExt spid="_x0000_s138266"/>
                </a:ext>
                <a:ext uri="{FF2B5EF4-FFF2-40B4-BE49-F238E27FC236}">
                  <a16:creationId xmlns:a16="http://schemas.microsoft.com/office/drawing/2014/main" id="{00000000-0008-0000-1700-00001A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83</xdr:row>
          <xdr:rowOff>9525</xdr:rowOff>
        </xdr:to>
        <xdr:sp macro="" textlink="">
          <xdr:nvSpPr>
            <xdr:cNvPr id="138267" name="Option Button 27" hidden="1">
              <a:extLst>
                <a:ext uri="{63B3BB69-23CF-44E3-9099-C40C66FF867C}">
                  <a14:compatExt spid="_x0000_s138267"/>
                </a:ext>
                <a:ext uri="{FF2B5EF4-FFF2-40B4-BE49-F238E27FC236}">
                  <a16:creationId xmlns:a16="http://schemas.microsoft.com/office/drawing/2014/main" id="{00000000-0008-0000-1700-00001B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600075</xdr:colOff>
          <xdr:row>82</xdr:row>
          <xdr:rowOff>38100</xdr:rowOff>
        </xdr:to>
        <xdr:sp macro="" textlink="">
          <xdr:nvSpPr>
            <xdr:cNvPr id="138268" name="Option Button 28" hidden="1">
              <a:extLst>
                <a:ext uri="{63B3BB69-23CF-44E3-9099-C40C66FF867C}">
                  <a14:compatExt spid="_x0000_s138268"/>
                </a:ext>
                <a:ext uri="{FF2B5EF4-FFF2-40B4-BE49-F238E27FC236}">
                  <a16:creationId xmlns:a16="http://schemas.microsoft.com/office/drawing/2014/main" id="{00000000-0008-0000-1700-00001C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83</xdr:row>
          <xdr:rowOff>9525</xdr:rowOff>
        </xdr:to>
        <xdr:sp macro="" textlink="">
          <xdr:nvSpPr>
            <xdr:cNvPr id="138269" name="Option Button 29" hidden="1">
              <a:extLst>
                <a:ext uri="{63B3BB69-23CF-44E3-9099-C40C66FF867C}">
                  <a14:compatExt spid="_x0000_s138269"/>
                </a:ext>
                <a:ext uri="{FF2B5EF4-FFF2-40B4-BE49-F238E27FC236}">
                  <a16:creationId xmlns:a16="http://schemas.microsoft.com/office/drawing/2014/main" id="{00000000-0008-0000-1700-00001D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600075</xdr:colOff>
          <xdr:row>82</xdr:row>
          <xdr:rowOff>38100</xdr:rowOff>
        </xdr:to>
        <xdr:sp macro="" textlink="">
          <xdr:nvSpPr>
            <xdr:cNvPr id="138270" name="Option Button 30" hidden="1">
              <a:extLst>
                <a:ext uri="{63B3BB69-23CF-44E3-9099-C40C66FF867C}">
                  <a14:compatExt spid="_x0000_s138270"/>
                </a:ext>
                <a:ext uri="{FF2B5EF4-FFF2-40B4-BE49-F238E27FC236}">
                  <a16:creationId xmlns:a16="http://schemas.microsoft.com/office/drawing/2014/main" id="{00000000-0008-0000-1700-00001E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83</xdr:row>
          <xdr:rowOff>9525</xdr:rowOff>
        </xdr:to>
        <xdr:sp macro="" textlink="">
          <xdr:nvSpPr>
            <xdr:cNvPr id="138271" name="Option Button 31" hidden="1">
              <a:extLst>
                <a:ext uri="{63B3BB69-23CF-44E3-9099-C40C66FF867C}">
                  <a14:compatExt spid="_x0000_s138271"/>
                </a:ext>
                <a:ext uri="{FF2B5EF4-FFF2-40B4-BE49-F238E27FC236}">
                  <a16:creationId xmlns:a16="http://schemas.microsoft.com/office/drawing/2014/main" id="{00000000-0008-0000-1700-00001F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83</xdr:row>
          <xdr:rowOff>9525</xdr:rowOff>
        </xdr:to>
        <xdr:sp macro="" textlink="">
          <xdr:nvSpPr>
            <xdr:cNvPr id="138272" name="Option Button 32" hidden="1">
              <a:extLst>
                <a:ext uri="{63B3BB69-23CF-44E3-9099-C40C66FF867C}">
                  <a14:compatExt spid="_x0000_s138272"/>
                </a:ext>
                <a:ext uri="{FF2B5EF4-FFF2-40B4-BE49-F238E27FC236}">
                  <a16:creationId xmlns:a16="http://schemas.microsoft.com/office/drawing/2014/main" id="{00000000-0008-0000-1700-000020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83</xdr:row>
          <xdr:rowOff>9525</xdr:rowOff>
        </xdr:to>
        <xdr:sp macro="" textlink="">
          <xdr:nvSpPr>
            <xdr:cNvPr id="138273" name="Option Button 33" hidden="1">
              <a:extLst>
                <a:ext uri="{63B3BB69-23CF-44E3-9099-C40C66FF867C}">
                  <a14:compatExt spid="_x0000_s138273"/>
                </a:ext>
                <a:ext uri="{FF2B5EF4-FFF2-40B4-BE49-F238E27FC236}">
                  <a16:creationId xmlns:a16="http://schemas.microsoft.com/office/drawing/2014/main" id="{00000000-0008-0000-1700-000021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82</xdr:row>
          <xdr:rowOff>0</xdr:rowOff>
        </xdr:from>
        <xdr:to>
          <xdr:col>17</xdr:col>
          <xdr:colOff>161925</xdr:colOff>
          <xdr:row>82</xdr:row>
          <xdr:rowOff>0</xdr:rowOff>
        </xdr:to>
        <xdr:sp macro="" textlink="">
          <xdr:nvSpPr>
            <xdr:cNvPr id="137217" name="Option Button 1" hidden="1">
              <a:extLst>
                <a:ext uri="{63B3BB69-23CF-44E3-9099-C40C66FF867C}">
                  <a14:compatExt spid="_x0000_s137217"/>
                </a:ext>
                <a:ext uri="{FF2B5EF4-FFF2-40B4-BE49-F238E27FC236}">
                  <a16:creationId xmlns:a16="http://schemas.microsoft.com/office/drawing/2014/main" id="{00000000-0008-0000-1800-000001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82</xdr:row>
          <xdr:rowOff>0</xdr:rowOff>
        </xdr:from>
        <xdr:to>
          <xdr:col>9</xdr:col>
          <xdr:colOff>600075</xdr:colOff>
          <xdr:row>82</xdr:row>
          <xdr:rowOff>0</xdr:rowOff>
        </xdr:to>
        <xdr:sp macro="" textlink="">
          <xdr:nvSpPr>
            <xdr:cNvPr id="137218" name="Option Button 2" hidden="1">
              <a:extLst>
                <a:ext uri="{63B3BB69-23CF-44E3-9099-C40C66FF867C}">
                  <a14:compatExt spid="_x0000_s137218"/>
                </a:ext>
                <a:ext uri="{FF2B5EF4-FFF2-40B4-BE49-F238E27FC236}">
                  <a16:creationId xmlns:a16="http://schemas.microsoft.com/office/drawing/2014/main" id="{00000000-0008-0000-1800-000002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82</xdr:row>
          <xdr:rowOff>0</xdr:rowOff>
        </xdr:from>
        <xdr:to>
          <xdr:col>17</xdr:col>
          <xdr:colOff>161925</xdr:colOff>
          <xdr:row>82</xdr:row>
          <xdr:rowOff>0</xdr:rowOff>
        </xdr:to>
        <xdr:sp macro="" textlink="">
          <xdr:nvSpPr>
            <xdr:cNvPr id="137219" name="Option Button 3" hidden="1">
              <a:extLst>
                <a:ext uri="{63B3BB69-23CF-44E3-9099-C40C66FF867C}">
                  <a14:compatExt spid="_x0000_s137219"/>
                </a:ext>
                <a:ext uri="{FF2B5EF4-FFF2-40B4-BE49-F238E27FC236}">
                  <a16:creationId xmlns:a16="http://schemas.microsoft.com/office/drawing/2014/main" id="{00000000-0008-0000-1800-000003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82</xdr:row>
          <xdr:rowOff>0</xdr:rowOff>
        </xdr:from>
        <xdr:to>
          <xdr:col>9</xdr:col>
          <xdr:colOff>600075</xdr:colOff>
          <xdr:row>82</xdr:row>
          <xdr:rowOff>0</xdr:rowOff>
        </xdr:to>
        <xdr:sp macro="" textlink="">
          <xdr:nvSpPr>
            <xdr:cNvPr id="137220" name="Option Button 4" hidden="1">
              <a:extLst>
                <a:ext uri="{63B3BB69-23CF-44E3-9099-C40C66FF867C}">
                  <a14:compatExt spid="_x0000_s137220"/>
                </a:ext>
                <a:ext uri="{FF2B5EF4-FFF2-40B4-BE49-F238E27FC236}">
                  <a16:creationId xmlns:a16="http://schemas.microsoft.com/office/drawing/2014/main" id="{00000000-0008-0000-1800-000004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82</xdr:row>
          <xdr:rowOff>0</xdr:rowOff>
        </xdr:from>
        <xdr:to>
          <xdr:col>17</xdr:col>
          <xdr:colOff>161925</xdr:colOff>
          <xdr:row>82</xdr:row>
          <xdr:rowOff>0</xdr:rowOff>
        </xdr:to>
        <xdr:sp macro="" textlink="">
          <xdr:nvSpPr>
            <xdr:cNvPr id="137221" name="Option Button 5" hidden="1">
              <a:extLst>
                <a:ext uri="{63B3BB69-23CF-44E3-9099-C40C66FF867C}">
                  <a14:compatExt spid="_x0000_s137221"/>
                </a:ext>
                <a:ext uri="{FF2B5EF4-FFF2-40B4-BE49-F238E27FC236}">
                  <a16:creationId xmlns:a16="http://schemas.microsoft.com/office/drawing/2014/main" id="{00000000-0008-0000-1800-000005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82</xdr:row>
          <xdr:rowOff>0</xdr:rowOff>
        </xdr:from>
        <xdr:to>
          <xdr:col>9</xdr:col>
          <xdr:colOff>600075</xdr:colOff>
          <xdr:row>82</xdr:row>
          <xdr:rowOff>0</xdr:rowOff>
        </xdr:to>
        <xdr:sp macro="" textlink="">
          <xdr:nvSpPr>
            <xdr:cNvPr id="137222" name="Option Button 6" hidden="1">
              <a:extLst>
                <a:ext uri="{63B3BB69-23CF-44E3-9099-C40C66FF867C}">
                  <a14:compatExt spid="_x0000_s137222"/>
                </a:ext>
                <a:ext uri="{FF2B5EF4-FFF2-40B4-BE49-F238E27FC236}">
                  <a16:creationId xmlns:a16="http://schemas.microsoft.com/office/drawing/2014/main" id="{00000000-0008-0000-1800-000006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82</xdr:row>
          <xdr:rowOff>0</xdr:rowOff>
        </xdr:from>
        <xdr:to>
          <xdr:col>17</xdr:col>
          <xdr:colOff>161925</xdr:colOff>
          <xdr:row>82</xdr:row>
          <xdr:rowOff>0</xdr:rowOff>
        </xdr:to>
        <xdr:sp macro="" textlink="">
          <xdr:nvSpPr>
            <xdr:cNvPr id="137223" name="Option Button 7" hidden="1">
              <a:extLst>
                <a:ext uri="{63B3BB69-23CF-44E3-9099-C40C66FF867C}">
                  <a14:compatExt spid="_x0000_s137223"/>
                </a:ext>
                <a:ext uri="{FF2B5EF4-FFF2-40B4-BE49-F238E27FC236}">
                  <a16:creationId xmlns:a16="http://schemas.microsoft.com/office/drawing/2014/main" id="{00000000-0008-0000-1800-000007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82</xdr:row>
          <xdr:rowOff>0</xdr:rowOff>
        </xdr:from>
        <xdr:to>
          <xdr:col>9</xdr:col>
          <xdr:colOff>600075</xdr:colOff>
          <xdr:row>82</xdr:row>
          <xdr:rowOff>0</xdr:rowOff>
        </xdr:to>
        <xdr:sp macro="" textlink="">
          <xdr:nvSpPr>
            <xdr:cNvPr id="137224" name="Option Button 8" hidden="1">
              <a:extLst>
                <a:ext uri="{63B3BB69-23CF-44E3-9099-C40C66FF867C}">
                  <a14:compatExt spid="_x0000_s137224"/>
                </a:ext>
                <a:ext uri="{FF2B5EF4-FFF2-40B4-BE49-F238E27FC236}">
                  <a16:creationId xmlns:a16="http://schemas.microsoft.com/office/drawing/2014/main" id="{00000000-0008-0000-1800-000008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82</xdr:row>
          <xdr:rowOff>0</xdr:rowOff>
        </xdr:from>
        <xdr:to>
          <xdr:col>17</xdr:col>
          <xdr:colOff>161925</xdr:colOff>
          <xdr:row>82</xdr:row>
          <xdr:rowOff>0</xdr:rowOff>
        </xdr:to>
        <xdr:sp macro="" textlink="">
          <xdr:nvSpPr>
            <xdr:cNvPr id="137225" name="Option Button 9" hidden="1">
              <a:extLst>
                <a:ext uri="{63B3BB69-23CF-44E3-9099-C40C66FF867C}">
                  <a14:compatExt spid="_x0000_s137225"/>
                </a:ext>
                <a:ext uri="{FF2B5EF4-FFF2-40B4-BE49-F238E27FC236}">
                  <a16:creationId xmlns:a16="http://schemas.microsoft.com/office/drawing/2014/main" id="{00000000-0008-0000-1800-000009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82</xdr:row>
          <xdr:rowOff>0</xdr:rowOff>
        </xdr:from>
        <xdr:to>
          <xdr:col>9</xdr:col>
          <xdr:colOff>600075</xdr:colOff>
          <xdr:row>82</xdr:row>
          <xdr:rowOff>0</xdr:rowOff>
        </xdr:to>
        <xdr:sp macro="" textlink="">
          <xdr:nvSpPr>
            <xdr:cNvPr id="137226" name="Option Button 10" hidden="1">
              <a:extLst>
                <a:ext uri="{63B3BB69-23CF-44E3-9099-C40C66FF867C}">
                  <a14:compatExt spid="_x0000_s137226"/>
                </a:ext>
                <a:ext uri="{FF2B5EF4-FFF2-40B4-BE49-F238E27FC236}">
                  <a16:creationId xmlns:a16="http://schemas.microsoft.com/office/drawing/2014/main" id="{00000000-0008-0000-1800-00000A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161925</xdr:colOff>
          <xdr:row>83</xdr:row>
          <xdr:rowOff>9525</xdr:rowOff>
        </xdr:to>
        <xdr:sp macro="" textlink="">
          <xdr:nvSpPr>
            <xdr:cNvPr id="137227" name="Option Button 11" hidden="1">
              <a:extLst>
                <a:ext uri="{63B3BB69-23CF-44E3-9099-C40C66FF867C}">
                  <a14:compatExt spid="_x0000_s137227"/>
                </a:ext>
                <a:ext uri="{FF2B5EF4-FFF2-40B4-BE49-F238E27FC236}">
                  <a16:creationId xmlns:a16="http://schemas.microsoft.com/office/drawing/2014/main" id="{00000000-0008-0000-1800-00000B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600075</xdr:colOff>
          <xdr:row>82</xdr:row>
          <xdr:rowOff>38100</xdr:rowOff>
        </xdr:to>
        <xdr:sp macro="" textlink="">
          <xdr:nvSpPr>
            <xdr:cNvPr id="137228" name="Option Button 12" hidden="1">
              <a:extLst>
                <a:ext uri="{63B3BB69-23CF-44E3-9099-C40C66FF867C}">
                  <a14:compatExt spid="_x0000_s137228"/>
                </a:ext>
                <a:ext uri="{FF2B5EF4-FFF2-40B4-BE49-F238E27FC236}">
                  <a16:creationId xmlns:a16="http://schemas.microsoft.com/office/drawing/2014/main" id="{00000000-0008-0000-1800-00000C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161925</xdr:colOff>
          <xdr:row>83</xdr:row>
          <xdr:rowOff>9525</xdr:rowOff>
        </xdr:to>
        <xdr:sp macro="" textlink="">
          <xdr:nvSpPr>
            <xdr:cNvPr id="137229" name="Option Button 13" hidden="1">
              <a:extLst>
                <a:ext uri="{63B3BB69-23CF-44E3-9099-C40C66FF867C}">
                  <a14:compatExt spid="_x0000_s137229"/>
                </a:ext>
                <a:ext uri="{FF2B5EF4-FFF2-40B4-BE49-F238E27FC236}">
                  <a16:creationId xmlns:a16="http://schemas.microsoft.com/office/drawing/2014/main" id="{00000000-0008-0000-1800-00000D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600075</xdr:colOff>
          <xdr:row>82</xdr:row>
          <xdr:rowOff>38100</xdr:rowOff>
        </xdr:to>
        <xdr:sp macro="" textlink="">
          <xdr:nvSpPr>
            <xdr:cNvPr id="137230" name="Option Button 14" hidden="1">
              <a:extLst>
                <a:ext uri="{63B3BB69-23CF-44E3-9099-C40C66FF867C}">
                  <a14:compatExt spid="_x0000_s137230"/>
                </a:ext>
                <a:ext uri="{FF2B5EF4-FFF2-40B4-BE49-F238E27FC236}">
                  <a16:creationId xmlns:a16="http://schemas.microsoft.com/office/drawing/2014/main" id="{00000000-0008-0000-1800-00000E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161925</xdr:colOff>
          <xdr:row>83</xdr:row>
          <xdr:rowOff>9525</xdr:rowOff>
        </xdr:to>
        <xdr:sp macro="" textlink="">
          <xdr:nvSpPr>
            <xdr:cNvPr id="137231" name="Option Button 15" hidden="1">
              <a:extLst>
                <a:ext uri="{63B3BB69-23CF-44E3-9099-C40C66FF867C}">
                  <a14:compatExt spid="_x0000_s137231"/>
                </a:ext>
                <a:ext uri="{FF2B5EF4-FFF2-40B4-BE49-F238E27FC236}">
                  <a16:creationId xmlns:a16="http://schemas.microsoft.com/office/drawing/2014/main" id="{00000000-0008-0000-1800-00000F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600075</xdr:colOff>
          <xdr:row>82</xdr:row>
          <xdr:rowOff>38100</xdr:rowOff>
        </xdr:to>
        <xdr:sp macro="" textlink="">
          <xdr:nvSpPr>
            <xdr:cNvPr id="137232" name="Option Button 16" hidden="1">
              <a:extLst>
                <a:ext uri="{63B3BB69-23CF-44E3-9099-C40C66FF867C}">
                  <a14:compatExt spid="_x0000_s137232"/>
                </a:ext>
                <a:ext uri="{FF2B5EF4-FFF2-40B4-BE49-F238E27FC236}">
                  <a16:creationId xmlns:a16="http://schemas.microsoft.com/office/drawing/2014/main" id="{00000000-0008-0000-1800-000010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161925</xdr:colOff>
          <xdr:row>83</xdr:row>
          <xdr:rowOff>9525</xdr:rowOff>
        </xdr:to>
        <xdr:sp macro="" textlink="">
          <xdr:nvSpPr>
            <xdr:cNvPr id="137233" name="Option Button 17" hidden="1">
              <a:extLst>
                <a:ext uri="{63B3BB69-23CF-44E3-9099-C40C66FF867C}">
                  <a14:compatExt spid="_x0000_s137233"/>
                </a:ext>
                <a:ext uri="{FF2B5EF4-FFF2-40B4-BE49-F238E27FC236}">
                  <a16:creationId xmlns:a16="http://schemas.microsoft.com/office/drawing/2014/main" id="{00000000-0008-0000-1800-000011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600075</xdr:colOff>
          <xdr:row>82</xdr:row>
          <xdr:rowOff>38100</xdr:rowOff>
        </xdr:to>
        <xdr:sp macro="" textlink="">
          <xdr:nvSpPr>
            <xdr:cNvPr id="137234" name="Option Button 18" hidden="1">
              <a:extLst>
                <a:ext uri="{63B3BB69-23CF-44E3-9099-C40C66FF867C}">
                  <a14:compatExt spid="_x0000_s137234"/>
                </a:ext>
                <a:ext uri="{FF2B5EF4-FFF2-40B4-BE49-F238E27FC236}">
                  <a16:creationId xmlns:a16="http://schemas.microsoft.com/office/drawing/2014/main" id="{00000000-0008-0000-1800-000012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161925</xdr:colOff>
          <xdr:row>83</xdr:row>
          <xdr:rowOff>9525</xdr:rowOff>
        </xdr:to>
        <xdr:sp macro="" textlink="">
          <xdr:nvSpPr>
            <xdr:cNvPr id="137235" name="Option Button 19" hidden="1">
              <a:extLst>
                <a:ext uri="{63B3BB69-23CF-44E3-9099-C40C66FF867C}">
                  <a14:compatExt spid="_x0000_s137235"/>
                </a:ext>
                <a:ext uri="{FF2B5EF4-FFF2-40B4-BE49-F238E27FC236}">
                  <a16:creationId xmlns:a16="http://schemas.microsoft.com/office/drawing/2014/main" id="{00000000-0008-0000-1800-000013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600075</xdr:colOff>
          <xdr:row>82</xdr:row>
          <xdr:rowOff>38100</xdr:rowOff>
        </xdr:to>
        <xdr:sp macro="" textlink="">
          <xdr:nvSpPr>
            <xdr:cNvPr id="137236" name="Option Button 20" hidden="1">
              <a:extLst>
                <a:ext uri="{63B3BB69-23CF-44E3-9099-C40C66FF867C}">
                  <a14:compatExt spid="_x0000_s137236"/>
                </a:ext>
                <a:ext uri="{FF2B5EF4-FFF2-40B4-BE49-F238E27FC236}">
                  <a16:creationId xmlns:a16="http://schemas.microsoft.com/office/drawing/2014/main" id="{00000000-0008-0000-1800-000014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161925</xdr:colOff>
          <xdr:row>83</xdr:row>
          <xdr:rowOff>9525</xdr:rowOff>
        </xdr:to>
        <xdr:sp macro="" textlink="">
          <xdr:nvSpPr>
            <xdr:cNvPr id="137237" name="Option Button 21" hidden="1">
              <a:extLst>
                <a:ext uri="{63B3BB69-23CF-44E3-9099-C40C66FF867C}">
                  <a14:compatExt spid="_x0000_s137237"/>
                </a:ext>
                <a:ext uri="{FF2B5EF4-FFF2-40B4-BE49-F238E27FC236}">
                  <a16:creationId xmlns:a16="http://schemas.microsoft.com/office/drawing/2014/main" id="{00000000-0008-0000-1800-000015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600075</xdr:colOff>
          <xdr:row>82</xdr:row>
          <xdr:rowOff>38100</xdr:rowOff>
        </xdr:to>
        <xdr:sp macro="" textlink="">
          <xdr:nvSpPr>
            <xdr:cNvPr id="137238" name="Option Button 22" hidden="1">
              <a:extLst>
                <a:ext uri="{63B3BB69-23CF-44E3-9099-C40C66FF867C}">
                  <a14:compatExt spid="_x0000_s137238"/>
                </a:ext>
                <a:ext uri="{FF2B5EF4-FFF2-40B4-BE49-F238E27FC236}">
                  <a16:creationId xmlns:a16="http://schemas.microsoft.com/office/drawing/2014/main" id="{00000000-0008-0000-1800-000016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161925</xdr:colOff>
          <xdr:row>83</xdr:row>
          <xdr:rowOff>9525</xdr:rowOff>
        </xdr:to>
        <xdr:sp macro="" textlink="">
          <xdr:nvSpPr>
            <xdr:cNvPr id="137239" name="Option Button 23" hidden="1">
              <a:extLst>
                <a:ext uri="{63B3BB69-23CF-44E3-9099-C40C66FF867C}">
                  <a14:compatExt spid="_x0000_s137239"/>
                </a:ext>
                <a:ext uri="{FF2B5EF4-FFF2-40B4-BE49-F238E27FC236}">
                  <a16:creationId xmlns:a16="http://schemas.microsoft.com/office/drawing/2014/main" id="{00000000-0008-0000-1800-000017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600075</xdr:colOff>
          <xdr:row>82</xdr:row>
          <xdr:rowOff>38100</xdr:rowOff>
        </xdr:to>
        <xdr:sp macro="" textlink="">
          <xdr:nvSpPr>
            <xdr:cNvPr id="137240" name="Option Button 24" hidden="1">
              <a:extLst>
                <a:ext uri="{63B3BB69-23CF-44E3-9099-C40C66FF867C}">
                  <a14:compatExt spid="_x0000_s137240"/>
                </a:ext>
                <a:ext uri="{FF2B5EF4-FFF2-40B4-BE49-F238E27FC236}">
                  <a16:creationId xmlns:a16="http://schemas.microsoft.com/office/drawing/2014/main" id="{00000000-0008-0000-1800-000018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161925</xdr:colOff>
          <xdr:row>83</xdr:row>
          <xdr:rowOff>9525</xdr:rowOff>
        </xdr:to>
        <xdr:sp macro="" textlink="">
          <xdr:nvSpPr>
            <xdr:cNvPr id="137241" name="Option Button 25" hidden="1">
              <a:extLst>
                <a:ext uri="{63B3BB69-23CF-44E3-9099-C40C66FF867C}">
                  <a14:compatExt spid="_x0000_s137241"/>
                </a:ext>
                <a:ext uri="{FF2B5EF4-FFF2-40B4-BE49-F238E27FC236}">
                  <a16:creationId xmlns:a16="http://schemas.microsoft.com/office/drawing/2014/main" id="{00000000-0008-0000-1800-000019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600075</xdr:colOff>
          <xdr:row>82</xdr:row>
          <xdr:rowOff>38100</xdr:rowOff>
        </xdr:to>
        <xdr:sp macro="" textlink="">
          <xdr:nvSpPr>
            <xdr:cNvPr id="137242" name="Option Button 26" hidden="1">
              <a:extLst>
                <a:ext uri="{63B3BB69-23CF-44E3-9099-C40C66FF867C}">
                  <a14:compatExt spid="_x0000_s137242"/>
                </a:ext>
                <a:ext uri="{FF2B5EF4-FFF2-40B4-BE49-F238E27FC236}">
                  <a16:creationId xmlns:a16="http://schemas.microsoft.com/office/drawing/2014/main" id="{00000000-0008-0000-1800-00001A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161925</xdr:colOff>
          <xdr:row>83</xdr:row>
          <xdr:rowOff>9525</xdr:rowOff>
        </xdr:to>
        <xdr:sp macro="" textlink="">
          <xdr:nvSpPr>
            <xdr:cNvPr id="137243" name="Option Button 27" hidden="1">
              <a:extLst>
                <a:ext uri="{63B3BB69-23CF-44E3-9099-C40C66FF867C}">
                  <a14:compatExt spid="_x0000_s137243"/>
                </a:ext>
                <a:ext uri="{FF2B5EF4-FFF2-40B4-BE49-F238E27FC236}">
                  <a16:creationId xmlns:a16="http://schemas.microsoft.com/office/drawing/2014/main" id="{00000000-0008-0000-1800-00001B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600075</xdr:colOff>
          <xdr:row>82</xdr:row>
          <xdr:rowOff>38100</xdr:rowOff>
        </xdr:to>
        <xdr:sp macro="" textlink="">
          <xdr:nvSpPr>
            <xdr:cNvPr id="137244" name="Option Button 28" hidden="1">
              <a:extLst>
                <a:ext uri="{63B3BB69-23CF-44E3-9099-C40C66FF867C}">
                  <a14:compatExt spid="_x0000_s137244"/>
                </a:ext>
                <a:ext uri="{FF2B5EF4-FFF2-40B4-BE49-F238E27FC236}">
                  <a16:creationId xmlns:a16="http://schemas.microsoft.com/office/drawing/2014/main" id="{00000000-0008-0000-1800-00001C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161925</xdr:colOff>
          <xdr:row>83</xdr:row>
          <xdr:rowOff>9525</xdr:rowOff>
        </xdr:to>
        <xdr:sp macro="" textlink="">
          <xdr:nvSpPr>
            <xdr:cNvPr id="137245" name="Option Button 29" hidden="1">
              <a:extLst>
                <a:ext uri="{63B3BB69-23CF-44E3-9099-C40C66FF867C}">
                  <a14:compatExt spid="_x0000_s137245"/>
                </a:ext>
                <a:ext uri="{FF2B5EF4-FFF2-40B4-BE49-F238E27FC236}">
                  <a16:creationId xmlns:a16="http://schemas.microsoft.com/office/drawing/2014/main" id="{00000000-0008-0000-1800-00001D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600075</xdr:colOff>
          <xdr:row>82</xdr:row>
          <xdr:rowOff>38100</xdr:rowOff>
        </xdr:to>
        <xdr:sp macro="" textlink="">
          <xdr:nvSpPr>
            <xdr:cNvPr id="137246" name="Option Button 30" hidden="1">
              <a:extLst>
                <a:ext uri="{63B3BB69-23CF-44E3-9099-C40C66FF867C}">
                  <a14:compatExt spid="_x0000_s137246"/>
                </a:ext>
                <a:ext uri="{FF2B5EF4-FFF2-40B4-BE49-F238E27FC236}">
                  <a16:creationId xmlns:a16="http://schemas.microsoft.com/office/drawing/2014/main" id="{00000000-0008-0000-1800-00001E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161925</xdr:colOff>
          <xdr:row>83</xdr:row>
          <xdr:rowOff>9525</xdr:rowOff>
        </xdr:to>
        <xdr:sp macro="" textlink="">
          <xdr:nvSpPr>
            <xdr:cNvPr id="137247" name="Option Button 31" hidden="1">
              <a:extLst>
                <a:ext uri="{63B3BB69-23CF-44E3-9099-C40C66FF867C}">
                  <a14:compatExt spid="_x0000_s137247"/>
                </a:ext>
                <a:ext uri="{FF2B5EF4-FFF2-40B4-BE49-F238E27FC236}">
                  <a16:creationId xmlns:a16="http://schemas.microsoft.com/office/drawing/2014/main" id="{00000000-0008-0000-1800-00001F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161925</xdr:colOff>
          <xdr:row>83</xdr:row>
          <xdr:rowOff>9525</xdr:rowOff>
        </xdr:to>
        <xdr:sp macro="" textlink="">
          <xdr:nvSpPr>
            <xdr:cNvPr id="137248" name="Option Button 32" hidden="1">
              <a:extLst>
                <a:ext uri="{63B3BB69-23CF-44E3-9099-C40C66FF867C}">
                  <a14:compatExt spid="_x0000_s137248"/>
                </a:ext>
                <a:ext uri="{FF2B5EF4-FFF2-40B4-BE49-F238E27FC236}">
                  <a16:creationId xmlns:a16="http://schemas.microsoft.com/office/drawing/2014/main" id="{00000000-0008-0000-1800-000020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161925</xdr:colOff>
          <xdr:row>83</xdr:row>
          <xdr:rowOff>9525</xdr:rowOff>
        </xdr:to>
        <xdr:sp macro="" textlink="">
          <xdr:nvSpPr>
            <xdr:cNvPr id="137249" name="Option Button 33" hidden="1">
              <a:extLst>
                <a:ext uri="{63B3BB69-23CF-44E3-9099-C40C66FF867C}">
                  <a14:compatExt spid="_x0000_s137249"/>
                </a:ext>
                <a:ext uri="{FF2B5EF4-FFF2-40B4-BE49-F238E27FC236}">
                  <a16:creationId xmlns:a16="http://schemas.microsoft.com/office/drawing/2014/main" id="{00000000-0008-0000-1800-000021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619125</xdr:colOff>
          <xdr:row>91</xdr:row>
          <xdr:rowOff>28575</xdr:rowOff>
        </xdr:to>
        <xdr:sp macro="" textlink="">
          <xdr:nvSpPr>
            <xdr:cNvPr id="135171" name="Option Button 3" hidden="1">
              <a:extLst>
                <a:ext uri="{63B3BB69-23CF-44E3-9099-C40C66FF867C}">
                  <a14:compatExt spid="_x0000_s135171"/>
                </a:ext>
                <a:ext uri="{FF2B5EF4-FFF2-40B4-BE49-F238E27FC236}">
                  <a16:creationId xmlns:a16="http://schemas.microsoft.com/office/drawing/2014/main" id="{00000000-0008-0000-1900-0000031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35172" name="Option Button 4" hidden="1">
              <a:extLst>
                <a:ext uri="{63B3BB69-23CF-44E3-9099-C40C66FF867C}">
                  <a14:compatExt spid="_x0000_s135172"/>
                </a:ext>
                <a:ext uri="{FF2B5EF4-FFF2-40B4-BE49-F238E27FC236}">
                  <a16:creationId xmlns:a16="http://schemas.microsoft.com/office/drawing/2014/main" id="{00000000-0008-0000-1900-0000041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619125</xdr:colOff>
          <xdr:row>91</xdr:row>
          <xdr:rowOff>28575</xdr:rowOff>
        </xdr:to>
        <xdr:sp macro="" textlink="">
          <xdr:nvSpPr>
            <xdr:cNvPr id="135173" name="Option Button 5" hidden="1">
              <a:extLst>
                <a:ext uri="{63B3BB69-23CF-44E3-9099-C40C66FF867C}">
                  <a14:compatExt spid="_x0000_s135173"/>
                </a:ext>
                <a:ext uri="{FF2B5EF4-FFF2-40B4-BE49-F238E27FC236}">
                  <a16:creationId xmlns:a16="http://schemas.microsoft.com/office/drawing/2014/main" id="{00000000-0008-0000-1900-0000051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35174" name="Option Button 6" hidden="1">
              <a:extLst>
                <a:ext uri="{63B3BB69-23CF-44E3-9099-C40C66FF867C}">
                  <a14:compatExt spid="_x0000_s135174"/>
                </a:ext>
                <a:ext uri="{FF2B5EF4-FFF2-40B4-BE49-F238E27FC236}">
                  <a16:creationId xmlns:a16="http://schemas.microsoft.com/office/drawing/2014/main" id="{00000000-0008-0000-1900-0000061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619125</xdr:colOff>
          <xdr:row>91</xdr:row>
          <xdr:rowOff>28575</xdr:rowOff>
        </xdr:to>
        <xdr:sp macro="" textlink="">
          <xdr:nvSpPr>
            <xdr:cNvPr id="135175" name="Option Button 7" hidden="1">
              <a:extLst>
                <a:ext uri="{63B3BB69-23CF-44E3-9099-C40C66FF867C}">
                  <a14:compatExt spid="_x0000_s135175"/>
                </a:ext>
                <a:ext uri="{FF2B5EF4-FFF2-40B4-BE49-F238E27FC236}">
                  <a16:creationId xmlns:a16="http://schemas.microsoft.com/office/drawing/2014/main" id="{00000000-0008-0000-1900-0000071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35176" name="Option Button 8" hidden="1">
              <a:extLst>
                <a:ext uri="{63B3BB69-23CF-44E3-9099-C40C66FF867C}">
                  <a14:compatExt spid="_x0000_s135176"/>
                </a:ext>
                <a:ext uri="{FF2B5EF4-FFF2-40B4-BE49-F238E27FC236}">
                  <a16:creationId xmlns:a16="http://schemas.microsoft.com/office/drawing/2014/main" id="{00000000-0008-0000-1900-0000081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619125</xdr:colOff>
          <xdr:row>91</xdr:row>
          <xdr:rowOff>28575</xdr:rowOff>
        </xdr:to>
        <xdr:sp macro="" textlink="">
          <xdr:nvSpPr>
            <xdr:cNvPr id="135177" name="Option Button 9" hidden="1">
              <a:extLst>
                <a:ext uri="{63B3BB69-23CF-44E3-9099-C40C66FF867C}">
                  <a14:compatExt spid="_x0000_s135177"/>
                </a:ext>
                <a:ext uri="{FF2B5EF4-FFF2-40B4-BE49-F238E27FC236}">
                  <a16:creationId xmlns:a16="http://schemas.microsoft.com/office/drawing/2014/main" id="{00000000-0008-0000-1900-0000091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35178" name="Option Button 10" hidden="1">
              <a:extLst>
                <a:ext uri="{63B3BB69-23CF-44E3-9099-C40C66FF867C}">
                  <a14:compatExt spid="_x0000_s135178"/>
                </a:ext>
                <a:ext uri="{FF2B5EF4-FFF2-40B4-BE49-F238E27FC236}">
                  <a16:creationId xmlns:a16="http://schemas.microsoft.com/office/drawing/2014/main" id="{00000000-0008-0000-1900-00000A1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0</xdr:rowOff>
        </xdr:from>
        <xdr:to>
          <xdr:col>14</xdr:col>
          <xdr:colOff>619125</xdr:colOff>
          <xdr:row>91</xdr:row>
          <xdr:rowOff>28575</xdr:rowOff>
        </xdr:to>
        <xdr:sp macro="" textlink="">
          <xdr:nvSpPr>
            <xdr:cNvPr id="135179" name="Option Button 11" hidden="1">
              <a:extLst>
                <a:ext uri="{63B3BB69-23CF-44E3-9099-C40C66FF867C}">
                  <a14:compatExt spid="_x0000_s135179"/>
                </a:ext>
                <a:ext uri="{FF2B5EF4-FFF2-40B4-BE49-F238E27FC236}">
                  <a16:creationId xmlns:a16="http://schemas.microsoft.com/office/drawing/2014/main" id="{00000000-0008-0000-1900-00000B1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0</xdr:rowOff>
        </xdr:from>
        <xdr:to>
          <xdr:col>9</xdr:col>
          <xdr:colOff>95250</xdr:colOff>
          <xdr:row>90</xdr:row>
          <xdr:rowOff>85725</xdr:rowOff>
        </xdr:to>
        <xdr:sp macro="" textlink="">
          <xdr:nvSpPr>
            <xdr:cNvPr id="135180" name="Option Button 12" hidden="1">
              <a:extLst>
                <a:ext uri="{63B3BB69-23CF-44E3-9099-C40C66FF867C}">
                  <a14:compatExt spid="_x0000_s135180"/>
                </a:ext>
                <a:ext uri="{FF2B5EF4-FFF2-40B4-BE49-F238E27FC236}">
                  <a16:creationId xmlns:a16="http://schemas.microsoft.com/office/drawing/2014/main" id="{00000000-0008-0000-1900-00000C1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80</xdr:row>
          <xdr:rowOff>0</xdr:rowOff>
        </xdr:to>
        <xdr:sp macro="" textlink="">
          <xdr:nvSpPr>
            <xdr:cNvPr id="163841" name="Option Button 1" hidden="1">
              <a:extLst>
                <a:ext uri="{63B3BB69-23CF-44E3-9099-C40C66FF867C}">
                  <a14:compatExt spid="_x0000_s163841"/>
                </a:ext>
                <a:ext uri="{FF2B5EF4-FFF2-40B4-BE49-F238E27FC236}">
                  <a16:creationId xmlns:a16="http://schemas.microsoft.com/office/drawing/2014/main" id="{00000000-0008-0000-0500-000001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647700</xdr:colOff>
          <xdr:row>80</xdr:row>
          <xdr:rowOff>0</xdr:rowOff>
        </xdr:to>
        <xdr:sp macro="" textlink="">
          <xdr:nvSpPr>
            <xdr:cNvPr id="163842" name="Option Button 2" hidden="1">
              <a:extLst>
                <a:ext uri="{63B3BB69-23CF-44E3-9099-C40C66FF867C}">
                  <a14:compatExt spid="_x0000_s163842"/>
                </a:ext>
                <a:ext uri="{FF2B5EF4-FFF2-40B4-BE49-F238E27FC236}">
                  <a16:creationId xmlns:a16="http://schemas.microsoft.com/office/drawing/2014/main" id="{00000000-0008-0000-0500-000002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80</xdr:row>
          <xdr:rowOff>0</xdr:rowOff>
        </xdr:to>
        <xdr:sp macro="" textlink="">
          <xdr:nvSpPr>
            <xdr:cNvPr id="163843" name="Option Button 3" hidden="1">
              <a:extLst>
                <a:ext uri="{63B3BB69-23CF-44E3-9099-C40C66FF867C}">
                  <a14:compatExt spid="_x0000_s163843"/>
                </a:ext>
                <a:ext uri="{FF2B5EF4-FFF2-40B4-BE49-F238E27FC236}">
                  <a16:creationId xmlns:a16="http://schemas.microsoft.com/office/drawing/2014/main" id="{00000000-0008-0000-0500-000003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647700</xdr:colOff>
          <xdr:row>80</xdr:row>
          <xdr:rowOff>0</xdr:rowOff>
        </xdr:to>
        <xdr:sp macro="" textlink="">
          <xdr:nvSpPr>
            <xdr:cNvPr id="163844" name="Option Button 4" hidden="1">
              <a:extLst>
                <a:ext uri="{63B3BB69-23CF-44E3-9099-C40C66FF867C}">
                  <a14:compatExt spid="_x0000_s163844"/>
                </a:ext>
                <a:ext uri="{FF2B5EF4-FFF2-40B4-BE49-F238E27FC236}">
                  <a16:creationId xmlns:a16="http://schemas.microsoft.com/office/drawing/2014/main" id="{00000000-0008-0000-0500-000004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80</xdr:row>
          <xdr:rowOff>0</xdr:rowOff>
        </xdr:to>
        <xdr:sp macro="" textlink="">
          <xdr:nvSpPr>
            <xdr:cNvPr id="163845" name="Option Button 5" hidden="1">
              <a:extLst>
                <a:ext uri="{63B3BB69-23CF-44E3-9099-C40C66FF867C}">
                  <a14:compatExt spid="_x0000_s163845"/>
                </a:ext>
                <a:ext uri="{FF2B5EF4-FFF2-40B4-BE49-F238E27FC236}">
                  <a16:creationId xmlns:a16="http://schemas.microsoft.com/office/drawing/2014/main" id="{00000000-0008-0000-0500-000005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647700</xdr:colOff>
          <xdr:row>80</xdr:row>
          <xdr:rowOff>0</xdr:rowOff>
        </xdr:to>
        <xdr:sp macro="" textlink="">
          <xdr:nvSpPr>
            <xdr:cNvPr id="163846" name="Option Button 6" hidden="1">
              <a:extLst>
                <a:ext uri="{63B3BB69-23CF-44E3-9099-C40C66FF867C}">
                  <a14:compatExt spid="_x0000_s163846"/>
                </a:ext>
                <a:ext uri="{FF2B5EF4-FFF2-40B4-BE49-F238E27FC236}">
                  <a16:creationId xmlns:a16="http://schemas.microsoft.com/office/drawing/2014/main" id="{00000000-0008-0000-0500-000006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80</xdr:row>
          <xdr:rowOff>0</xdr:rowOff>
        </xdr:to>
        <xdr:sp macro="" textlink="">
          <xdr:nvSpPr>
            <xdr:cNvPr id="163847" name="Option Button 7" hidden="1">
              <a:extLst>
                <a:ext uri="{63B3BB69-23CF-44E3-9099-C40C66FF867C}">
                  <a14:compatExt spid="_x0000_s163847"/>
                </a:ext>
                <a:ext uri="{FF2B5EF4-FFF2-40B4-BE49-F238E27FC236}">
                  <a16:creationId xmlns:a16="http://schemas.microsoft.com/office/drawing/2014/main" id="{00000000-0008-0000-0500-000007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647700</xdr:colOff>
          <xdr:row>80</xdr:row>
          <xdr:rowOff>0</xdr:rowOff>
        </xdr:to>
        <xdr:sp macro="" textlink="">
          <xdr:nvSpPr>
            <xdr:cNvPr id="163848" name="Option Button 8" hidden="1">
              <a:extLst>
                <a:ext uri="{63B3BB69-23CF-44E3-9099-C40C66FF867C}">
                  <a14:compatExt spid="_x0000_s163848"/>
                </a:ext>
                <a:ext uri="{FF2B5EF4-FFF2-40B4-BE49-F238E27FC236}">
                  <a16:creationId xmlns:a16="http://schemas.microsoft.com/office/drawing/2014/main" id="{00000000-0008-0000-0500-000008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80</xdr:row>
          <xdr:rowOff>0</xdr:rowOff>
        </xdr:to>
        <xdr:sp macro="" textlink="">
          <xdr:nvSpPr>
            <xdr:cNvPr id="163849" name="Option Button 9" hidden="1">
              <a:extLst>
                <a:ext uri="{63B3BB69-23CF-44E3-9099-C40C66FF867C}">
                  <a14:compatExt spid="_x0000_s163849"/>
                </a:ext>
                <a:ext uri="{FF2B5EF4-FFF2-40B4-BE49-F238E27FC236}">
                  <a16:creationId xmlns:a16="http://schemas.microsoft.com/office/drawing/2014/main" id="{00000000-0008-0000-0500-000009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647700</xdr:colOff>
          <xdr:row>80</xdr:row>
          <xdr:rowOff>0</xdr:rowOff>
        </xdr:to>
        <xdr:sp macro="" textlink="">
          <xdr:nvSpPr>
            <xdr:cNvPr id="163850" name="Option Button 10" hidden="1">
              <a:extLst>
                <a:ext uri="{63B3BB69-23CF-44E3-9099-C40C66FF867C}">
                  <a14:compatExt spid="_x0000_s163850"/>
                </a:ext>
                <a:ext uri="{FF2B5EF4-FFF2-40B4-BE49-F238E27FC236}">
                  <a16:creationId xmlns:a16="http://schemas.microsoft.com/office/drawing/2014/main" id="{00000000-0008-0000-0500-00000A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63851" name="Option Button 11" hidden="1">
              <a:extLst>
                <a:ext uri="{63B3BB69-23CF-44E3-9099-C40C66FF867C}">
                  <a14:compatExt spid="_x0000_s163851"/>
                </a:ext>
                <a:ext uri="{FF2B5EF4-FFF2-40B4-BE49-F238E27FC236}">
                  <a16:creationId xmlns:a16="http://schemas.microsoft.com/office/drawing/2014/main" id="{00000000-0008-0000-0500-00000B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647700</xdr:colOff>
          <xdr:row>81</xdr:row>
          <xdr:rowOff>38100</xdr:rowOff>
        </xdr:to>
        <xdr:sp macro="" textlink="">
          <xdr:nvSpPr>
            <xdr:cNvPr id="163852" name="Option Button 12" hidden="1">
              <a:extLst>
                <a:ext uri="{63B3BB69-23CF-44E3-9099-C40C66FF867C}">
                  <a14:compatExt spid="_x0000_s163852"/>
                </a:ext>
                <a:ext uri="{FF2B5EF4-FFF2-40B4-BE49-F238E27FC236}">
                  <a16:creationId xmlns:a16="http://schemas.microsoft.com/office/drawing/2014/main" id="{00000000-0008-0000-0500-00000C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63853" name="Option Button 13" hidden="1">
              <a:extLst>
                <a:ext uri="{63B3BB69-23CF-44E3-9099-C40C66FF867C}">
                  <a14:compatExt spid="_x0000_s163853"/>
                </a:ext>
                <a:ext uri="{FF2B5EF4-FFF2-40B4-BE49-F238E27FC236}">
                  <a16:creationId xmlns:a16="http://schemas.microsoft.com/office/drawing/2014/main" id="{00000000-0008-0000-0500-00000D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647700</xdr:colOff>
          <xdr:row>81</xdr:row>
          <xdr:rowOff>38100</xdr:rowOff>
        </xdr:to>
        <xdr:sp macro="" textlink="">
          <xdr:nvSpPr>
            <xdr:cNvPr id="163854" name="Option Button 14" hidden="1">
              <a:extLst>
                <a:ext uri="{63B3BB69-23CF-44E3-9099-C40C66FF867C}">
                  <a14:compatExt spid="_x0000_s163854"/>
                </a:ext>
                <a:ext uri="{FF2B5EF4-FFF2-40B4-BE49-F238E27FC236}">
                  <a16:creationId xmlns:a16="http://schemas.microsoft.com/office/drawing/2014/main" id="{00000000-0008-0000-0500-00000E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63855" name="Option Button 15" hidden="1">
              <a:extLst>
                <a:ext uri="{63B3BB69-23CF-44E3-9099-C40C66FF867C}">
                  <a14:compatExt spid="_x0000_s163855"/>
                </a:ext>
                <a:ext uri="{FF2B5EF4-FFF2-40B4-BE49-F238E27FC236}">
                  <a16:creationId xmlns:a16="http://schemas.microsoft.com/office/drawing/2014/main" id="{00000000-0008-0000-0500-00000F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647700</xdr:colOff>
          <xdr:row>81</xdr:row>
          <xdr:rowOff>38100</xdr:rowOff>
        </xdr:to>
        <xdr:sp macro="" textlink="">
          <xdr:nvSpPr>
            <xdr:cNvPr id="163856" name="Option Button 16" hidden="1">
              <a:extLst>
                <a:ext uri="{63B3BB69-23CF-44E3-9099-C40C66FF867C}">
                  <a14:compatExt spid="_x0000_s163856"/>
                </a:ext>
                <a:ext uri="{FF2B5EF4-FFF2-40B4-BE49-F238E27FC236}">
                  <a16:creationId xmlns:a16="http://schemas.microsoft.com/office/drawing/2014/main" id="{00000000-0008-0000-0500-000010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63857" name="Option Button 17" hidden="1">
              <a:extLst>
                <a:ext uri="{63B3BB69-23CF-44E3-9099-C40C66FF867C}">
                  <a14:compatExt spid="_x0000_s163857"/>
                </a:ext>
                <a:ext uri="{FF2B5EF4-FFF2-40B4-BE49-F238E27FC236}">
                  <a16:creationId xmlns:a16="http://schemas.microsoft.com/office/drawing/2014/main" id="{00000000-0008-0000-0500-000011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647700</xdr:colOff>
          <xdr:row>81</xdr:row>
          <xdr:rowOff>38100</xdr:rowOff>
        </xdr:to>
        <xdr:sp macro="" textlink="">
          <xdr:nvSpPr>
            <xdr:cNvPr id="163858" name="Option Button 18" hidden="1">
              <a:extLst>
                <a:ext uri="{63B3BB69-23CF-44E3-9099-C40C66FF867C}">
                  <a14:compatExt spid="_x0000_s163858"/>
                </a:ext>
                <a:ext uri="{FF2B5EF4-FFF2-40B4-BE49-F238E27FC236}">
                  <a16:creationId xmlns:a16="http://schemas.microsoft.com/office/drawing/2014/main" id="{00000000-0008-0000-0500-000012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63859" name="Option Button 19" hidden="1">
              <a:extLst>
                <a:ext uri="{63B3BB69-23CF-44E3-9099-C40C66FF867C}">
                  <a14:compatExt spid="_x0000_s163859"/>
                </a:ext>
                <a:ext uri="{FF2B5EF4-FFF2-40B4-BE49-F238E27FC236}">
                  <a16:creationId xmlns:a16="http://schemas.microsoft.com/office/drawing/2014/main" id="{00000000-0008-0000-0500-000013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647700</xdr:colOff>
          <xdr:row>81</xdr:row>
          <xdr:rowOff>38100</xdr:rowOff>
        </xdr:to>
        <xdr:sp macro="" textlink="">
          <xdr:nvSpPr>
            <xdr:cNvPr id="163860" name="Option Button 20" hidden="1">
              <a:extLst>
                <a:ext uri="{63B3BB69-23CF-44E3-9099-C40C66FF867C}">
                  <a14:compatExt spid="_x0000_s163860"/>
                </a:ext>
                <a:ext uri="{FF2B5EF4-FFF2-40B4-BE49-F238E27FC236}">
                  <a16:creationId xmlns:a16="http://schemas.microsoft.com/office/drawing/2014/main" id="{00000000-0008-0000-0500-000014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63861" name="Option Button 21" hidden="1">
              <a:extLst>
                <a:ext uri="{63B3BB69-23CF-44E3-9099-C40C66FF867C}">
                  <a14:compatExt spid="_x0000_s163861"/>
                </a:ext>
                <a:ext uri="{FF2B5EF4-FFF2-40B4-BE49-F238E27FC236}">
                  <a16:creationId xmlns:a16="http://schemas.microsoft.com/office/drawing/2014/main" id="{00000000-0008-0000-0500-000015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647700</xdr:colOff>
          <xdr:row>81</xdr:row>
          <xdr:rowOff>38100</xdr:rowOff>
        </xdr:to>
        <xdr:sp macro="" textlink="">
          <xdr:nvSpPr>
            <xdr:cNvPr id="163862" name="Option Button 22" hidden="1">
              <a:extLst>
                <a:ext uri="{63B3BB69-23CF-44E3-9099-C40C66FF867C}">
                  <a14:compatExt spid="_x0000_s163862"/>
                </a:ext>
                <a:ext uri="{FF2B5EF4-FFF2-40B4-BE49-F238E27FC236}">
                  <a16:creationId xmlns:a16="http://schemas.microsoft.com/office/drawing/2014/main" id="{00000000-0008-0000-0500-000016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63863" name="Option Button 23" hidden="1">
              <a:extLst>
                <a:ext uri="{63B3BB69-23CF-44E3-9099-C40C66FF867C}">
                  <a14:compatExt spid="_x0000_s163863"/>
                </a:ext>
                <a:ext uri="{FF2B5EF4-FFF2-40B4-BE49-F238E27FC236}">
                  <a16:creationId xmlns:a16="http://schemas.microsoft.com/office/drawing/2014/main" id="{00000000-0008-0000-0500-000017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647700</xdr:colOff>
          <xdr:row>81</xdr:row>
          <xdr:rowOff>38100</xdr:rowOff>
        </xdr:to>
        <xdr:sp macro="" textlink="">
          <xdr:nvSpPr>
            <xdr:cNvPr id="163864" name="Option Button 24" hidden="1">
              <a:extLst>
                <a:ext uri="{63B3BB69-23CF-44E3-9099-C40C66FF867C}">
                  <a14:compatExt spid="_x0000_s163864"/>
                </a:ext>
                <a:ext uri="{FF2B5EF4-FFF2-40B4-BE49-F238E27FC236}">
                  <a16:creationId xmlns:a16="http://schemas.microsoft.com/office/drawing/2014/main" id="{00000000-0008-0000-0500-000018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63865" name="Option Button 25" hidden="1">
              <a:extLst>
                <a:ext uri="{63B3BB69-23CF-44E3-9099-C40C66FF867C}">
                  <a14:compatExt spid="_x0000_s163865"/>
                </a:ext>
                <a:ext uri="{FF2B5EF4-FFF2-40B4-BE49-F238E27FC236}">
                  <a16:creationId xmlns:a16="http://schemas.microsoft.com/office/drawing/2014/main" id="{00000000-0008-0000-0500-000019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647700</xdr:colOff>
          <xdr:row>81</xdr:row>
          <xdr:rowOff>38100</xdr:rowOff>
        </xdr:to>
        <xdr:sp macro="" textlink="">
          <xdr:nvSpPr>
            <xdr:cNvPr id="163866" name="Option Button 26" hidden="1">
              <a:extLst>
                <a:ext uri="{63B3BB69-23CF-44E3-9099-C40C66FF867C}">
                  <a14:compatExt spid="_x0000_s163866"/>
                </a:ext>
                <a:ext uri="{FF2B5EF4-FFF2-40B4-BE49-F238E27FC236}">
                  <a16:creationId xmlns:a16="http://schemas.microsoft.com/office/drawing/2014/main" id="{00000000-0008-0000-0500-00001A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63867" name="Option Button 27" hidden="1">
              <a:extLst>
                <a:ext uri="{63B3BB69-23CF-44E3-9099-C40C66FF867C}">
                  <a14:compatExt spid="_x0000_s163867"/>
                </a:ext>
                <a:ext uri="{FF2B5EF4-FFF2-40B4-BE49-F238E27FC236}">
                  <a16:creationId xmlns:a16="http://schemas.microsoft.com/office/drawing/2014/main" id="{00000000-0008-0000-0500-00001B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647700</xdr:colOff>
          <xdr:row>81</xdr:row>
          <xdr:rowOff>38100</xdr:rowOff>
        </xdr:to>
        <xdr:sp macro="" textlink="">
          <xdr:nvSpPr>
            <xdr:cNvPr id="163868" name="Option Button 28" hidden="1">
              <a:extLst>
                <a:ext uri="{63B3BB69-23CF-44E3-9099-C40C66FF867C}">
                  <a14:compatExt spid="_x0000_s163868"/>
                </a:ext>
                <a:ext uri="{FF2B5EF4-FFF2-40B4-BE49-F238E27FC236}">
                  <a16:creationId xmlns:a16="http://schemas.microsoft.com/office/drawing/2014/main" id="{00000000-0008-0000-0500-00001C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63869" name="Option Button 29" hidden="1">
              <a:extLst>
                <a:ext uri="{63B3BB69-23CF-44E3-9099-C40C66FF867C}">
                  <a14:compatExt spid="_x0000_s163869"/>
                </a:ext>
                <a:ext uri="{FF2B5EF4-FFF2-40B4-BE49-F238E27FC236}">
                  <a16:creationId xmlns:a16="http://schemas.microsoft.com/office/drawing/2014/main" id="{00000000-0008-0000-0500-00001D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647700</xdr:colOff>
          <xdr:row>81</xdr:row>
          <xdr:rowOff>38100</xdr:rowOff>
        </xdr:to>
        <xdr:sp macro="" textlink="">
          <xdr:nvSpPr>
            <xdr:cNvPr id="163870" name="Option Button 30" hidden="1">
              <a:extLst>
                <a:ext uri="{63B3BB69-23CF-44E3-9099-C40C66FF867C}">
                  <a14:compatExt spid="_x0000_s163870"/>
                </a:ext>
                <a:ext uri="{FF2B5EF4-FFF2-40B4-BE49-F238E27FC236}">
                  <a16:creationId xmlns:a16="http://schemas.microsoft.com/office/drawing/2014/main" id="{00000000-0008-0000-0500-00001E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63871" name="Option Button 31" hidden="1">
              <a:extLst>
                <a:ext uri="{63B3BB69-23CF-44E3-9099-C40C66FF867C}">
                  <a14:compatExt spid="_x0000_s163871"/>
                </a:ext>
                <a:ext uri="{FF2B5EF4-FFF2-40B4-BE49-F238E27FC236}">
                  <a16:creationId xmlns:a16="http://schemas.microsoft.com/office/drawing/2014/main" id="{00000000-0008-0000-0500-00001F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647700</xdr:colOff>
          <xdr:row>81</xdr:row>
          <xdr:rowOff>38100</xdr:rowOff>
        </xdr:to>
        <xdr:sp macro="" textlink="">
          <xdr:nvSpPr>
            <xdr:cNvPr id="163872" name="Option Button 32" hidden="1">
              <a:extLst>
                <a:ext uri="{63B3BB69-23CF-44E3-9099-C40C66FF867C}">
                  <a14:compatExt spid="_x0000_s163872"/>
                </a:ext>
                <a:ext uri="{FF2B5EF4-FFF2-40B4-BE49-F238E27FC236}">
                  <a16:creationId xmlns:a16="http://schemas.microsoft.com/office/drawing/2014/main" id="{00000000-0008-0000-0500-000020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63873" name="Option Button 33" hidden="1">
              <a:extLst>
                <a:ext uri="{63B3BB69-23CF-44E3-9099-C40C66FF867C}">
                  <a14:compatExt spid="_x0000_s163873"/>
                </a:ext>
                <a:ext uri="{FF2B5EF4-FFF2-40B4-BE49-F238E27FC236}">
                  <a16:creationId xmlns:a16="http://schemas.microsoft.com/office/drawing/2014/main" id="{00000000-0008-0000-0500-000021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63874" name="Option Button 34" hidden="1">
              <a:extLst>
                <a:ext uri="{63B3BB69-23CF-44E3-9099-C40C66FF867C}">
                  <a14:compatExt spid="_x0000_s163874"/>
                </a:ext>
                <a:ext uri="{FF2B5EF4-FFF2-40B4-BE49-F238E27FC236}">
                  <a16:creationId xmlns:a16="http://schemas.microsoft.com/office/drawing/2014/main" id="{00000000-0008-0000-0500-000022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81</xdr:row>
          <xdr:rowOff>0</xdr:rowOff>
        </xdr:to>
        <xdr:sp macro="" textlink="">
          <xdr:nvSpPr>
            <xdr:cNvPr id="101379" name="Option Button 3" hidden="1">
              <a:extLst>
                <a:ext uri="{63B3BB69-23CF-44E3-9099-C40C66FF867C}">
                  <a14:compatExt spid="_x0000_s101379"/>
                </a:ext>
                <a:ext uri="{FF2B5EF4-FFF2-40B4-BE49-F238E27FC236}">
                  <a16:creationId xmlns:a16="http://schemas.microsoft.com/office/drawing/2014/main" id="{00000000-0008-0000-0600-000003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628650</xdr:colOff>
          <xdr:row>81</xdr:row>
          <xdr:rowOff>0</xdr:rowOff>
        </xdr:to>
        <xdr:sp macro="" textlink="">
          <xdr:nvSpPr>
            <xdr:cNvPr id="101380" name="Option Button 4" hidden="1">
              <a:extLst>
                <a:ext uri="{63B3BB69-23CF-44E3-9099-C40C66FF867C}">
                  <a14:compatExt spid="_x0000_s101380"/>
                </a:ext>
                <a:ext uri="{FF2B5EF4-FFF2-40B4-BE49-F238E27FC236}">
                  <a16:creationId xmlns:a16="http://schemas.microsoft.com/office/drawing/2014/main" id="{00000000-0008-0000-0600-000004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81</xdr:row>
          <xdr:rowOff>0</xdr:rowOff>
        </xdr:to>
        <xdr:sp macro="" textlink="">
          <xdr:nvSpPr>
            <xdr:cNvPr id="101381" name="Option Button 5" hidden="1">
              <a:extLst>
                <a:ext uri="{63B3BB69-23CF-44E3-9099-C40C66FF867C}">
                  <a14:compatExt spid="_x0000_s101381"/>
                </a:ext>
                <a:ext uri="{FF2B5EF4-FFF2-40B4-BE49-F238E27FC236}">
                  <a16:creationId xmlns:a16="http://schemas.microsoft.com/office/drawing/2014/main" id="{00000000-0008-0000-0600-000005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628650</xdr:colOff>
          <xdr:row>81</xdr:row>
          <xdr:rowOff>0</xdr:rowOff>
        </xdr:to>
        <xdr:sp macro="" textlink="">
          <xdr:nvSpPr>
            <xdr:cNvPr id="101382" name="Option Button 6" hidden="1">
              <a:extLst>
                <a:ext uri="{63B3BB69-23CF-44E3-9099-C40C66FF867C}">
                  <a14:compatExt spid="_x0000_s101382"/>
                </a:ext>
                <a:ext uri="{FF2B5EF4-FFF2-40B4-BE49-F238E27FC236}">
                  <a16:creationId xmlns:a16="http://schemas.microsoft.com/office/drawing/2014/main" id="{00000000-0008-0000-0600-000006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81</xdr:row>
          <xdr:rowOff>0</xdr:rowOff>
        </xdr:to>
        <xdr:sp macro="" textlink="">
          <xdr:nvSpPr>
            <xdr:cNvPr id="101383" name="Option Button 7" hidden="1">
              <a:extLst>
                <a:ext uri="{63B3BB69-23CF-44E3-9099-C40C66FF867C}">
                  <a14:compatExt spid="_x0000_s101383"/>
                </a:ext>
                <a:ext uri="{FF2B5EF4-FFF2-40B4-BE49-F238E27FC236}">
                  <a16:creationId xmlns:a16="http://schemas.microsoft.com/office/drawing/2014/main" id="{00000000-0008-0000-0600-000007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628650</xdr:colOff>
          <xdr:row>81</xdr:row>
          <xdr:rowOff>0</xdr:rowOff>
        </xdr:to>
        <xdr:sp macro="" textlink="">
          <xdr:nvSpPr>
            <xdr:cNvPr id="101384" name="Option Button 8" hidden="1">
              <a:extLst>
                <a:ext uri="{63B3BB69-23CF-44E3-9099-C40C66FF867C}">
                  <a14:compatExt spid="_x0000_s101384"/>
                </a:ext>
                <a:ext uri="{FF2B5EF4-FFF2-40B4-BE49-F238E27FC236}">
                  <a16:creationId xmlns:a16="http://schemas.microsoft.com/office/drawing/2014/main" id="{00000000-0008-0000-0600-000008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81</xdr:row>
          <xdr:rowOff>0</xdr:rowOff>
        </xdr:to>
        <xdr:sp macro="" textlink="">
          <xdr:nvSpPr>
            <xdr:cNvPr id="101385" name="Option Button 9" hidden="1">
              <a:extLst>
                <a:ext uri="{63B3BB69-23CF-44E3-9099-C40C66FF867C}">
                  <a14:compatExt spid="_x0000_s101385"/>
                </a:ext>
                <a:ext uri="{FF2B5EF4-FFF2-40B4-BE49-F238E27FC236}">
                  <a16:creationId xmlns:a16="http://schemas.microsoft.com/office/drawing/2014/main" id="{00000000-0008-0000-0600-000009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628650</xdr:colOff>
          <xdr:row>81</xdr:row>
          <xdr:rowOff>0</xdr:rowOff>
        </xdr:to>
        <xdr:sp macro="" textlink="">
          <xdr:nvSpPr>
            <xdr:cNvPr id="101386" name="Option Button 10" hidden="1">
              <a:extLst>
                <a:ext uri="{63B3BB69-23CF-44E3-9099-C40C66FF867C}">
                  <a14:compatExt spid="_x0000_s101386"/>
                </a:ext>
                <a:ext uri="{FF2B5EF4-FFF2-40B4-BE49-F238E27FC236}">
                  <a16:creationId xmlns:a16="http://schemas.microsoft.com/office/drawing/2014/main" id="{00000000-0008-0000-0600-00000A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81</xdr:row>
          <xdr:rowOff>0</xdr:rowOff>
        </xdr:to>
        <xdr:sp macro="" textlink="">
          <xdr:nvSpPr>
            <xdr:cNvPr id="101387" name="Option Button 11" hidden="1">
              <a:extLst>
                <a:ext uri="{63B3BB69-23CF-44E3-9099-C40C66FF867C}">
                  <a14:compatExt spid="_x0000_s101387"/>
                </a:ext>
                <a:ext uri="{FF2B5EF4-FFF2-40B4-BE49-F238E27FC236}">
                  <a16:creationId xmlns:a16="http://schemas.microsoft.com/office/drawing/2014/main" id="{00000000-0008-0000-0600-00000B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628650</xdr:colOff>
          <xdr:row>81</xdr:row>
          <xdr:rowOff>0</xdr:rowOff>
        </xdr:to>
        <xdr:sp macro="" textlink="">
          <xdr:nvSpPr>
            <xdr:cNvPr id="101388" name="Option Button 12" hidden="1">
              <a:extLst>
                <a:ext uri="{63B3BB69-23CF-44E3-9099-C40C66FF867C}">
                  <a14:compatExt spid="_x0000_s101388"/>
                </a:ext>
                <a:ext uri="{FF2B5EF4-FFF2-40B4-BE49-F238E27FC236}">
                  <a16:creationId xmlns:a16="http://schemas.microsoft.com/office/drawing/2014/main" id="{00000000-0008-0000-0600-00000C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01389" name="Option Button 13" hidden="1">
              <a:extLst>
                <a:ext uri="{63B3BB69-23CF-44E3-9099-C40C66FF867C}">
                  <a14:compatExt spid="_x0000_s101389"/>
                </a:ext>
                <a:ext uri="{FF2B5EF4-FFF2-40B4-BE49-F238E27FC236}">
                  <a16:creationId xmlns:a16="http://schemas.microsoft.com/office/drawing/2014/main" id="{00000000-0008-0000-0600-00000D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628650</xdr:colOff>
          <xdr:row>81</xdr:row>
          <xdr:rowOff>38100</xdr:rowOff>
        </xdr:to>
        <xdr:sp macro="" textlink="">
          <xdr:nvSpPr>
            <xdr:cNvPr id="101390" name="Option Button 14" hidden="1">
              <a:extLst>
                <a:ext uri="{63B3BB69-23CF-44E3-9099-C40C66FF867C}">
                  <a14:compatExt spid="_x0000_s101390"/>
                </a:ext>
                <a:ext uri="{FF2B5EF4-FFF2-40B4-BE49-F238E27FC236}">
                  <a16:creationId xmlns:a16="http://schemas.microsoft.com/office/drawing/2014/main" id="{00000000-0008-0000-0600-00000E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01391" name="Option Button 15" hidden="1">
              <a:extLst>
                <a:ext uri="{63B3BB69-23CF-44E3-9099-C40C66FF867C}">
                  <a14:compatExt spid="_x0000_s101391"/>
                </a:ext>
                <a:ext uri="{FF2B5EF4-FFF2-40B4-BE49-F238E27FC236}">
                  <a16:creationId xmlns:a16="http://schemas.microsoft.com/office/drawing/2014/main" id="{00000000-0008-0000-0600-00000F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628650</xdr:colOff>
          <xdr:row>81</xdr:row>
          <xdr:rowOff>38100</xdr:rowOff>
        </xdr:to>
        <xdr:sp macro="" textlink="">
          <xdr:nvSpPr>
            <xdr:cNvPr id="101392" name="Option Button 16" hidden="1">
              <a:extLst>
                <a:ext uri="{63B3BB69-23CF-44E3-9099-C40C66FF867C}">
                  <a14:compatExt spid="_x0000_s101392"/>
                </a:ext>
                <a:ext uri="{FF2B5EF4-FFF2-40B4-BE49-F238E27FC236}">
                  <a16:creationId xmlns:a16="http://schemas.microsoft.com/office/drawing/2014/main" id="{00000000-0008-0000-0600-000010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01393" name="Option Button 17" hidden="1">
              <a:extLst>
                <a:ext uri="{63B3BB69-23CF-44E3-9099-C40C66FF867C}">
                  <a14:compatExt spid="_x0000_s101393"/>
                </a:ext>
                <a:ext uri="{FF2B5EF4-FFF2-40B4-BE49-F238E27FC236}">
                  <a16:creationId xmlns:a16="http://schemas.microsoft.com/office/drawing/2014/main" id="{00000000-0008-0000-0600-000011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628650</xdr:colOff>
          <xdr:row>81</xdr:row>
          <xdr:rowOff>38100</xdr:rowOff>
        </xdr:to>
        <xdr:sp macro="" textlink="">
          <xdr:nvSpPr>
            <xdr:cNvPr id="101394" name="Option Button 18" hidden="1">
              <a:extLst>
                <a:ext uri="{63B3BB69-23CF-44E3-9099-C40C66FF867C}">
                  <a14:compatExt spid="_x0000_s101394"/>
                </a:ext>
                <a:ext uri="{FF2B5EF4-FFF2-40B4-BE49-F238E27FC236}">
                  <a16:creationId xmlns:a16="http://schemas.microsoft.com/office/drawing/2014/main" id="{00000000-0008-0000-0600-000012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01395" name="Option Button 19" hidden="1">
              <a:extLst>
                <a:ext uri="{63B3BB69-23CF-44E3-9099-C40C66FF867C}">
                  <a14:compatExt spid="_x0000_s101395"/>
                </a:ext>
                <a:ext uri="{FF2B5EF4-FFF2-40B4-BE49-F238E27FC236}">
                  <a16:creationId xmlns:a16="http://schemas.microsoft.com/office/drawing/2014/main" id="{00000000-0008-0000-0600-000013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628650</xdr:colOff>
          <xdr:row>81</xdr:row>
          <xdr:rowOff>38100</xdr:rowOff>
        </xdr:to>
        <xdr:sp macro="" textlink="">
          <xdr:nvSpPr>
            <xdr:cNvPr id="101396" name="Option Button 20" hidden="1">
              <a:extLst>
                <a:ext uri="{63B3BB69-23CF-44E3-9099-C40C66FF867C}">
                  <a14:compatExt spid="_x0000_s101396"/>
                </a:ext>
                <a:ext uri="{FF2B5EF4-FFF2-40B4-BE49-F238E27FC236}">
                  <a16:creationId xmlns:a16="http://schemas.microsoft.com/office/drawing/2014/main" id="{00000000-0008-0000-0600-000014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01397" name="Option Button 21" hidden="1">
              <a:extLst>
                <a:ext uri="{63B3BB69-23CF-44E3-9099-C40C66FF867C}">
                  <a14:compatExt spid="_x0000_s101397"/>
                </a:ext>
                <a:ext uri="{FF2B5EF4-FFF2-40B4-BE49-F238E27FC236}">
                  <a16:creationId xmlns:a16="http://schemas.microsoft.com/office/drawing/2014/main" id="{00000000-0008-0000-0600-000015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628650</xdr:colOff>
          <xdr:row>81</xdr:row>
          <xdr:rowOff>38100</xdr:rowOff>
        </xdr:to>
        <xdr:sp macro="" textlink="">
          <xdr:nvSpPr>
            <xdr:cNvPr id="101398" name="Option Button 22" hidden="1">
              <a:extLst>
                <a:ext uri="{63B3BB69-23CF-44E3-9099-C40C66FF867C}">
                  <a14:compatExt spid="_x0000_s101398"/>
                </a:ext>
                <a:ext uri="{FF2B5EF4-FFF2-40B4-BE49-F238E27FC236}">
                  <a16:creationId xmlns:a16="http://schemas.microsoft.com/office/drawing/2014/main" id="{00000000-0008-0000-0600-000016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01399" name="Option Button 23" hidden="1">
              <a:extLst>
                <a:ext uri="{63B3BB69-23CF-44E3-9099-C40C66FF867C}">
                  <a14:compatExt spid="_x0000_s101399"/>
                </a:ext>
                <a:ext uri="{FF2B5EF4-FFF2-40B4-BE49-F238E27FC236}">
                  <a16:creationId xmlns:a16="http://schemas.microsoft.com/office/drawing/2014/main" id="{00000000-0008-0000-0600-000017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628650</xdr:colOff>
          <xdr:row>81</xdr:row>
          <xdr:rowOff>38100</xdr:rowOff>
        </xdr:to>
        <xdr:sp macro="" textlink="">
          <xdr:nvSpPr>
            <xdr:cNvPr id="101400" name="Option Button 24" hidden="1">
              <a:extLst>
                <a:ext uri="{63B3BB69-23CF-44E3-9099-C40C66FF867C}">
                  <a14:compatExt spid="_x0000_s101400"/>
                </a:ext>
                <a:ext uri="{FF2B5EF4-FFF2-40B4-BE49-F238E27FC236}">
                  <a16:creationId xmlns:a16="http://schemas.microsoft.com/office/drawing/2014/main" id="{00000000-0008-0000-0600-000018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01401" name="Option Button 25" hidden="1">
              <a:extLst>
                <a:ext uri="{63B3BB69-23CF-44E3-9099-C40C66FF867C}">
                  <a14:compatExt spid="_x0000_s101401"/>
                </a:ext>
                <a:ext uri="{FF2B5EF4-FFF2-40B4-BE49-F238E27FC236}">
                  <a16:creationId xmlns:a16="http://schemas.microsoft.com/office/drawing/2014/main" id="{00000000-0008-0000-0600-000019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628650</xdr:colOff>
          <xdr:row>81</xdr:row>
          <xdr:rowOff>38100</xdr:rowOff>
        </xdr:to>
        <xdr:sp macro="" textlink="">
          <xdr:nvSpPr>
            <xdr:cNvPr id="101402" name="Option Button 26" hidden="1">
              <a:extLst>
                <a:ext uri="{63B3BB69-23CF-44E3-9099-C40C66FF867C}">
                  <a14:compatExt spid="_x0000_s101402"/>
                </a:ext>
                <a:ext uri="{FF2B5EF4-FFF2-40B4-BE49-F238E27FC236}">
                  <a16:creationId xmlns:a16="http://schemas.microsoft.com/office/drawing/2014/main" id="{00000000-0008-0000-0600-00001A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01403" name="Option Button 27" hidden="1">
              <a:extLst>
                <a:ext uri="{63B3BB69-23CF-44E3-9099-C40C66FF867C}">
                  <a14:compatExt spid="_x0000_s101403"/>
                </a:ext>
                <a:ext uri="{FF2B5EF4-FFF2-40B4-BE49-F238E27FC236}">
                  <a16:creationId xmlns:a16="http://schemas.microsoft.com/office/drawing/2014/main" id="{00000000-0008-0000-0600-00001B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628650</xdr:colOff>
          <xdr:row>81</xdr:row>
          <xdr:rowOff>38100</xdr:rowOff>
        </xdr:to>
        <xdr:sp macro="" textlink="">
          <xdr:nvSpPr>
            <xdr:cNvPr id="101404" name="Option Button 28" hidden="1">
              <a:extLst>
                <a:ext uri="{63B3BB69-23CF-44E3-9099-C40C66FF867C}">
                  <a14:compatExt spid="_x0000_s101404"/>
                </a:ext>
                <a:ext uri="{FF2B5EF4-FFF2-40B4-BE49-F238E27FC236}">
                  <a16:creationId xmlns:a16="http://schemas.microsoft.com/office/drawing/2014/main" id="{00000000-0008-0000-0600-00001C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01405" name="Option Button 29" hidden="1">
              <a:extLst>
                <a:ext uri="{63B3BB69-23CF-44E3-9099-C40C66FF867C}">
                  <a14:compatExt spid="_x0000_s101405"/>
                </a:ext>
                <a:ext uri="{FF2B5EF4-FFF2-40B4-BE49-F238E27FC236}">
                  <a16:creationId xmlns:a16="http://schemas.microsoft.com/office/drawing/2014/main" id="{00000000-0008-0000-0600-00001D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628650</xdr:colOff>
          <xdr:row>81</xdr:row>
          <xdr:rowOff>38100</xdr:rowOff>
        </xdr:to>
        <xdr:sp macro="" textlink="">
          <xdr:nvSpPr>
            <xdr:cNvPr id="101406" name="Option Button 30" hidden="1">
              <a:extLst>
                <a:ext uri="{63B3BB69-23CF-44E3-9099-C40C66FF867C}">
                  <a14:compatExt spid="_x0000_s101406"/>
                </a:ext>
                <a:ext uri="{FF2B5EF4-FFF2-40B4-BE49-F238E27FC236}">
                  <a16:creationId xmlns:a16="http://schemas.microsoft.com/office/drawing/2014/main" id="{00000000-0008-0000-0600-00001E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01407" name="Option Button 31" hidden="1">
              <a:extLst>
                <a:ext uri="{63B3BB69-23CF-44E3-9099-C40C66FF867C}">
                  <a14:compatExt spid="_x0000_s101407"/>
                </a:ext>
                <a:ext uri="{FF2B5EF4-FFF2-40B4-BE49-F238E27FC236}">
                  <a16:creationId xmlns:a16="http://schemas.microsoft.com/office/drawing/2014/main" id="{00000000-0008-0000-0600-00001F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628650</xdr:colOff>
          <xdr:row>81</xdr:row>
          <xdr:rowOff>38100</xdr:rowOff>
        </xdr:to>
        <xdr:sp macro="" textlink="">
          <xdr:nvSpPr>
            <xdr:cNvPr id="101408" name="Option Button 32" hidden="1">
              <a:extLst>
                <a:ext uri="{63B3BB69-23CF-44E3-9099-C40C66FF867C}">
                  <a14:compatExt spid="_x0000_s101408"/>
                </a:ext>
                <a:ext uri="{FF2B5EF4-FFF2-40B4-BE49-F238E27FC236}">
                  <a16:creationId xmlns:a16="http://schemas.microsoft.com/office/drawing/2014/main" id="{00000000-0008-0000-0600-000020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01409" name="Option Button 33" hidden="1">
              <a:extLst>
                <a:ext uri="{63B3BB69-23CF-44E3-9099-C40C66FF867C}">
                  <a14:compatExt spid="_x0000_s101409"/>
                </a:ext>
                <a:ext uri="{FF2B5EF4-FFF2-40B4-BE49-F238E27FC236}">
                  <a16:creationId xmlns:a16="http://schemas.microsoft.com/office/drawing/2014/main" id="{00000000-0008-0000-0600-000021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628650</xdr:colOff>
          <xdr:row>81</xdr:row>
          <xdr:rowOff>38100</xdr:rowOff>
        </xdr:to>
        <xdr:sp macro="" textlink="">
          <xdr:nvSpPr>
            <xdr:cNvPr id="101410" name="Option Button 34" hidden="1">
              <a:extLst>
                <a:ext uri="{63B3BB69-23CF-44E3-9099-C40C66FF867C}">
                  <a14:compatExt spid="_x0000_s101410"/>
                </a:ext>
                <a:ext uri="{FF2B5EF4-FFF2-40B4-BE49-F238E27FC236}">
                  <a16:creationId xmlns:a16="http://schemas.microsoft.com/office/drawing/2014/main" id="{00000000-0008-0000-0600-000022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01411" name="Option Button 35" hidden="1">
              <a:extLst>
                <a:ext uri="{63B3BB69-23CF-44E3-9099-C40C66FF867C}">
                  <a14:compatExt spid="_x0000_s101411"/>
                </a:ext>
                <a:ext uri="{FF2B5EF4-FFF2-40B4-BE49-F238E27FC236}">
                  <a16:creationId xmlns:a16="http://schemas.microsoft.com/office/drawing/2014/main" id="{00000000-0008-0000-0600-000023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628650</xdr:colOff>
          <xdr:row>81</xdr:row>
          <xdr:rowOff>38100</xdr:rowOff>
        </xdr:to>
        <xdr:sp macro="" textlink="">
          <xdr:nvSpPr>
            <xdr:cNvPr id="101412" name="Option Button 36" hidden="1">
              <a:extLst>
                <a:ext uri="{63B3BB69-23CF-44E3-9099-C40C66FF867C}">
                  <a14:compatExt spid="_x0000_s101412"/>
                </a:ext>
                <a:ext uri="{FF2B5EF4-FFF2-40B4-BE49-F238E27FC236}">
                  <a16:creationId xmlns:a16="http://schemas.microsoft.com/office/drawing/2014/main" id="{00000000-0008-0000-0600-000024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01413" name="Option Button 37" hidden="1">
              <a:extLst>
                <a:ext uri="{63B3BB69-23CF-44E3-9099-C40C66FF867C}">
                  <a14:compatExt spid="_x0000_s101413"/>
                </a:ext>
                <a:ext uri="{FF2B5EF4-FFF2-40B4-BE49-F238E27FC236}">
                  <a16:creationId xmlns:a16="http://schemas.microsoft.com/office/drawing/2014/main" id="{00000000-0008-0000-0600-000025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628650</xdr:colOff>
          <xdr:row>81</xdr:row>
          <xdr:rowOff>38100</xdr:rowOff>
        </xdr:to>
        <xdr:sp macro="" textlink="">
          <xdr:nvSpPr>
            <xdr:cNvPr id="101414" name="Option Button 38" hidden="1">
              <a:extLst>
                <a:ext uri="{63B3BB69-23CF-44E3-9099-C40C66FF867C}">
                  <a14:compatExt spid="_x0000_s101414"/>
                </a:ext>
                <a:ext uri="{FF2B5EF4-FFF2-40B4-BE49-F238E27FC236}">
                  <a16:creationId xmlns:a16="http://schemas.microsoft.com/office/drawing/2014/main" id="{00000000-0008-0000-0600-000026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81</xdr:row>
          <xdr:rowOff>0</xdr:rowOff>
        </xdr:to>
        <xdr:sp macro="" textlink="">
          <xdr:nvSpPr>
            <xdr:cNvPr id="164865" name="Option Button 1" hidden="1">
              <a:extLst>
                <a:ext uri="{63B3BB69-23CF-44E3-9099-C40C66FF867C}">
                  <a14:compatExt spid="_x0000_s164865"/>
                </a:ext>
                <a:ext uri="{FF2B5EF4-FFF2-40B4-BE49-F238E27FC236}">
                  <a16:creationId xmlns:a16="http://schemas.microsoft.com/office/drawing/2014/main" id="{00000000-0008-0000-0700-000001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628650</xdr:colOff>
          <xdr:row>81</xdr:row>
          <xdr:rowOff>0</xdr:rowOff>
        </xdr:to>
        <xdr:sp macro="" textlink="">
          <xdr:nvSpPr>
            <xdr:cNvPr id="164866" name="Option Button 2" hidden="1">
              <a:extLst>
                <a:ext uri="{63B3BB69-23CF-44E3-9099-C40C66FF867C}">
                  <a14:compatExt spid="_x0000_s164866"/>
                </a:ext>
                <a:ext uri="{FF2B5EF4-FFF2-40B4-BE49-F238E27FC236}">
                  <a16:creationId xmlns:a16="http://schemas.microsoft.com/office/drawing/2014/main" id="{00000000-0008-0000-0700-000002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81</xdr:row>
          <xdr:rowOff>0</xdr:rowOff>
        </xdr:to>
        <xdr:sp macro="" textlink="">
          <xdr:nvSpPr>
            <xdr:cNvPr id="164867" name="Option Button 3" hidden="1">
              <a:extLst>
                <a:ext uri="{63B3BB69-23CF-44E3-9099-C40C66FF867C}">
                  <a14:compatExt spid="_x0000_s164867"/>
                </a:ext>
                <a:ext uri="{FF2B5EF4-FFF2-40B4-BE49-F238E27FC236}">
                  <a16:creationId xmlns:a16="http://schemas.microsoft.com/office/drawing/2014/main" id="{00000000-0008-0000-0700-000003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628650</xdr:colOff>
          <xdr:row>81</xdr:row>
          <xdr:rowOff>0</xdr:rowOff>
        </xdr:to>
        <xdr:sp macro="" textlink="">
          <xdr:nvSpPr>
            <xdr:cNvPr id="164868" name="Option Button 4" hidden="1">
              <a:extLst>
                <a:ext uri="{63B3BB69-23CF-44E3-9099-C40C66FF867C}">
                  <a14:compatExt spid="_x0000_s164868"/>
                </a:ext>
                <a:ext uri="{FF2B5EF4-FFF2-40B4-BE49-F238E27FC236}">
                  <a16:creationId xmlns:a16="http://schemas.microsoft.com/office/drawing/2014/main" id="{00000000-0008-0000-0700-000004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81</xdr:row>
          <xdr:rowOff>0</xdr:rowOff>
        </xdr:to>
        <xdr:sp macro="" textlink="">
          <xdr:nvSpPr>
            <xdr:cNvPr id="164869" name="Option Button 5" hidden="1">
              <a:extLst>
                <a:ext uri="{63B3BB69-23CF-44E3-9099-C40C66FF867C}">
                  <a14:compatExt spid="_x0000_s164869"/>
                </a:ext>
                <a:ext uri="{FF2B5EF4-FFF2-40B4-BE49-F238E27FC236}">
                  <a16:creationId xmlns:a16="http://schemas.microsoft.com/office/drawing/2014/main" id="{00000000-0008-0000-0700-000005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628650</xdr:colOff>
          <xdr:row>81</xdr:row>
          <xdr:rowOff>0</xdr:rowOff>
        </xdr:to>
        <xdr:sp macro="" textlink="">
          <xdr:nvSpPr>
            <xdr:cNvPr id="164870" name="Option Button 6" hidden="1">
              <a:extLst>
                <a:ext uri="{63B3BB69-23CF-44E3-9099-C40C66FF867C}">
                  <a14:compatExt spid="_x0000_s164870"/>
                </a:ext>
                <a:ext uri="{FF2B5EF4-FFF2-40B4-BE49-F238E27FC236}">
                  <a16:creationId xmlns:a16="http://schemas.microsoft.com/office/drawing/2014/main" id="{00000000-0008-0000-0700-000006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81</xdr:row>
          <xdr:rowOff>0</xdr:rowOff>
        </xdr:to>
        <xdr:sp macro="" textlink="">
          <xdr:nvSpPr>
            <xdr:cNvPr id="164871" name="Option Button 7" hidden="1">
              <a:extLst>
                <a:ext uri="{63B3BB69-23CF-44E3-9099-C40C66FF867C}">
                  <a14:compatExt spid="_x0000_s164871"/>
                </a:ext>
                <a:ext uri="{FF2B5EF4-FFF2-40B4-BE49-F238E27FC236}">
                  <a16:creationId xmlns:a16="http://schemas.microsoft.com/office/drawing/2014/main" id="{00000000-0008-0000-0700-000007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628650</xdr:colOff>
          <xdr:row>81</xdr:row>
          <xdr:rowOff>0</xdr:rowOff>
        </xdr:to>
        <xdr:sp macro="" textlink="">
          <xdr:nvSpPr>
            <xdr:cNvPr id="164872" name="Option Button 8" hidden="1">
              <a:extLst>
                <a:ext uri="{63B3BB69-23CF-44E3-9099-C40C66FF867C}">
                  <a14:compatExt spid="_x0000_s164872"/>
                </a:ext>
                <a:ext uri="{FF2B5EF4-FFF2-40B4-BE49-F238E27FC236}">
                  <a16:creationId xmlns:a16="http://schemas.microsoft.com/office/drawing/2014/main" id="{00000000-0008-0000-0700-000008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81</xdr:row>
          <xdr:rowOff>0</xdr:rowOff>
        </xdr:to>
        <xdr:sp macro="" textlink="">
          <xdr:nvSpPr>
            <xdr:cNvPr id="164873" name="Option Button 9" hidden="1">
              <a:extLst>
                <a:ext uri="{63B3BB69-23CF-44E3-9099-C40C66FF867C}">
                  <a14:compatExt spid="_x0000_s164873"/>
                </a:ext>
                <a:ext uri="{FF2B5EF4-FFF2-40B4-BE49-F238E27FC236}">
                  <a16:creationId xmlns:a16="http://schemas.microsoft.com/office/drawing/2014/main" id="{00000000-0008-0000-0700-000009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628650</xdr:colOff>
          <xdr:row>81</xdr:row>
          <xdr:rowOff>0</xdr:rowOff>
        </xdr:to>
        <xdr:sp macro="" textlink="">
          <xdr:nvSpPr>
            <xdr:cNvPr id="164874" name="Option Button 10" hidden="1">
              <a:extLst>
                <a:ext uri="{63B3BB69-23CF-44E3-9099-C40C66FF867C}">
                  <a14:compatExt spid="_x0000_s164874"/>
                </a:ext>
                <a:ext uri="{FF2B5EF4-FFF2-40B4-BE49-F238E27FC236}">
                  <a16:creationId xmlns:a16="http://schemas.microsoft.com/office/drawing/2014/main" id="{00000000-0008-0000-0700-00000A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64875" name="Option Button 11" hidden="1">
              <a:extLst>
                <a:ext uri="{63B3BB69-23CF-44E3-9099-C40C66FF867C}">
                  <a14:compatExt spid="_x0000_s164875"/>
                </a:ext>
                <a:ext uri="{FF2B5EF4-FFF2-40B4-BE49-F238E27FC236}">
                  <a16:creationId xmlns:a16="http://schemas.microsoft.com/office/drawing/2014/main" id="{00000000-0008-0000-0700-00000B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628650</xdr:colOff>
          <xdr:row>81</xdr:row>
          <xdr:rowOff>38100</xdr:rowOff>
        </xdr:to>
        <xdr:sp macro="" textlink="">
          <xdr:nvSpPr>
            <xdr:cNvPr id="164876" name="Option Button 12" hidden="1">
              <a:extLst>
                <a:ext uri="{63B3BB69-23CF-44E3-9099-C40C66FF867C}">
                  <a14:compatExt spid="_x0000_s164876"/>
                </a:ext>
                <a:ext uri="{FF2B5EF4-FFF2-40B4-BE49-F238E27FC236}">
                  <a16:creationId xmlns:a16="http://schemas.microsoft.com/office/drawing/2014/main" id="{00000000-0008-0000-0700-00000C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64877" name="Option Button 13" hidden="1">
              <a:extLst>
                <a:ext uri="{63B3BB69-23CF-44E3-9099-C40C66FF867C}">
                  <a14:compatExt spid="_x0000_s164877"/>
                </a:ext>
                <a:ext uri="{FF2B5EF4-FFF2-40B4-BE49-F238E27FC236}">
                  <a16:creationId xmlns:a16="http://schemas.microsoft.com/office/drawing/2014/main" id="{00000000-0008-0000-0700-00000D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628650</xdr:colOff>
          <xdr:row>81</xdr:row>
          <xdr:rowOff>38100</xdr:rowOff>
        </xdr:to>
        <xdr:sp macro="" textlink="">
          <xdr:nvSpPr>
            <xdr:cNvPr id="164878" name="Option Button 14" hidden="1">
              <a:extLst>
                <a:ext uri="{63B3BB69-23CF-44E3-9099-C40C66FF867C}">
                  <a14:compatExt spid="_x0000_s164878"/>
                </a:ext>
                <a:ext uri="{FF2B5EF4-FFF2-40B4-BE49-F238E27FC236}">
                  <a16:creationId xmlns:a16="http://schemas.microsoft.com/office/drawing/2014/main" id="{00000000-0008-0000-0700-00000E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64879" name="Option Button 15" hidden="1">
              <a:extLst>
                <a:ext uri="{63B3BB69-23CF-44E3-9099-C40C66FF867C}">
                  <a14:compatExt spid="_x0000_s164879"/>
                </a:ext>
                <a:ext uri="{FF2B5EF4-FFF2-40B4-BE49-F238E27FC236}">
                  <a16:creationId xmlns:a16="http://schemas.microsoft.com/office/drawing/2014/main" id="{00000000-0008-0000-0700-00000F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628650</xdr:colOff>
          <xdr:row>81</xdr:row>
          <xdr:rowOff>38100</xdr:rowOff>
        </xdr:to>
        <xdr:sp macro="" textlink="">
          <xdr:nvSpPr>
            <xdr:cNvPr id="164880" name="Option Button 16" hidden="1">
              <a:extLst>
                <a:ext uri="{63B3BB69-23CF-44E3-9099-C40C66FF867C}">
                  <a14:compatExt spid="_x0000_s164880"/>
                </a:ext>
                <a:ext uri="{FF2B5EF4-FFF2-40B4-BE49-F238E27FC236}">
                  <a16:creationId xmlns:a16="http://schemas.microsoft.com/office/drawing/2014/main" id="{00000000-0008-0000-0700-000010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64881" name="Option Button 17" hidden="1">
              <a:extLst>
                <a:ext uri="{63B3BB69-23CF-44E3-9099-C40C66FF867C}">
                  <a14:compatExt spid="_x0000_s164881"/>
                </a:ext>
                <a:ext uri="{FF2B5EF4-FFF2-40B4-BE49-F238E27FC236}">
                  <a16:creationId xmlns:a16="http://schemas.microsoft.com/office/drawing/2014/main" id="{00000000-0008-0000-0700-000011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628650</xdr:colOff>
          <xdr:row>81</xdr:row>
          <xdr:rowOff>38100</xdr:rowOff>
        </xdr:to>
        <xdr:sp macro="" textlink="">
          <xdr:nvSpPr>
            <xdr:cNvPr id="164882" name="Option Button 18" hidden="1">
              <a:extLst>
                <a:ext uri="{63B3BB69-23CF-44E3-9099-C40C66FF867C}">
                  <a14:compatExt spid="_x0000_s164882"/>
                </a:ext>
                <a:ext uri="{FF2B5EF4-FFF2-40B4-BE49-F238E27FC236}">
                  <a16:creationId xmlns:a16="http://schemas.microsoft.com/office/drawing/2014/main" id="{00000000-0008-0000-0700-000012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64883" name="Option Button 19" hidden="1">
              <a:extLst>
                <a:ext uri="{63B3BB69-23CF-44E3-9099-C40C66FF867C}">
                  <a14:compatExt spid="_x0000_s164883"/>
                </a:ext>
                <a:ext uri="{FF2B5EF4-FFF2-40B4-BE49-F238E27FC236}">
                  <a16:creationId xmlns:a16="http://schemas.microsoft.com/office/drawing/2014/main" id="{00000000-0008-0000-0700-000013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628650</xdr:colOff>
          <xdr:row>81</xdr:row>
          <xdr:rowOff>38100</xdr:rowOff>
        </xdr:to>
        <xdr:sp macro="" textlink="">
          <xdr:nvSpPr>
            <xdr:cNvPr id="164884" name="Option Button 20" hidden="1">
              <a:extLst>
                <a:ext uri="{63B3BB69-23CF-44E3-9099-C40C66FF867C}">
                  <a14:compatExt spid="_x0000_s164884"/>
                </a:ext>
                <a:ext uri="{FF2B5EF4-FFF2-40B4-BE49-F238E27FC236}">
                  <a16:creationId xmlns:a16="http://schemas.microsoft.com/office/drawing/2014/main" id="{00000000-0008-0000-0700-000014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64885" name="Option Button 21" hidden="1">
              <a:extLst>
                <a:ext uri="{63B3BB69-23CF-44E3-9099-C40C66FF867C}">
                  <a14:compatExt spid="_x0000_s164885"/>
                </a:ext>
                <a:ext uri="{FF2B5EF4-FFF2-40B4-BE49-F238E27FC236}">
                  <a16:creationId xmlns:a16="http://schemas.microsoft.com/office/drawing/2014/main" id="{00000000-0008-0000-0700-000015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628650</xdr:colOff>
          <xdr:row>81</xdr:row>
          <xdr:rowOff>38100</xdr:rowOff>
        </xdr:to>
        <xdr:sp macro="" textlink="">
          <xdr:nvSpPr>
            <xdr:cNvPr id="164886" name="Option Button 22" hidden="1">
              <a:extLst>
                <a:ext uri="{63B3BB69-23CF-44E3-9099-C40C66FF867C}">
                  <a14:compatExt spid="_x0000_s164886"/>
                </a:ext>
                <a:ext uri="{FF2B5EF4-FFF2-40B4-BE49-F238E27FC236}">
                  <a16:creationId xmlns:a16="http://schemas.microsoft.com/office/drawing/2014/main" id="{00000000-0008-0000-0700-000016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64887" name="Option Button 23" hidden="1">
              <a:extLst>
                <a:ext uri="{63B3BB69-23CF-44E3-9099-C40C66FF867C}">
                  <a14:compatExt spid="_x0000_s164887"/>
                </a:ext>
                <a:ext uri="{FF2B5EF4-FFF2-40B4-BE49-F238E27FC236}">
                  <a16:creationId xmlns:a16="http://schemas.microsoft.com/office/drawing/2014/main" id="{00000000-0008-0000-0700-000017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628650</xdr:colOff>
          <xdr:row>81</xdr:row>
          <xdr:rowOff>38100</xdr:rowOff>
        </xdr:to>
        <xdr:sp macro="" textlink="">
          <xdr:nvSpPr>
            <xdr:cNvPr id="164888" name="Option Button 24" hidden="1">
              <a:extLst>
                <a:ext uri="{63B3BB69-23CF-44E3-9099-C40C66FF867C}">
                  <a14:compatExt spid="_x0000_s164888"/>
                </a:ext>
                <a:ext uri="{FF2B5EF4-FFF2-40B4-BE49-F238E27FC236}">
                  <a16:creationId xmlns:a16="http://schemas.microsoft.com/office/drawing/2014/main" id="{00000000-0008-0000-0700-000018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64889" name="Option Button 25" hidden="1">
              <a:extLst>
                <a:ext uri="{63B3BB69-23CF-44E3-9099-C40C66FF867C}">
                  <a14:compatExt spid="_x0000_s164889"/>
                </a:ext>
                <a:ext uri="{FF2B5EF4-FFF2-40B4-BE49-F238E27FC236}">
                  <a16:creationId xmlns:a16="http://schemas.microsoft.com/office/drawing/2014/main" id="{00000000-0008-0000-0700-000019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628650</xdr:colOff>
          <xdr:row>81</xdr:row>
          <xdr:rowOff>38100</xdr:rowOff>
        </xdr:to>
        <xdr:sp macro="" textlink="">
          <xdr:nvSpPr>
            <xdr:cNvPr id="164890" name="Option Button 26" hidden="1">
              <a:extLst>
                <a:ext uri="{63B3BB69-23CF-44E3-9099-C40C66FF867C}">
                  <a14:compatExt spid="_x0000_s164890"/>
                </a:ext>
                <a:ext uri="{FF2B5EF4-FFF2-40B4-BE49-F238E27FC236}">
                  <a16:creationId xmlns:a16="http://schemas.microsoft.com/office/drawing/2014/main" id="{00000000-0008-0000-0700-00001A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64891" name="Option Button 27" hidden="1">
              <a:extLst>
                <a:ext uri="{63B3BB69-23CF-44E3-9099-C40C66FF867C}">
                  <a14:compatExt spid="_x0000_s164891"/>
                </a:ext>
                <a:ext uri="{FF2B5EF4-FFF2-40B4-BE49-F238E27FC236}">
                  <a16:creationId xmlns:a16="http://schemas.microsoft.com/office/drawing/2014/main" id="{00000000-0008-0000-0700-00001B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628650</xdr:colOff>
          <xdr:row>81</xdr:row>
          <xdr:rowOff>38100</xdr:rowOff>
        </xdr:to>
        <xdr:sp macro="" textlink="">
          <xdr:nvSpPr>
            <xdr:cNvPr id="164892" name="Option Button 28" hidden="1">
              <a:extLst>
                <a:ext uri="{63B3BB69-23CF-44E3-9099-C40C66FF867C}">
                  <a14:compatExt spid="_x0000_s164892"/>
                </a:ext>
                <a:ext uri="{FF2B5EF4-FFF2-40B4-BE49-F238E27FC236}">
                  <a16:creationId xmlns:a16="http://schemas.microsoft.com/office/drawing/2014/main" id="{00000000-0008-0000-0700-00001C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64893" name="Option Button 29" hidden="1">
              <a:extLst>
                <a:ext uri="{63B3BB69-23CF-44E3-9099-C40C66FF867C}">
                  <a14:compatExt spid="_x0000_s164893"/>
                </a:ext>
                <a:ext uri="{FF2B5EF4-FFF2-40B4-BE49-F238E27FC236}">
                  <a16:creationId xmlns:a16="http://schemas.microsoft.com/office/drawing/2014/main" id="{00000000-0008-0000-0700-00001D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628650</xdr:colOff>
          <xdr:row>81</xdr:row>
          <xdr:rowOff>38100</xdr:rowOff>
        </xdr:to>
        <xdr:sp macro="" textlink="">
          <xdr:nvSpPr>
            <xdr:cNvPr id="164894" name="Option Button 30" hidden="1">
              <a:extLst>
                <a:ext uri="{63B3BB69-23CF-44E3-9099-C40C66FF867C}">
                  <a14:compatExt spid="_x0000_s164894"/>
                </a:ext>
                <a:ext uri="{FF2B5EF4-FFF2-40B4-BE49-F238E27FC236}">
                  <a16:creationId xmlns:a16="http://schemas.microsoft.com/office/drawing/2014/main" id="{00000000-0008-0000-0700-00001E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64895" name="Option Button 31" hidden="1">
              <a:extLst>
                <a:ext uri="{63B3BB69-23CF-44E3-9099-C40C66FF867C}">
                  <a14:compatExt spid="_x0000_s164895"/>
                </a:ext>
                <a:ext uri="{FF2B5EF4-FFF2-40B4-BE49-F238E27FC236}">
                  <a16:creationId xmlns:a16="http://schemas.microsoft.com/office/drawing/2014/main" id="{00000000-0008-0000-0700-00001F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628650</xdr:colOff>
          <xdr:row>81</xdr:row>
          <xdr:rowOff>38100</xdr:rowOff>
        </xdr:to>
        <xdr:sp macro="" textlink="">
          <xdr:nvSpPr>
            <xdr:cNvPr id="164896" name="Option Button 32" hidden="1">
              <a:extLst>
                <a:ext uri="{63B3BB69-23CF-44E3-9099-C40C66FF867C}">
                  <a14:compatExt spid="_x0000_s164896"/>
                </a:ext>
                <a:ext uri="{FF2B5EF4-FFF2-40B4-BE49-F238E27FC236}">
                  <a16:creationId xmlns:a16="http://schemas.microsoft.com/office/drawing/2014/main" id="{00000000-0008-0000-0700-000020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64897" name="Option Button 33" hidden="1">
              <a:extLst>
                <a:ext uri="{63B3BB69-23CF-44E3-9099-C40C66FF867C}">
                  <a14:compatExt spid="_x0000_s164897"/>
                </a:ext>
                <a:ext uri="{FF2B5EF4-FFF2-40B4-BE49-F238E27FC236}">
                  <a16:creationId xmlns:a16="http://schemas.microsoft.com/office/drawing/2014/main" id="{00000000-0008-0000-0700-000021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628650</xdr:colOff>
          <xdr:row>81</xdr:row>
          <xdr:rowOff>38100</xdr:rowOff>
        </xdr:to>
        <xdr:sp macro="" textlink="">
          <xdr:nvSpPr>
            <xdr:cNvPr id="164898" name="Option Button 34" hidden="1">
              <a:extLst>
                <a:ext uri="{63B3BB69-23CF-44E3-9099-C40C66FF867C}">
                  <a14:compatExt spid="_x0000_s164898"/>
                </a:ext>
                <a:ext uri="{FF2B5EF4-FFF2-40B4-BE49-F238E27FC236}">
                  <a16:creationId xmlns:a16="http://schemas.microsoft.com/office/drawing/2014/main" id="{00000000-0008-0000-0700-000022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80</xdr:row>
          <xdr:rowOff>0</xdr:rowOff>
        </xdr:from>
        <xdr:to>
          <xdr:col>17</xdr:col>
          <xdr:colOff>190500</xdr:colOff>
          <xdr:row>82</xdr:row>
          <xdr:rowOff>9525</xdr:rowOff>
        </xdr:to>
        <xdr:sp macro="" textlink="">
          <xdr:nvSpPr>
            <xdr:cNvPr id="164899" name="Option Button 35" hidden="1">
              <a:extLst>
                <a:ext uri="{63B3BB69-23CF-44E3-9099-C40C66FF867C}">
                  <a14:compatExt spid="_x0000_s164899"/>
                </a:ext>
                <a:ext uri="{FF2B5EF4-FFF2-40B4-BE49-F238E27FC236}">
                  <a16:creationId xmlns:a16="http://schemas.microsoft.com/office/drawing/2014/main" id="{00000000-0008-0000-0700-000023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80</xdr:row>
          <xdr:rowOff>0</xdr:rowOff>
        </xdr:from>
        <xdr:to>
          <xdr:col>9</xdr:col>
          <xdr:colOff>628650</xdr:colOff>
          <xdr:row>81</xdr:row>
          <xdr:rowOff>38100</xdr:rowOff>
        </xdr:to>
        <xdr:sp macro="" textlink="">
          <xdr:nvSpPr>
            <xdr:cNvPr id="164900" name="Option Button 36" hidden="1">
              <a:extLst>
                <a:ext uri="{63B3BB69-23CF-44E3-9099-C40C66FF867C}">
                  <a14:compatExt spid="_x0000_s164900"/>
                </a:ext>
                <a:ext uri="{FF2B5EF4-FFF2-40B4-BE49-F238E27FC236}">
                  <a16:creationId xmlns:a16="http://schemas.microsoft.com/office/drawing/2014/main" id="{00000000-0008-0000-0700-000024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82</xdr:row>
          <xdr:rowOff>0</xdr:rowOff>
        </xdr:from>
        <xdr:to>
          <xdr:col>17</xdr:col>
          <xdr:colOff>190500</xdr:colOff>
          <xdr:row>82</xdr:row>
          <xdr:rowOff>0</xdr:rowOff>
        </xdr:to>
        <xdr:sp macro="" textlink="">
          <xdr:nvSpPr>
            <xdr:cNvPr id="121857" name="Option Button 1" hidden="1">
              <a:extLst>
                <a:ext uri="{63B3BB69-23CF-44E3-9099-C40C66FF867C}">
                  <a14:compatExt spid="_x0000_s121857"/>
                </a:ext>
                <a:ext uri="{FF2B5EF4-FFF2-40B4-BE49-F238E27FC236}">
                  <a16:creationId xmlns:a16="http://schemas.microsoft.com/office/drawing/2014/main" id="{00000000-0008-0000-0800-000001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82</xdr:row>
          <xdr:rowOff>0</xdr:rowOff>
        </xdr:from>
        <xdr:to>
          <xdr:col>9</xdr:col>
          <xdr:colOff>628650</xdr:colOff>
          <xdr:row>82</xdr:row>
          <xdr:rowOff>0</xdr:rowOff>
        </xdr:to>
        <xdr:sp macro="" textlink="">
          <xdr:nvSpPr>
            <xdr:cNvPr id="121858" name="Option Button 2" hidden="1">
              <a:extLst>
                <a:ext uri="{63B3BB69-23CF-44E3-9099-C40C66FF867C}">
                  <a14:compatExt spid="_x0000_s121858"/>
                </a:ext>
                <a:ext uri="{FF2B5EF4-FFF2-40B4-BE49-F238E27FC236}">
                  <a16:creationId xmlns:a16="http://schemas.microsoft.com/office/drawing/2014/main" id="{00000000-0008-0000-0800-000002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82</xdr:row>
          <xdr:rowOff>0</xdr:rowOff>
        </xdr:from>
        <xdr:to>
          <xdr:col>17</xdr:col>
          <xdr:colOff>190500</xdr:colOff>
          <xdr:row>82</xdr:row>
          <xdr:rowOff>0</xdr:rowOff>
        </xdr:to>
        <xdr:sp macro="" textlink="">
          <xdr:nvSpPr>
            <xdr:cNvPr id="121859" name="Option Button 3" hidden="1">
              <a:extLst>
                <a:ext uri="{63B3BB69-23CF-44E3-9099-C40C66FF867C}">
                  <a14:compatExt spid="_x0000_s121859"/>
                </a:ext>
                <a:ext uri="{FF2B5EF4-FFF2-40B4-BE49-F238E27FC236}">
                  <a16:creationId xmlns:a16="http://schemas.microsoft.com/office/drawing/2014/main" id="{00000000-0008-0000-0800-000003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82</xdr:row>
          <xdr:rowOff>0</xdr:rowOff>
        </xdr:from>
        <xdr:to>
          <xdr:col>9</xdr:col>
          <xdr:colOff>628650</xdr:colOff>
          <xdr:row>82</xdr:row>
          <xdr:rowOff>0</xdr:rowOff>
        </xdr:to>
        <xdr:sp macro="" textlink="">
          <xdr:nvSpPr>
            <xdr:cNvPr id="121860" name="Option Button 4" hidden="1">
              <a:extLst>
                <a:ext uri="{63B3BB69-23CF-44E3-9099-C40C66FF867C}">
                  <a14:compatExt spid="_x0000_s121860"/>
                </a:ext>
                <a:ext uri="{FF2B5EF4-FFF2-40B4-BE49-F238E27FC236}">
                  <a16:creationId xmlns:a16="http://schemas.microsoft.com/office/drawing/2014/main" id="{00000000-0008-0000-0800-000004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82</xdr:row>
          <xdr:rowOff>0</xdr:rowOff>
        </xdr:from>
        <xdr:to>
          <xdr:col>17</xdr:col>
          <xdr:colOff>190500</xdr:colOff>
          <xdr:row>82</xdr:row>
          <xdr:rowOff>0</xdr:rowOff>
        </xdr:to>
        <xdr:sp macro="" textlink="">
          <xdr:nvSpPr>
            <xdr:cNvPr id="121861" name="Option Button 5" hidden="1">
              <a:extLst>
                <a:ext uri="{63B3BB69-23CF-44E3-9099-C40C66FF867C}">
                  <a14:compatExt spid="_x0000_s121861"/>
                </a:ext>
                <a:ext uri="{FF2B5EF4-FFF2-40B4-BE49-F238E27FC236}">
                  <a16:creationId xmlns:a16="http://schemas.microsoft.com/office/drawing/2014/main" id="{00000000-0008-0000-0800-000005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82</xdr:row>
          <xdr:rowOff>0</xdr:rowOff>
        </xdr:from>
        <xdr:to>
          <xdr:col>9</xdr:col>
          <xdr:colOff>628650</xdr:colOff>
          <xdr:row>82</xdr:row>
          <xdr:rowOff>0</xdr:rowOff>
        </xdr:to>
        <xdr:sp macro="" textlink="">
          <xdr:nvSpPr>
            <xdr:cNvPr id="121862" name="Option Button 6" hidden="1">
              <a:extLst>
                <a:ext uri="{63B3BB69-23CF-44E3-9099-C40C66FF867C}">
                  <a14:compatExt spid="_x0000_s121862"/>
                </a:ext>
                <a:ext uri="{FF2B5EF4-FFF2-40B4-BE49-F238E27FC236}">
                  <a16:creationId xmlns:a16="http://schemas.microsoft.com/office/drawing/2014/main" id="{00000000-0008-0000-0800-000006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82</xdr:row>
          <xdr:rowOff>0</xdr:rowOff>
        </xdr:from>
        <xdr:to>
          <xdr:col>17</xdr:col>
          <xdr:colOff>190500</xdr:colOff>
          <xdr:row>82</xdr:row>
          <xdr:rowOff>0</xdr:rowOff>
        </xdr:to>
        <xdr:sp macro="" textlink="">
          <xdr:nvSpPr>
            <xdr:cNvPr id="121863" name="Option Button 7" hidden="1">
              <a:extLst>
                <a:ext uri="{63B3BB69-23CF-44E3-9099-C40C66FF867C}">
                  <a14:compatExt spid="_x0000_s121863"/>
                </a:ext>
                <a:ext uri="{FF2B5EF4-FFF2-40B4-BE49-F238E27FC236}">
                  <a16:creationId xmlns:a16="http://schemas.microsoft.com/office/drawing/2014/main" id="{00000000-0008-0000-0800-000007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82</xdr:row>
          <xdr:rowOff>0</xdr:rowOff>
        </xdr:from>
        <xdr:to>
          <xdr:col>9</xdr:col>
          <xdr:colOff>628650</xdr:colOff>
          <xdr:row>82</xdr:row>
          <xdr:rowOff>0</xdr:rowOff>
        </xdr:to>
        <xdr:sp macro="" textlink="">
          <xdr:nvSpPr>
            <xdr:cNvPr id="121864" name="Option Button 8" hidden="1">
              <a:extLst>
                <a:ext uri="{63B3BB69-23CF-44E3-9099-C40C66FF867C}">
                  <a14:compatExt spid="_x0000_s121864"/>
                </a:ext>
                <a:ext uri="{FF2B5EF4-FFF2-40B4-BE49-F238E27FC236}">
                  <a16:creationId xmlns:a16="http://schemas.microsoft.com/office/drawing/2014/main" id="{00000000-0008-0000-0800-000008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82</xdr:row>
          <xdr:rowOff>0</xdr:rowOff>
        </xdr:from>
        <xdr:to>
          <xdr:col>17</xdr:col>
          <xdr:colOff>190500</xdr:colOff>
          <xdr:row>82</xdr:row>
          <xdr:rowOff>0</xdr:rowOff>
        </xdr:to>
        <xdr:sp macro="" textlink="">
          <xdr:nvSpPr>
            <xdr:cNvPr id="121865" name="Option Button 9" hidden="1">
              <a:extLst>
                <a:ext uri="{63B3BB69-23CF-44E3-9099-C40C66FF867C}">
                  <a14:compatExt spid="_x0000_s121865"/>
                </a:ext>
                <a:ext uri="{FF2B5EF4-FFF2-40B4-BE49-F238E27FC236}">
                  <a16:creationId xmlns:a16="http://schemas.microsoft.com/office/drawing/2014/main" id="{00000000-0008-0000-0800-000009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82</xdr:row>
          <xdr:rowOff>0</xdr:rowOff>
        </xdr:from>
        <xdr:to>
          <xdr:col>9</xdr:col>
          <xdr:colOff>628650</xdr:colOff>
          <xdr:row>82</xdr:row>
          <xdr:rowOff>0</xdr:rowOff>
        </xdr:to>
        <xdr:sp macro="" textlink="">
          <xdr:nvSpPr>
            <xdr:cNvPr id="121866" name="Option Button 10" hidden="1">
              <a:extLst>
                <a:ext uri="{63B3BB69-23CF-44E3-9099-C40C66FF867C}">
                  <a14:compatExt spid="_x0000_s121866"/>
                </a:ext>
                <a:ext uri="{FF2B5EF4-FFF2-40B4-BE49-F238E27FC236}">
                  <a16:creationId xmlns:a16="http://schemas.microsoft.com/office/drawing/2014/main" id="{00000000-0008-0000-0800-00000A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83</xdr:row>
          <xdr:rowOff>9525</xdr:rowOff>
        </xdr:to>
        <xdr:sp macro="" textlink="">
          <xdr:nvSpPr>
            <xdr:cNvPr id="121867" name="Option Button 11" hidden="1">
              <a:extLst>
                <a:ext uri="{63B3BB69-23CF-44E3-9099-C40C66FF867C}">
                  <a14:compatExt spid="_x0000_s121867"/>
                </a:ext>
                <a:ext uri="{FF2B5EF4-FFF2-40B4-BE49-F238E27FC236}">
                  <a16:creationId xmlns:a16="http://schemas.microsoft.com/office/drawing/2014/main" id="{00000000-0008-0000-0800-00000B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628650</xdr:colOff>
          <xdr:row>82</xdr:row>
          <xdr:rowOff>38100</xdr:rowOff>
        </xdr:to>
        <xdr:sp macro="" textlink="">
          <xdr:nvSpPr>
            <xdr:cNvPr id="121868" name="Option Button 12" hidden="1">
              <a:extLst>
                <a:ext uri="{63B3BB69-23CF-44E3-9099-C40C66FF867C}">
                  <a14:compatExt spid="_x0000_s121868"/>
                </a:ext>
                <a:ext uri="{FF2B5EF4-FFF2-40B4-BE49-F238E27FC236}">
                  <a16:creationId xmlns:a16="http://schemas.microsoft.com/office/drawing/2014/main" id="{00000000-0008-0000-0800-00000C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83</xdr:row>
          <xdr:rowOff>9525</xdr:rowOff>
        </xdr:to>
        <xdr:sp macro="" textlink="">
          <xdr:nvSpPr>
            <xdr:cNvPr id="121869" name="Option Button 13" hidden="1">
              <a:extLst>
                <a:ext uri="{63B3BB69-23CF-44E3-9099-C40C66FF867C}">
                  <a14:compatExt spid="_x0000_s121869"/>
                </a:ext>
                <a:ext uri="{FF2B5EF4-FFF2-40B4-BE49-F238E27FC236}">
                  <a16:creationId xmlns:a16="http://schemas.microsoft.com/office/drawing/2014/main" id="{00000000-0008-0000-0800-00000D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628650</xdr:colOff>
          <xdr:row>82</xdr:row>
          <xdr:rowOff>38100</xdr:rowOff>
        </xdr:to>
        <xdr:sp macro="" textlink="">
          <xdr:nvSpPr>
            <xdr:cNvPr id="121870" name="Option Button 14" hidden="1">
              <a:extLst>
                <a:ext uri="{63B3BB69-23CF-44E3-9099-C40C66FF867C}">
                  <a14:compatExt spid="_x0000_s121870"/>
                </a:ext>
                <a:ext uri="{FF2B5EF4-FFF2-40B4-BE49-F238E27FC236}">
                  <a16:creationId xmlns:a16="http://schemas.microsoft.com/office/drawing/2014/main" id="{00000000-0008-0000-0800-00000E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83</xdr:row>
          <xdr:rowOff>9525</xdr:rowOff>
        </xdr:to>
        <xdr:sp macro="" textlink="">
          <xdr:nvSpPr>
            <xdr:cNvPr id="121871" name="Option Button 15" hidden="1">
              <a:extLst>
                <a:ext uri="{63B3BB69-23CF-44E3-9099-C40C66FF867C}">
                  <a14:compatExt spid="_x0000_s121871"/>
                </a:ext>
                <a:ext uri="{FF2B5EF4-FFF2-40B4-BE49-F238E27FC236}">
                  <a16:creationId xmlns:a16="http://schemas.microsoft.com/office/drawing/2014/main" id="{00000000-0008-0000-0800-00000F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628650</xdr:colOff>
          <xdr:row>82</xdr:row>
          <xdr:rowOff>38100</xdr:rowOff>
        </xdr:to>
        <xdr:sp macro="" textlink="">
          <xdr:nvSpPr>
            <xdr:cNvPr id="121872" name="Option Button 16" hidden="1">
              <a:extLst>
                <a:ext uri="{63B3BB69-23CF-44E3-9099-C40C66FF867C}">
                  <a14:compatExt spid="_x0000_s121872"/>
                </a:ext>
                <a:ext uri="{FF2B5EF4-FFF2-40B4-BE49-F238E27FC236}">
                  <a16:creationId xmlns:a16="http://schemas.microsoft.com/office/drawing/2014/main" id="{00000000-0008-0000-0800-000010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83</xdr:row>
          <xdr:rowOff>9525</xdr:rowOff>
        </xdr:to>
        <xdr:sp macro="" textlink="">
          <xdr:nvSpPr>
            <xdr:cNvPr id="121873" name="Option Button 17" hidden="1">
              <a:extLst>
                <a:ext uri="{63B3BB69-23CF-44E3-9099-C40C66FF867C}">
                  <a14:compatExt spid="_x0000_s121873"/>
                </a:ext>
                <a:ext uri="{FF2B5EF4-FFF2-40B4-BE49-F238E27FC236}">
                  <a16:creationId xmlns:a16="http://schemas.microsoft.com/office/drawing/2014/main" id="{00000000-0008-0000-0800-000011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628650</xdr:colOff>
          <xdr:row>82</xdr:row>
          <xdr:rowOff>38100</xdr:rowOff>
        </xdr:to>
        <xdr:sp macro="" textlink="">
          <xdr:nvSpPr>
            <xdr:cNvPr id="121874" name="Option Button 18" hidden="1">
              <a:extLst>
                <a:ext uri="{63B3BB69-23CF-44E3-9099-C40C66FF867C}">
                  <a14:compatExt spid="_x0000_s121874"/>
                </a:ext>
                <a:ext uri="{FF2B5EF4-FFF2-40B4-BE49-F238E27FC236}">
                  <a16:creationId xmlns:a16="http://schemas.microsoft.com/office/drawing/2014/main" id="{00000000-0008-0000-0800-000012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83</xdr:row>
          <xdr:rowOff>9525</xdr:rowOff>
        </xdr:to>
        <xdr:sp macro="" textlink="">
          <xdr:nvSpPr>
            <xdr:cNvPr id="121875" name="Option Button 19" hidden="1">
              <a:extLst>
                <a:ext uri="{63B3BB69-23CF-44E3-9099-C40C66FF867C}">
                  <a14:compatExt spid="_x0000_s121875"/>
                </a:ext>
                <a:ext uri="{FF2B5EF4-FFF2-40B4-BE49-F238E27FC236}">
                  <a16:creationId xmlns:a16="http://schemas.microsoft.com/office/drawing/2014/main" id="{00000000-0008-0000-0800-000013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628650</xdr:colOff>
          <xdr:row>82</xdr:row>
          <xdr:rowOff>38100</xdr:rowOff>
        </xdr:to>
        <xdr:sp macro="" textlink="">
          <xdr:nvSpPr>
            <xdr:cNvPr id="121876" name="Option Button 20" hidden="1">
              <a:extLst>
                <a:ext uri="{63B3BB69-23CF-44E3-9099-C40C66FF867C}">
                  <a14:compatExt spid="_x0000_s121876"/>
                </a:ext>
                <a:ext uri="{FF2B5EF4-FFF2-40B4-BE49-F238E27FC236}">
                  <a16:creationId xmlns:a16="http://schemas.microsoft.com/office/drawing/2014/main" id="{00000000-0008-0000-0800-000014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83</xdr:row>
          <xdr:rowOff>9525</xdr:rowOff>
        </xdr:to>
        <xdr:sp macro="" textlink="">
          <xdr:nvSpPr>
            <xdr:cNvPr id="121877" name="Option Button 21" hidden="1">
              <a:extLst>
                <a:ext uri="{63B3BB69-23CF-44E3-9099-C40C66FF867C}">
                  <a14:compatExt spid="_x0000_s121877"/>
                </a:ext>
                <a:ext uri="{FF2B5EF4-FFF2-40B4-BE49-F238E27FC236}">
                  <a16:creationId xmlns:a16="http://schemas.microsoft.com/office/drawing/2014/main" id="{00000000-0008-0000-0800-000015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628650</xdr:colOff>
          <xdr:row>82</xdr:row>
          <xdr:rowOff>38100</xdr:rowOff>
        </xdr:to>
        <xdr:sp macro="" textlink="">
          <xdr:nvSpPr>
            <xdr:cNvPr id="121878" name="Option Button 22" hidden="1">
              <a:extLst>
                <a:ext uri="{63B3BB69-23CF-44E3-9099-C40C66FF867C}">
                  <a14:compatExt spid="_x0000_s121878"/>
                </a:ext>
                <a:ext uri="{FF2B5EF4-FFF2-40B4-BE49-F238E27FC236}">
                  <a16:creationId xmlns:a16="http://schemas.microsoft.com/office/drawing/2014/main" id="{00000000-0008-0000-0800-000016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83</xdr:row>
          <xdr:rowOff>9525</xdr:rowOff>
        </xdr:to>
        <xdr:sp macro="" textlink="">
          <xdr:nvSpPr>
            <xdr:cNvPr id="121879" name="Option Button 23" hidden="1">
              <a:extLst>
                <a:ext uri="{63B3BB69-23CF-44E3-9099-C40C66FF867C}">
                  <a14:compatExt spid="_x0000_s121879"/>
                </a:ext>
                <a:ext uri="{FF2B5EF4-FFF2-40B4-BE49-F238E27FC236}">
                  <a16:creationId xmlns:a16="http://schemas.microsoft.com/office/drawing/2014/main" id="{00000000-0008-0000-0800-000017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628650</xdr:colOff>
          <xdr:row>82</xdr:row>
          <xdr:rowOff>38100</xdr:rowOff>
        </xdr:to>
        <xdr:sp macro="" textlink="">
          <xdr:nvSpPr>
            <xdr:cNvPr id="121880" name="Option Button 24" hidden="1">
              <a:extLst>
                <a:ext uri="{63B3BB69-23CF-44E3-9099-C40C66FF867C}">
                  <a14:compatExt spid="_x0000_s121880"/>
                </a:ext>
                <a:ext uri="{FF2B5EF4-FFF2-40B4-BE49-F238E27FC236}">
                  <a16:creationId xmlns:a16="http://schemas.microsoft.com/office/drawing/2014/main" id="{00000000-0008-0000-0800-000018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83</xdr:row>
          <xdr:rowOff>9525</xdr:rowOff>
        </xdr:to>
        <xdr:sp macro="" textlink="">
          <xdr:nvSpPr>
            <xdr:cNvPr id="121881" name="Option Button 25" hidden="1">
              <a:extLst>
                <a:ext uri="{63B3BB69-23CF-44E3-9099-C40C66FF867C}">
                  <a14:compatExt spid="_x0000_s121881"/>
                </a:ext>
                <a:ext uri="{FF2B5EF4-FFF2-40B4-BE49-F238E27FC236}">
                  <a16:creationId xmlns:a16="http://schemas.microsoft.com/office/drawing/2014/main" id="{00000000-0008-0000-0800-000019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628650</xdr:colOff>
          <xdr:row>82</xdr:row>
          <xdr:rowOff>38100</xdr:rowOff>
        </xdr:to>
        <xdr:sp macro="" textlink="">
          <xdr:nvSpPr>
            <xdr:cNvPr id="121882" name="Option Button 26" hidden="1">
              <a:extLst>
                <a:ext uri="{63B3BB69-23CF-44E3-9099-C40C66FF867C}">
                  <a14:compatExt spid="_x0000_s121882"/>
                </a:ext>
                <a:ext uri="{FF2B5EF4-FFF2-40B4-BE49-F238E27FC236}">
                  <a16:creationId xmlns:a16="http://schemas.microsoft.com/office/drawing/2014/main" id="{00000000-0008-0000-0800-00001A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83</xdr:row>
          <xdr:rowOff>9525</xdr:rowOff>
        </xdr:to>
        <xdr:sp macro="" textlink="">
          <xdr:nvSpPr>
            <xdr:cNvPr id="121883" name="Option Button 27" hidden="1">
              <a:extLst>
                <a:ext uri="{63B3BB69-23CF-44E3-9099-C40C66FF867C}">
                  <a14:compatExt spid="_x0000_s121883"/>
                </a:ext>
                <a:ext uri="{FF2B5EF4-FFF2-40B4-BE49-F238E27FC236}">
                  <a16:creationId xmlns:a16="http://schemas.microsoft.com/office/drawing/2014/main" id="{00000000-0008-0000-0800-00001B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628650</xdr:colOff>
          <xdr:row>82</xdr:row>
          <xdr:rowOff>38100</xdr:rowOff>
        </xdr:to>
        <xdr:sp macro="" textlink="">
          <xdr:nvSpPr>
            <xdr:cNvPr id="121884" name="Option Button 28" hidden="1">
              <a:extLst>
                <a:ext uri="{63B3BB69-23CF-44E3-9099-C40C66FF867C}">
                  <a14:compatExt spid="_x0000_s121884"/>
                </a:ext>
                <a:ext uri="{FF2B5EF4-FFF2-40B4-BE49-F238E27FC236}">
                  <a16:creationId xmlns:a16="http://schemas.microsoft.com/office/drawing/2014/main" id="{00000000-0008-0000-0800-00001C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83</xdr:row>
          <xdr:rowOff>9525</xdr:rowOff>
        </xdr:to>
        <xdr:sp macro="" textlink="">
          <xdr:nvSpPr>
            <xdr:cNvPr id="121885" name="Option Button 29" hidden="1">
              <a:extLst>
                <a:ext uri="{63B3BB69-23CF-44E3-9099-C40C66FF867C}">
                  <a14:compatExt spid="_x0000_s121885"/>
                </a:ext>
                <a:ext uri="{FF2B5EF4-FFF2-40B4-BE49-F238E27FC236}">
                  <a16:creationId xmlns:a16="http://schemas.microsoft.com/office/drawing/2014/main" id="{00000000-0008-0000-0800-00001D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628650</xdr:colOff>
          <xdr:row>82</xdr:row>
          <xdr:rowOff>38100</xdr:rowOff>
        </xdr:to>
        <xdr:sp macro="" textlink="">
          <xdr:nvSpPr>
            <xdr:cNvPr id="121886" name="Option Button 30" hidden="1">
              <a:extLst>
                <a:ext uri="{63B3BB69-23CF-44E3-9099-C40C66FF867C}">
                  <a14:compatExt spid="_x0000_s121886"/>
                </a:ext>
                <a:ext uri="{FF2B5EF4-FFF2-40B4-BE49-F238E27FC236}">
                  <a16:creationId xmlns:a16="http://schemas.microsoft.com/office/drawing/2014/main" id="{00000000-0008-0000-0800-00001E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83</xdr:row>
          <xdr:rowOff>9525</xdr:rowOff>
        </xdr:to>
        <xdr:sp macro="" textlink="">
          <xdr:nvSpPr>
            <xdr:cNvPr id="121887" name="Option Button 31" hidden="1">
              <a:extLst>
                <a:ext uri="{63B3BB69-23CF-44E3-9099-C40C66FF867C}">
                  <a14:compatExt spid="_x0000_s121887"/>
                </a:ext>
                <a:ext uri="{FF2B5EF4-FFF2-40B4-BE49-F238E27FC236}">
                  <a16:creationId xmlns:a16="http://schemas.microsoft.com/office/drawing/2014/main" id="{00000000-0008-0000-0800-00001F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83</xdr:row>
          <xdr:rowOff>9525</xdr:rowOff>
        </xdr:to>
        <xdr:sp macro="" textlink="">
          <xdr:nvSpPr>
            <xdr:cNvPr id="121889" name="Option Button 33" hidden="1">
              <a:extLst>
                <a:ext uri="{63B3BB69-23CF-44E3-9099-C40C66FF867C}">
                  <a14:compatExt spid="_x0000_s121889"/>
                </a:ext>
                <a:ext uri="{FF2B5EF4-FFF2-40B4-BE49-F238E27FC236}">
                  <a16:creationId xmlns:a16="http://schemas.microsoft.com/office/drawing/2014/main" id="{00000000-0008-0000-0800-000021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190500</xdr:colOff>
          <xdr:row>83</xdr:row>
          <xdr:rowOff>9525</xdr:rowOff>
        </xdr:to>
        <xdr:sp macro="" textlink="">
          <xdr:nvSpPr>
            <xdr:cNvPr id="121891" name="Option Button 35" hidden="1">
              <a:extLst>
                <a:ext uri="{63B3BB69-23CF-44E3-9099-C40C66FF867C}">
                  <a14:compatExt spid="_x0000_s121891"/>
                </a:ext>
                <a:ext uri="{FF2B5EF4-FFF2-40B4-BE49-F238E27FC236}">
                  <a16:creationId xmlns:a16="http://schemas.microsoft.com/office/drawing/2014/main" id="{00000000-0008-0000-0800-000023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82</xdr:row>
          <xdr:rowOff>0</xdr:rowOff>
        </xdr:from>
        <xdr:to>
          <xdr:col>17</xdr:col>
          <xdr:colOff>171450</xdr:colOff>
          <xdr:row>82</xdr:row>
          <xdr:rowOff>0</xdr:rowOff>
        </xdr:to>
        <xdr:sp macro="" textlink="">
          <xdr:nvSpPr>
            <xdr:cNvPr id="122881" name="Option Button 1" hidden="1">
              <a:extLst>
                <a:ext uri="{63B3BB69-23CF-44E3-9099-C40C66FF867C}">
                  <a14:compatExt spid="_x0000_s122881"/>
                </a:ext>
                <a:ext uri="{FF2B5EF4-FFF2-40B4-BE49-F238E27FC236}">
                  <a16:creationId xmlns:a16="http://schemas.microsoft.com/office/drawing/2014/main" id="{00000000-0008-0000-0900-000001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82</xdr:row>
          <xdr:rowOff>0</xdr:rowOff>
        </xdr:from>
        <xdr:to>
          <xdr:col>9</xdr:col>
          <xdr:colOff>600075</xdr:colOff>
          <xdr:row>82</xdr:row>
          <xdr:rowOff>0</xdr:rowOff>
        </xdr:to>
        <xdr:sp macro="" textlink="">
          <xdr:nvSpPr>
            <xdr:cNvPr id="122882" name="Option Button 2" hidden="1">
              <a:extLst>
                <a:ext uri="{63B3BB69-23CF-44E3-9099-C40C66FF867C}">
                  <a14:compatExt spid="_x0000_s122882"/>
                </a:ext>
                <a:ext uri="{FF2B5EF4-FFF2-40B4-BE49-F238E27FC236}">
                  <a16:creationId xmlns:a16="http://schemas.microsoft.com/office/drawing/2014/main" id="{00000000-0008-0000-0900-000002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82</xdr:row>
          <xdr:rowOff>0</xdr:rowOff>
        </xdr:from>
        <xdr:to>
          <xdr:col>17</xdr:col>
          <xdr:colOff>171450</xdr:colOff>
          <xdr:row>82</xdr:row>
          <xdr:rowOff>0</xdr:rowOff>
        </xdr:to>
        <xdr:sp macro="" textlink="">
          <xdr:nvSpPr>
            <xdr:cNvPr id="122883" name="Option Button 3" hidden="1">
              <a:extLst>
                <a:ext uri="{63B3BB69-23CF-44E3-9099-C40C66FF867C}">
                  <a14:compatExt spid="_x0000_s122883"/>
                </a:ext>
                <a:ext uri="{FF2B5EF4-FFF2-40B4-BE49-F238E27FC236}">
                  <a16:creationId xmlns:a16="http://schemas.microsoft.com/office/drawing/2014/main" id="{00000000-0008-0000-0900-000003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82</xdr:row>
          <xdr:rowOff>0</xdr:rowOff>
        </xdr:from>
        <xdr:to>
          <xdr:col>9</xdr:col>
          <xdr:colOff>600075</xdr:colOff>
          <xdr:row>82</xdr:row>
          <xdr:rowOff>0</xdr:rowOff>
        </xdr:to>
        <xdr:sp macro="" textlink="">
          <xdr:nvSpPr>
            <xdr:cNvPr id="122884" name="Option Button 4" hidden="1">
              <a:extLst>
                <a:ext uri="{63B3BB69-23CF-44E3-9099-C40C66FF867C}">
                  <a14:compatExt spid="_x0000_s122884"/>
                </a:ext>
                <a:ext uri="{FF2B5EF4-FFF2-40B4-BE49-F238E27FC236}">
                  <a16:creationId xmlns:a16="http://schemas.microsoft.com/office/drawing/2014/main" id="{00000000-0008-0000-0900-000004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82</xdr:row>
          <xdr:rowOff>0</xdr:rowOff>
        </xdr:from>
        <xdr:to>
          <xdr:col>17</xdr:col>
          <xdr:colOff>171450</xdr:colOff>
          <xdr:row>82</xdr:row>
          <xdr:rowOff>0</xdr:rowOff>
        </xdr:to>
        <xdr:sp macro="" textlink="">
          <xdr:nvSpPr>
            <xdr:cNvPr id="122885" name="Option Button 5" hidden="1">
              <a:extLst>
                <a:ext uri="{63B3BB69-23CF-44E3-9099-C40C66FF867C}">
                  <a14:compatExt spid="_x0000_s122885"/>
                </a:ext>
                <a:ext uri="{FF2B5EF4-FFF2-40B4-BE49-F238E27FC236}">
                  <a16:creationId xmlns:a16="http://schemas.microsoft.com/office/drawing/2014/main" id="{00000000-0008-0000-0900-000005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82</xdr:row>
          <xdr:rowOff>0</xdr:rowOff>
        </xdr:from>
        <xdr:to>
          <xdr:col>9</xdr:col>
          <xdr:colOff>600075</xdr:colOff>
          <xdr:row>82</xdr:row>
          <xdr:rowOff>0</xdr:rowOff>
        </xdr:to>
        <xdr:sp macro="" textlink="">
          <xdr:nvSpPr>
            <xdr:cNvPr id="122886" name="Option Button 6" hidden="1">
              <a:extLst>
                <a:ext uri="{63B3BB69-23CF-44E3-9099-C40C66FF867C}">
                  <a14:compatExt spid="_x0000_s122886"/>
                </a:ext>
                <a:ext uri="{FF2B5EF4-FFF2-40B4-BE49-F238E27FC236}">
                  <a16:creationId xmlns:a16="http://schemas.microsoft.com/office/drawing/2014/main" id="{00000000-0008-0000-0900-000006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82</xdr:row>
          <xdr:rowOff>0</xdr:rowOff>
        </xdr:from>
        <xdr:to>
          <xdr:col>17</xdr:col>
          <xdr:colOff>171450</xdr:colOff>
          <xdr:row>82</xdr:row>
          <xdr:rowOff>0</xdr:rowOff>
        </xdr:to>
        <xdr:sp macro="" textlink="">
          <xdr:nvSpPr>
            <xdr:cNvPr id="122887" name="Option Button 7" hidden="1">
              <a:extLst>
                <a:ext uri="{63B3BB69-23CF-44E3-9099-C40C66FF867C}">
                  <a14:compatExt spid="_x0000_s122887"/>
                </a:ext>
                <a:ext uri="{FF2B5EF4-FFF2-40B4-BE49-F238E27FC236}">
                  <a16:creationId xmlns:a16="http://schemas.microsoft.com/office/drawing/2014/main" id="{00000000-0008-0000-0900-000007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82</xdr:row>
          <xdr:rowOff>0</xdr:rowOff>
        </xdr:from>
        <xdr:to>
          <xdr:col>9</xdr:col>
          <xdr:colOff>600075</xdr:colOff>
          <xdr:row>82</xdr:row>
          <xdr:rowOff>0</xdr:rowOff>
        </xdr:to>
        <xdr:sp macro="" textlink="">
          <xdr:nvSpPr>
            <xdr:cNvPr id="122888" name="Option Button 8" hidden="1">
              <a:extLst>
                <a:ext uri="{63B3BB69-23CF-44E3-9099-C40C66FF867C}">
                  <a14:compatExt spid="_x0000_s122888"/>
                </a:ext>
                <a:ext uri="{FF2B5EF4-FFF2-40B4-BE49-F238E27FC236}">
                  <a16:creationId xmlns:a16="http://schemas.microsoft.com/office/drawing/2014/main" id="{00000000-0008-0000-0900-000008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82</xdr:row>
          <xdr:rowOff>0</xdr:rowOff>
        </xdr:from>
        <xdr:to>
          <xdr:col>17</xdr:col>
          <xdr:colOff>171450</xdr:colOff>
          <xdr:row>82</xdr:row>
          <xdr:rowOff>0</xdr:rowOff>
        </xdr:to>
        <xdr:sp macro="" textlink="">
          <xdr:nvSpPr>
            <xdr:cNvPr id="122889" name="Option Button 9" hidden="1">
              <a:extLst>
                <a:ext uri="{63B3BB69-23CF-44E3-9099-C40C66FF867C}">
                  <a14:compatExt spid="_x0000_s122889"/>
                </a:ext>
                <a:ext uri="{FF2B5EF4-FFF2-40B4-BE49-F238E27FC236}">
                  <a16:creationId xmlns:a16="http://schemas.microsoft.com/office/drawing/2014/main" id="{00000000-0008-0000-0900-000009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82</xdr:row>
          <xdr:rowOff>0</xdr:rowOff>
        </xdr:from>
        <xdr:to>
          <xdr:col>9</xdr:col>
          <xdr:colOff>600075</xdr:colOff>
          <xdr:row>82</xdr:row>
          <xdr:rowOff>0</xdr:rowOff>
        </xdr:to>
        <xdr:sp macro="" textlink="">
          <xdr:nvSpPr>
            <xdr:cNvPr id="122890" name="Option Button 10" hidden="1">
              <a:extLst>
                <a:ext uri="{63B3BB69-23CF-44E3-9099-C40C66FF867C}">
                  <a14:compatExt spid="_x0000_s122890"/>
                </a:ext>
                <a:ext uri="{FF2B5EF4-FFF2-40B4-BE49-F238E27FC236}">
                  <a16:creationId xmlns:a16="http://schemas.microsoft.com/office/drawing/2014/main" id="{00000000-0008-0000-0900-00000A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171450</xdr:colOff>
          <xdr:row>83</xdr:row>
          <xdr:rowOff>9525</xdr:rowOff>
        </xdr:to>
        <xdr:sp macro="" textlink="">
          <xdr:nvSpPr>
            <xdr:cNvPr id="122891" name="Option Button 11" hidden="1">
              <a:extLst>
                <a:ext uri="{63B3BB69-23CF-44E3-9099-C40C66FF867C}">
                  <a14:compatExt spid="_x0000_s122891"/>
                </a:ext>
                <a:ext uri="{FF2B5EF4-FFF2-40B4-BE49-F238E27FC236}">
                  <a16:creationId xmlns:a16="http://schemas.microsoft.com/office/drawing/2014/main" id="{00000000-0008-0000-0900-00000B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600075</xdr:colOff>
          <xdr:row>82</xdr:row>
          <xdr:rowOff>38100</xdr:rowOff>
        </xdr:to>
        <xdr:sp macro="" textlink="">
          <xdr:nvSpPr>
            <xdr:cNvPr id="122892" name="Option Button 12" hidden="1">
              <a:extLst>
                <a:ext uri="{63B3BB69-23CF-44E3-9099-C40C66FF867C}">
                  <a14:compatExt spid="_x0000_s122892"/>
                </a:ext>
                <a:ext uri="{FF2B5EF4-FFF2-40B4-BE49-F238E27FC236}">
                  <a16:creationId xmlns:a16="http://schemas.microsoft.com/office/drawing/2014/main" id="{00000000-0008-0000-0900-00000C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171450</xdr:colOff>
          <xdr:row>83</xdr:row>
          <xdr:rowOff>9525</xdr:rowOff>
        </xdr:to>
        <xdr:sp macro="" textlink="">
          <xdr:nvSpPr>
            <xdr:cNvPr id="122893" name="Option Button 13" hidden="1">
              <a:extLst>
                <a:ext uri="{63B3BB69-23CF-44E3-9099-C40C66FF867C}">
                  <a14:compatExt spid="_x0000_s122893"/>
                </a:ext>
                <a:ext uri="{FF2B5EF4-FFF2-40B4-BE49-F238E27FC236}">
                  <a16:creationId xmlns:a16="http://schemas.microsoft.com/office/drawing/2014/main" id="{00000000-0008-0000-0900-00000D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600075</xdr:colOff>
          <xdr:row>82</xdr:row>
          <xdr:rowOff>38100</xdr:rowOff>
        </xdr:to>
        <xdr:sp macro="" textlink="">
          <xdr:nvSpPr>
            <xdr:cNvPr id="122894" name="Option Button 14" hidden="1">
              <a:extLst>
                <a:ext uri="{63B3BB69-23CF-44E3-9099-C40C66FF867C}">
                  <a14:compatExt spid="_x0000_s122894"/>
                </a:ext>
                <a:ext uri="{FF2B5EF4-FFF2-40B4-BE49-F238E27FC236}">
                  <a16:creationId xmlns:a16="http://schemas.microsoft.com/office/drawing/2014/main" id="{00000000-0008-0000-0900-00000E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171450</xdr:colOff>
          <xdr:row>83</xdr:row>
          <xdr:rowOff>9525</xdr:rowOff>
        </xdr:to>
        <xdr:sp macro="" textlink="">
          <xdr:nvSpPr>
            <xdr:cNvPr id="122895" name="Option Button 15" hidden="1">
              <a:extLst>
                <a:ext uri="{63B3BB69-23CF-44E3-9099-C40C66FF867C}">
                  <a14:compatExt spid="_x0000_s122895"/>
                </a:ext>
                <a:ext uri="{FF2B5EF4-FFF2-40B4-BE49-F238E27FC236}">
                  <a16:creationId xmlns:a16="http://schemas.microsoft.com/office/drawing/2014/main" id="{00000000-0008-0000-0900-00000F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600075</xdr:colOff>
          <xdr:row>82</xdr:row>
          <xdr:rowOff>38100</xdr:rowOff>
        </xdr:to>
        <xdr:sp macro="" textlink="">
          <xdr:nvSpPr>
            <xdr:cNvPr id="122896" name="Option Button 16" hidden="1">
              <a:extLst>
                <a:ext uri="{63B3BB69-23CF-44E3-9099-C40C66FF867C}">
                  <a14:compatExt spid="_x0000_s122896"/>
                </a:ext>
                <a:ext uri="{FF2B5EF4-FFF2-40B4-BE49-F238E27FC236}">
                  <a16:creationId xmlns:a16="http://schemas.microsoft.com/office/drawing/2014/main" id="{00000000-0008-0000-0900-000010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171450</xdr:colOff>
          <xdr:row>83</xdr:row>
          <xdr:rowOff>9525</xdr:rowOff>
        </xdr:to>
        <xdr:sp macro="" textlink="">
          <xdr:nvSpPr>
            <xdr:cNvPr id="122897" name="Option Button 17" hidden="1">
              <a:extLst>
                <a:ext uri="{63B3BB69-23CF-44E3-9099-C40C66FF867C}">
                  <a14:compatExt spid="_x0000_s122897"/>
                </a:ext>
                <a:ext uri="{FF2B5EF4-FFF2-40B4-BE49-F238E27FC236}">
                  <a16:creationId xmlns:a16="http://schemas.microsoft.com/office/drawing/2014/main" id="{00000000-0008-0000-0900-000011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600075</xdr:colOff>
          <xdr:row>82</xdr:row>
          <xdr:rowOff>38100</xdr:rowOff>
        </xdr:to>
        <xdr:sp macro="" textlink="">
          <xdr:nvSpPr>
            <xdr:cNvPr id="122898" name="Option Button 18" hidden="1">
              <a:extLst>
                <a:ext uri="{63B3BB69-23CF-44E3-9099-C40C66FF867C}">
                  <a14:compatExt spid="_x0000_s122898"/>
                </a:ext>
                <a:ext uri="{FF2B5EF4-FFF2-40B4-BE49-F238E27FC236}">
                  <a16:creationId xmlns:a16="http://schemas.microsoft.com/office/drawing/2014/main" id="{00000000-0008-0000-0900-000012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171450</xdr:colOff>
          <xdr:row>83</xdr:row>
          <xdr:rowOff>9525</xdr:rowOff>
        </xdr:to>
        <xdr:sp macro="" textlink="">
          <xdr:nvSpPr>
            <xdr:cNvPr id="122899" name="Option Button 19" hidden="1">
              <a:extLst>
                <a:ext uri="{63B3BB69-23CF-44E3-9099-C40C66FF867C}">
                  <a14:compatExt spid="_x0000_s122899"/>
                </a:ext>
                <a:ext uri="{FF2B5EF4-FFF2-40B4-BE49-F238E27FC236}">
                  <a16:creationId xmlns:a16="http://schemas.microsoft.com/office/drawing/2014/main" id="{00000000-0008-0000-0900-000013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600075</xdr:colOff>
          <xdr:row>82</xdr:row>
          <xdr:rowOff>38100</xdr:rowOff>
        </xdr:to>
        <xdr:sp macro="" textlink="">
          <xdr:nvSpPr>
            <xdr:cNvPr id="122900" name="Option Button 20" hidden="1">
              <a:extLst>
                <a:ext uri="{63B3BB69-23CF-44E3-9099-C40C66FF867C}">
                  <a14:compatExt spid="_x0000_s122900"/>
                </a:ext>
                <a:ext uri="{FF2B5EF4-FFF2-40B4-BE49-F238E27FC236}">
                  <a16:creationId xmlns:a16="http://schemas.microsoft.com/office/drawing/2014/main" id="{00000000-0008-0000-0900-000014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171450</xdr:colOff>
          <xdr:row>83</xdr:row>
          <xdr:rowOff>9525</xdr:rowOff>
        </xdr:to>
        <xdr:sp macro="" textlink="">
          <xdr:nvSpPr>
            <xdr:cNvPr id="122901" name="Option Button 21" hidden="1">
              <a:extLst>
                <a:ext uri="{63B3BB69-23CF-44E3-9099-C40C66FF867C}">
                  <a14:compatExt spid="_x0000_s122901"/>
                </a:ext>
                <a:ext uri="{FF2B5EF4-FFF2-40B4-BE49-F238E27FC236}">
                  <a16:creationId xmlns:a16="http://schemas.microsoft.com/office/drawing/2014/main" id="{00000000-0008-0000-0900-000015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600075</xdr:colOff>
          <xdr:row>82</xdr:row>
          <xdr:rowOff>38100</xdr:rowOff>
        </xdr:to>
        <xdr:sp macro="" textlink="">
          <xdr:nvSpPr>
            <xdr:cNvPr id="122902" name="Option Button 22" hidden="1">
              <a:extLst>
                <a:ext uri="{63B3BB69-23CF-44E3-9099-C40C66FF867C}">
                  <a14:compatExt spid="_x0000_s122902"/>
                </a:ext>
                <a:ext uri="{FF2B5EF4-FFF2-40B4-BE49-F238E27FC236}">
                  <a16:creationId xmlns:a16="http://schemas.microsoft.com/office/drawing/2014/main" id="{00000000-0008-0000-0900-000016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171450</xdr:colOff>
          <xdr:row>83</xdr:row>
          <xdr:rowOff>9525</xdr:rowOff>
        </xdr:to>
        <xdr:sp macro="" textlink="">
          <xdr:nvSpPr>
            <xdr:cNvPr id="122903" name="Option Button 23" hidden="1">
              <a:extLst>
                <a:ext uri="{63B3BB69-23CF-44E3-9099-C40C66FF867C}">
                  <a14:compatExt spid="_x0000_s122903"/>
                </a:ext>
                <a:ext uri="{FF2B5EF4-FFF2-40B4-BE49-F238E27FC236}">
                  <a16:creationId xmlns:a16="http://schemas.microsoft.com/office/drawing/2014/main" id="{00000000-0008-0000-0900-000017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600075</xdr:colOff>
          <xdr:row>82</xdr:row>
          <xdr:rowOff>38100</xdr:rowOff>
        </xdr:to>
        <xdr:sp macro="" textlink="">
          <xdr:nvSpPr>
            <xdr:cNvPr id="122904" name="Option Button 24" hidden="1">
              <a:extLst>
                <a:ext uri="{63B3BB69-23CF-44E3-9099-C40C66FF867C}">
                  <a14:compatExt spid="_x0000_s122904"/>
                </a:ext>
                <a:ext uri="{FF2B5EF4-FFF2-40B4-BE49-F238E27FC236}">
                  <a16:creationId xmlns:a16="http://schemas.microsoft.com/office/drawing/2014/main" id="{00000000-0008-0000-0900-000018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171450</xdr:colOff>
          <xdr:row>83</xdr:row>
          <xdr:rowOff>9525</xdr:rowOff>
        </xdr:to>
        <xdr:sp macro="" textlink="">
          <xdr:nvSpPr>
            <xdr:cNvPr id="122905" name="Option Button 25" hidden="1">
              <a:extLst>
                <a:ext uri="{63B3BB69-23CF-44E3-9099-C40C66FF867C}">
                  <a14:compatExt spid="_x0000_s122905"/>
                </a:ext>
                <a:ext uri="{FF2B5EF4-FFF2-40B4-BE49-F238E27FC236}">
                  <a16:creationId xmlns:a16="http://schemas.microsoft.com/office/drawing/2014/main" id="{00000000-0008-0000-0900-000019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600075</xdr:colOff>
          <xdr:row>82</xdr:row>
          <xdr:rowOff>38100</xdr:rowOff>
        </xdr:to>
        <xdr:sp macro="" textlink="">
          <xdr:nvSpPr>
            <xdr:cNvPr id="122906" name="Option Button 26" hidden="1">
              <a:extLst>
                <a:ext uri="{63B3BB69-23CF-44E3-9099-C40C66FF867C}">
                  <a14:compatExt spid="_x0000_s122906"/>
                </a:ext>
                <a:ext uri="{FF2B5EF4-FFF2-40B4-BE49-F238E27FC236}">
                  <a16:creationId xmlns:a16="http://schemas.microsoft.com/office/drawing/2014/main" id="{00000000-0008-0000-0900-00001A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171450</xdr:colOff>
          <xdr:row>83</xdr:row>
          <xdr:rowOff>9525</xdr:rowOff>
        </xdr:to>
        <xdr:sp macro="" textlink="">
          <xdr:nvSpPr>
            <xdr:cNvPr id="122907" name="Option Button 27" hidden="1">
              <a:extLst>
                <a:ext uri="{63B3BB69-23CF-44E3-9099-C40C66FF867C}">
                  <a14:compatExt spid="_x0000_s122907"/>
                </a:ext>
                <a:ext uri="{FF2B5EF4-FFF2-40B4-BE49-F238E27FC236}">
                  <a16:creationId xmlns:a16="http://schemas.microsoft.com/office/drawing/2014/main" id="{00000000-0008-0000-0900-00001B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600075</xdr:colOff>
          <xdr:row>82</xdr:row>
          <xdr:rowOff>38100</xdr:rowOff>
        </xdr:to>
        <xdr:sp macro="" textlink="">
          <xdr:nvSpPr>
            <xdr:cNvPr id="122908" name="Option Button 28" hidden="1">
              <a:extLst>
                <a:ext uri="{63B3BB69-23CF-44E3-9099-C40C66FF867C}">
                  <a14:compatExt spid="_x0000_s122908"/>
                </a:ext>
                <a:ext uri="{FF2B5EF4-FFF2-40B4-BE49-F238E27FC236}">
                  <a16:creationId xmlns:a16="http://schemas.microsoft.com/office/drawing/2014/main" id="{00000000-0008-0000-0900-00001C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171450</xdr:colOff>
          <xdr:row>83</xdr:row>
          <xdr:rowOff>9525</xdr:rowOff>
        </xdr:to>
        <xdr:sp macro="" textlink="">
          <xdr:nvSpPr>
            <xdr:cNvPr id="122909" name="Option Button 29" hidden="1">
              <a:extLst>
                <a:ext uri="{63B3BB69-23CF-44E3-9099-C40C66FF867C}">
                  <a14:compatExt spid="_x0000_s122909"/>
                </a:ext>
                <a:ext uri="{FF2B5EF4-FFF2-40B4-BE49-F238E27FC236}">
                  <a16:creationId xmlns:a16="http://schemas.microsoft.com/office/drawing/2014/main" id="{00000000-0008-0000-0900-00001D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81</xdr:row>
          <xdr:rowOff>0</xdr:rowOff>
        </xdr:from>
        <xdr:to>
          <xdr:col>9</xdr:col>
          <xdr:colOff>600075</xdr:colOff>
          <xdr:row>82</xdr:row>
          <xdr:rowOff>38100</xdr:rowOff>
        </xdr:to>
        <xdr:sp macro="" textlink="">
          <xdr:nvSpPr>
            <xdr:cNvPr id="122910" name="Option Button 30" hidden="1">
              <a:extLst>
                <a:ext uri="{63B3BB69-23CF-44E3-9099-C40C66FF867C}">
                  <a14:compatExt spid="_x0000_s122910"/>
                </a:ext>
                <a:ext uri="{FF2B5EF4-FFF2-40B4-BE49-F238E27FC236}">
                  <a16:creationId xmlns:a16="http://schemas.microsoft.com/office/drawing/2014/main" id="{00000000-0008-0000-0900-00001E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171450</xdr:colOff>
          <xdr:row>83</xdr:row>
          <xdr:rowOff>9525</xdr:rowOff>
        </xdr:to>
        <xdr:sp macro="" textlink="">
          <xdr:nvSpPr>
            <xdr:cNvPr id="122911" name="Option Button 31" hidden="1">
              <a:extLst>
                <a:ext uri="{63B3BB69-23CF-44E3-9099-C40C66FF867C}">
                  <a14:compatExt spid="_x0000_s122911"/>
                </a:ext>
                <a:ext uri="{FF2B5EF4-FFF2-40B4-BE49-F238E27FC236}">
                  <a16:creationId xmlns:a16="http://schemas.microsoft.com/office/drawing/2014/main" id="{00000000-0008-0000-0900-00001F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171450</xdr:colOff>
          <xdr:row>83</xdr:row>
          <xdr:rowOff>9525</xdr:rowOff>
        </xdr:to>
        <xdr:sp macro="" textlink="">
          <xdr:nvSpPr>
            <xdr:cNvPr id="122912" name="Option Button 32" hidden="1">
              <a:extLst>
                <a:ext uri="{63B3BB69-23CF-44E3-9099-C40C66FF867C}">
                  <a14:compatExt spid="_x0000_s122912"/>
                </a:ext>
                <a:ext uri="{FF2B5EF4-FFF2-40B4-BE49-F238E27FC236}">
                  <a16:creationId xmlns:a16="http://schemas.microsoft.com/office/drawing/2014/main" id="{00000000-0008-0000-0900-000020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81</xdr:row>
          <xdr:rowOff>0</xdr:rowOff>
        </xdr:from>
        <xdr:to>
          <xdr:col>17</xdr:col>
          <xdr:colOff>171450</xdr:colOff>
          <xdr:row>83</xdr:row>
          <xdr:rowOff>9525</xdr:rowOff>
        </xdr:to>
        <xdr:sp macro="" textlink="">
          <xdr:nvSpPr>
            <xdr:cNvPr id="122913" name="Option Button 33" hidden="1">
              <a:extLst>
                <a:ext uri="{63B3BB69-23CF-44E3-9099-C40C66FF867C}">
                  <a14:compatExt spid="_x0000_s122913"/>
                </a:ext>
                <a:ext uri="{FF2B5EF4-FFF2-40B4-BE49-F238E27FC236}">
                  <a16:creationId xmlns:a16="http://schemas.microsoft.com/office/drawing/2014/main" id="{00000000-0008-0000-0900-000021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91</xdr:row>
          <xdr:rowOff>0</xdr:rowOff>
        </xdr:from>
        <xdr:to>
          <xdr:col>14</xdr:col>
          <xdr:colOff>657225</xdr:colOff>
          <xdr:row>93</xdr:row>
          <xdr:rowOff>28575</xdr:rowOff>
        </xdr:to>
        <xdr:sp macro="" textlink="">
          <xdr:nvSpPr>
            <xdr:cNvPr id="104451" name="Option Button 3" hidden="1">
              <a:extLst>
                <a:ext uri="{63B3BB69-23CF-44E3-9099-C40C66FF867C}">
                  <a14:compatExt spid="_x0000_s104451"/>
                </a:ext>
                <a:ext uri="{FF2B5EF4-FFF2-40B4-BE49-F238E27FC236}">
                  <a16:creationId xmlns:a16="http://schemas.microsoft.com/office/drawing/2014/main" id="{00000000-0008-0000-0A00-000003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91</xdr:row>
          <xdr:rowOff>0</xdr:rowOff>
        </xdr:from>
        <xdr:to>
          <xdr:col>9</xdr:col>
          <xdr:colOff>133350</xdr:colOff>
          <xdr:row>92</xdr:row>
          <xdr:rowOff>85725</xdr:rowOff>
        </xdr:to>
        <xdr:sp macro="" textlink="">
          <xdr:nvSpPr>
            <xdr:cNvPr id="104452" name="Option Button 4" hidden="1">
              <a:extLst>
                <a:ext uri="{63B3BB69-23CF-44E3-9099-C40C66FF867C}">
                  <a14:compatExt spid="_x0000_s104452"/>
                </a:ext>
                <a:ext uri="{FF2B5EF4-FFF2-40B4-BE49-F238E27FC236}">
                  <a16:creationId xmlns:a16="http://schemas.microsoft.com/office/drawing/2014/main" id="{00000000-0008-0000-0A00-000004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91</xdr:row>
          <xdr:rowOff>0</xdr:rowOff>
        </xdr:from>
        <xdr:to>
          <xdr:col>14</xdr:col>
          <xdr:colOff>657225</xdr:colOff>
          <xdr:row>93</xdr:row>
          <xdr:rowOff>28575</xdr:rowOff>
        </xdr:to>
        <xdr:sp macro="" textlink="">
          <xdr:nvSpPr>
            <xdr:cNvPr id="104453" name="Option Button 5" hidden="1">
              <a:extLst>
                <a:ext uri="{63B3BB69-23CF-44E3-9099-C40C66FF867C}">
                  <a14:compatExt spid="_x0000_s104453"/>
                </a:ext>
                <a:ext uri="{FF2B5EF4-FFF2-40B4-BE49-F238E27FC236}">
                  <a16:creationId xmlns:a16="http://schemas.microsoft.com/office/drawing/2014/main" id="{00000000-0008-0000-0A00-000005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91</xdr:row>
          <xdr:rowOff>0</xdr:rowOff>
        </xdr:from>
        <xdr:to>
          <xdr:col>9</xdr:col>
          <xdr:colOff>133350</xdr:colOff>
          <xdr:row>92</xdr:row>
          <xdr:rowOff>85725</xdr:rowOff>
        </xdr:to>
        <xdr:sp macro="" textlink="">
          <xdr:nvSpPr>
            <xdr:cNvPr id="104454" name="Option Button 6" hidden="1">
              <a:extLst>
                <a:ext uri="{63B3BB69-23CF-44E3-9099-C40C66FF867C}">
                  <a14:compatExt spid="_x0000_s104454"/>
                </a:ext>
                <a:ext uri="{FF2B5EF4-FFF2-40B4-BE49-F238E27FC236}">
                  <a16:creationId xmlns:a16="http://schemas.microsoft.com/office/drawing/2014/main" id="{00000000-0008-0000-0A00-000006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91</xdr:row>
          <xdr:rowOff>0</xdr:rowOff>
        </xdr:from>
        <xdr:to>
          <xdr:col>14</xdr:col>
          <xdr:colOff>657225</xdr:colOff>
          <xdr:row>93</xdr:row>
          <xdr:rowOff>28575</xdr:rowOff>
        </xdr:to>
        <xdr:sp macro="" textlink="">
          <xdr:nvSpPr>
            <xdr:cNvPr id="104455" name="Option Button 7" hidden="1">
              <a:extLst>
                <a:ext uri="{63B3BB69-23CF-44E3-9099-C40C66FF867C}">
                  <a14:compatExt spid="_x0000_s104455"/>
                </a:ext>
                <a:ext uri="{FF2B5EF4-FFF2-40B4-BE49-F238E27FC236}">
                  <a16:creationId xmlns:a16="http://schemas.microsoft.com/office/drawing/2014/main" id="{00000000-0008-0000-0A00-000007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91</xdr:row>
          <xdr:rowOff>0</xdr:rowOff>
        </xdr:from>
        <xdr:to>
          <xdr:col>9</xdr:col>
          <xdr:colOff>133350</xdr:colOff>
          <xdr:row>92</xdr:row>
          <xdr:rowOff>85725</xdr:rowOff>
        </xdr:to>
        <xdr:sp macro="" textlink="">
          <xdr:nvSpPr>
            <xdr:cNvPr id="104456" name="Option Button 8" hidden="1">
              <a:extLst>
                <a:ext uri="{63B3BB69-23CF-44E3-9099-C40C66FF867C}">
                  <a14:compatExt spid="_x0000_s104456"/>
                </a:ext>
                <a:ext uri="{FF2B5EF4-FFF2-40B4-BE49-F238E27FC236}">
                  <a16:creationId xmlns:a16="http://schemas.microsoft.com/office/drawing/2014/main" id="{00000000-0008-0000-0A00-000008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91</xdr:row>
          <xdr:rowOff>0</xdr:rowOff>
        </xdr:from>
        <xdr:to>
          <xdr:col>14</xdr:col>
          <xdr:colOff>657225</xdr:colOff>
          <xdr:row>93</xdr:row>
          <xdr:rowOff>28575</xdr:rowOff>
        </xdr:to>
        <xdr:sp macro="" textlink="">
          <xdr:nvSpPr>
            <xdr:cNvPr id="104457" name="Option Button 9" hidden="1">
              <a:extLst>
                <a:ext uri="{63B3BB69-23CF-44E3-9099-C40C66FF867C}">
                  <a14:compatExt spid="_x0000_s104457"/>
                </a:ext>
                <a:ext uri="{FF2B5EF4-FFF2-40B4-BE49-F238E27FC236}">
                  <a16:creationId xmlns:a16="http://schemas.microsoft.com/office/drawing/2014/main" id="{00000000-0008-0000-0A00-000009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91</xdr:row>
          <xdr:rowOff>0</xdr:rowOff>
        </xdr:from>
        <xdr:to>
          <xdr:col>9</xdr:col>
          <xdr:colOff>133350</xdr:colOff>
          <xdr:row>92</xdr:row>
          <xdr:rowOff>85725</xdr:rowOff>
        </xdr:to>
        <xdr:sp macro="" textlink="">
          <xdr:nvSpPr>
            <xdr:cNvPr id="104458" name="Option Button 10" hidden="1">
              <a:extLst>
                <a:ext uri="{63B3BB69-23CF-44E3-9099-C40C66FF867C}">
                  <a14:compatExt spid="_x0000_s104458"/>
                </a:ext>
                <a:ext uri="{FF2B5EF4-FFF2-40B4-BE49-F238E27FC236}">
                  <a16:creationId xmlns:a16="http://schemas.microsoft.com/office/drawing/2014/main" id="{00000000-0008-0000-0A00-00000A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91</xdr:row>
          <xdr:rowOff>0</xdr:rowOff>
        </xdr:from>
        <xdr:to>
          <xdr:col>14</xdr:col>
          <xdr:colOff>657225</xdr:colOff>
          <xdr:row>93</xdr:row>
          <xdr:rowOff>28575</xdr:rowOff>
        </xdr:to>
        <xdr:sp macro="" textlink="">
          <xdr:nvSpPr>
            <xdr:cNvPr id="104459" name="Option Button 11" hidden="1">
              <a:extLst>
                <a:ext uri="{63B3BB69-23CF-44E3-9099-C40C66FF867C}">
                  <a14:compatExt spid="_x0000_s104459"/>
                </a:ext>
                <a:ext uri="{FF2B5EF4-FFF2-40B4-BE49-F238E27FC236}">
                  <a16:creationId xmlns:a16="http://schemas.microsoft.com/office/drawing/2014/main" id="{00000000-0008-0000-0A00-00000B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91</xdr:row>
          <xdr:rowOff>0</xdr:rowOff>
        </xdr:from>
        <xdr:to>
          <xdr:col>9</xdr:col>
          <xdr:colOff>133350</xdr:colOff>
          <xdr:row>92</xdr:row>
          <xdr:rowOff>85725</xdr:rowOff>
        </xdr:to>
        <xdr:sp macro="" textlink="">
          <xdr:nvSpPr>
            <xdr:cNvPr id="104460" name="Option Button 12" hidden="1">
              <a:extLst>
                <a:ext uri="{63B3BB69-23CF-44E3-9099-C40C66FF867C}">
                  <a14:compatExt spid="_x0000_s104460"/>
                </a:ext>
                <a:ext uri="{FF2B5EF4-FFF2-40B4-BE49-F238E27FC236}">
                  <a16:creationId xmlns:a16="http://schemas.microsoft.com/office/drawing/2014/main" id="{00000000-0008-0000-0A00-00000C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91</xdr:row>
          <xdr:rowOff>0</xdr:rowOff>
        </xdr:from>
        <xdr:to>
          <xdr:col>14</xdr:col>
          <xdr:colOff>628650</xdr:colOff>
          <xdr:row>93</xdr:row>
          <xdr:rowOff>28575</xdr:rowOff>
        </xdr:to>
        <xdr:sp macro="" textlink="">
          <xdr:nvSpPr>
            <xdr:cNvPr id="123907" name="Option Button 3" hidden="1">
              <a:extLst>
                <a:ext uri="{63B3BB69-23CF-44E3-9099-C40C66FF867C}">
                  <a14:compatExt spid="_x0000_s123907"/>
                </a:ext>
                <a:ext uri="{FF2B5EF4-FFF2-40B4-BE49-F238E27FC236}">
                  <a16:creationId xmlns:a16="http://schemas.microsoft.com/office/drawing/2014/main" id="{00000000-0008-0000-0B00-000003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91</xdr:row>
          <xdr:rowOff>0</xdr:rowOff>
        </xdr:from>
        <xdr:to>
          <xdr:col>9</xdr:col>
          <xdr:colOff>95250</xdr:colOff>
          <xdr:row>92</xdr:row>
          <xdr:rowOff>85725</xdr:rowOff>
        </xdr:to>
        <xdr:sp macro="" textlink="">
          <xdr:nvSpPr>
            <xdr:cNvPr id="123908" name="Option Button 4" hidden="1">
              <a:extLst>
                <a:ext uri="{63B3BB69-23CF-44E3-9099-C40C66FF867C}">
                  <a14:compatExt spid="_x0000_s123908"/>
                </a:ext>
                <a:ext uri="{FF2B5EF4-FFF2-40B4-BE49-F238E27FC236}">
                  <a16:creationId xmlns:a16="http://schemas.microsoft.com/office/drawing/2014/main" id="{00000000-0008-0000-0B00-000004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91</xdr:row>
          <xdr:rowOff>0</xdr:rowOff>
        </xdr:from>
        <xdr:to>
          <xdr:col>14</xdr:col>
          <xdr:colOff>628650</xdr:colOff>
          <xdr:row>93</xdr:row>
          <xdr:rowOff>28575</xdr:rowOff>
        </xdr:to>
        <xdr:sp macro="" textlink="">
          <xdr:nvSpPr>
            <xdr:cNvPr id="123909" name="Option Button 5" hidden="1">
              <a:extLst>
                <a:ext uri="{63B3BB69-23CF-44E3-9099-C40C66FF867C}">
                  <a14:compatExt spid="_x0000_s123909"/>
                </a:ext>
                <a:ext uri="{FF2B5EF4-FFF2-40B4-BE49-F238E27FC236}">
                  <a16:creationId xmlns:a16="http://schemas.microsoft.com/office/drawing/2014/main" id="{00000000-0008-0000-0B00-000005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91</xdr:row>
          <xdr:rowOff>0</xdr:rowOff>
        </xdr:from>
        <xdr:to>
          <xdr:col>9</xdr:col>
          <xdr:colOff>95250</xdr:colOff>
          <xdr:row>92</xdr:row>
          <xdr:rowOff>85725</xdr:rowOff>
        </xdr:to>
        <xdr:sp macro="" textlink="">
          <xdr:nvSpPr>
            <xdr:cNvPr id="123910" name="Option Button 6" hidden="1">
              <a:extLst>
                <a:ext uri="{63B3BB69-23CF-44E3-9099-C40C66FF867C}">
                  <a14:compatExt spid="_x0000_s123910"/>
                </a:ext>
                <a:ext uri="{FF2B5EF4-FFF2-40B4-BE49-F238E27FC236}">
                  <a16:creationId xmlns:a16="http://schemas.microsoft.com/office/drawing/2014/main" id="{00000000-0008-0000-0B00-000006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91</xdr:row>
          <xdr:rowOff>0</xdr:rowOff>
        </xdr:from>
        <xdr:to>
          <xdr:col>14</xdr:col>
          <xdr:colOff>628650</xdr:colOff>
          <xdr:row>93</xdr:row>
          <xdr:rowOff>28575</xdr:rowOff>
        </xdr:to>
        <xdr:sp macro="" textlink="">
          <xdr:nvSpPr>
            <xdr:cNvPr id="123911" name="Option Button 7" hidden="1">
              <a:extLst>
                <a:ext uri="{63B3BB69-23CF-44E3-9099-C40C66FF867C}">
                  <a14:compatExt spid="_x0000_s123911"/>
                </a:ext>
                <a:ext uri="{FF2B5EF4-FFF2-40B4-BE49-F238E27FC236}">
                  <a16:creationId xmlns:a16="http://schemas.microsoft.com/office/drawing/2014/main" id="{00000000-0008-0000-0B00-000007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91</xdr:row>
          <xdr:rowOff>0</xdr:rowOff>
        </xdr:from>
        <xdr:to>
          <xdr:col>9</xdr:col>
          <xdr:colOff>95250</xdr:colOff>
          <xdr:row>92</xdr:row>
          <xdr:rowOff>85725</xdr:rowOff>
        </xdr:to>
        <xdr:sp macro="" textlink="">
          <xdr:nvSpPr>
            <xdr:cNvPr id="123912" name="Option Button 8" hidden="1">
              <a:extLst>
                <a:ext uri="{63B3BB69-23CF-44E3-9099-C40C66FF867C}">
                  <a14:compatExt spid="_x0000_s123912"/>
                </a:ext>
                <a:ext uri="{FF2B5EF4-FFF2-40B4-BE49-F238E27FC236}">
                  <a16:creationId xmlns:a16="http://schemas.microsoft.com/office/drawing/2014/main" id="{00000000-0008-0000-0B00-000008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91</xdr:row>
          <xdr:rowOff>0</xdr:rowOff>
        </xdr:from>
        <xdr:to>
          <xdr:col>14</xdr:col>
          <xdr:colOff>628650</xdr:colOff>
          <xdr:row>93</xdr:row>
          <xdr:rowOff>28575</xdr:rowOff>
        </xdr:to>
        <xdr:sp macro="" textlink="">
          <xdr:nvSpPr>
            <xdr:cNvPr id="123913" name="Option Button 9" hidden="1">
              <a:extLst>
                <a:ext uri="{63B3BB69-23CF-44E3-9099-C40C66FF867C}">
                  <a14:compatExt spid="_x0000_s123913"/>
                </a:ext>
                <a:ext uri="{FF2B5EF4-FFF2-40B4-BE49-F238E27FC236}">
                  <a16:creationId xmlns:a16="http://schemas.microsoft.com/office/drawing/2014/main" id="{00000000-0008-0000-0B00-000009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91</xdr:row>
          <xdr:rowOff>0</xdr:rowOff>
        </xdr:from>
        <xdr:to>
          <xdr:col>9</xdr:col>
          <xdr:colOff>95250</xdr:colOff>
          <xdr:row>92</xdr:row>
          <xdr:rowOff>85725</xdr:rowOff>
        </xdr:to>
        <xdr:sp macro="" textlink="">
          <xdr:nvSpPr>
            <xdr:cNvPr id="123914" name="Option Button 10" hidden="1">
              <a:extLst>
                <a:ext uri="{63B3BB69-23CF-44E3-9099-C40C66FF867C}">
                  <a14:compatExt spid="_x0000_s123914"/>
                </a:ext>
                <a:ext uri="{FF2B5EF4-FFF2-40B4-BE49-F238E27FC236}">
                  <a16:creationId xmlns:a16="http://schemas.microsoft.com/office/drawing/2014/main" id="{00000000-0008-0000-0B00-00000A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91</xdr:row>
          <xdr:rowOff>0</xdr:rowOff>
        </xdr:from>
        <xdr:to>
          <xdr:col>14</xdr:col>
          <xdr:colOff>628650</xdr:colOff>
          <xdr:row>93</xdr:row>
          <xdr:rowOff>28575</xdr:rowOff>
        </xdr:to>
        <xdr:sp macro="" textlink="">
          <xdr:nvSpPr>
            <xdr:cNvPr id="123915" name="Option Button 11" hidden="1">
              <a:extLst>
                <a:ext uri="{63B3BB69-23CF-44E3-9099-C40C66FF867C}">
                  <a14:compatExt spid="_x0000_s123915"/>
                </a:ext>
                <a:ext uri="{FF2B5EF4-FFF2-40B4-BE49-F238E27FC236}">
                  <a16:creationId xmlns:a16="http://schemas.microsoft.com/office/drawing/2014/main" id="{00000000-0008-0000-0B00-00000B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91</xdr:row>
          <xdr:rowOff>0</xdr:rowOff>
        </xdr:from>
        <xdr:to>
          <xdr:col>9</xdr:col>
          <xdr:colOff>95250</xdr:colOff>
          <xdr:row>92</xdr:row>
          <xdr:rowOff>85725</xdr:rowOff>
        </xdr:to>
        <xdr:sp macro="" textlink="">
          <xdr:nvSpPr>
            <xdr:cNvPr id="123916" name="Option Button 12" hidden="1">
              <a:extLst>
                <a:ext uri="{63B3BB69-23CF-44E3-9099-C40C66FF867C}">
                  <a14:compatExt spid="_x0000_s123916"/>
                </a:ext>
                <a:ext uri="{FF2B5EF4-FFF2-40B4-BE49-F238E27FC236}">
                  <a16:creationId xmlns:a16="http://schemas.microsoft.com/office/drawing/2014/main" id="{00000000-0008-0000-0B00-00000C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indsey\AppData\Local\Microsoft\Windows\Temporary%20Internet%20Files\Low\Content.IE5\HRXWV853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haghani.HYDRO\Desktop\Regulatory\2015%20COS\Models\1'9'2015%20Final%20Models%20with%20UTR%20Update\5.1%20Cost%20Allocation%202016%20V3.1%20Scenario%201%20-%20no%20investment%20-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EB%20Rate%20Applications/2018%20IRM%20Application/1.%20Working%20Models%20and%20Supporting%20Information/Cambridge%20Working%20Paper/2018%20IRM%20Rate%20Generator%20Model%20-%20V1.0%20EnergyPlus%20CND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EB%20Rate%20Applications\2014%20COS%20Rate%20Rebasing\New%20Working%20Models%20August%202013\Revised_Filing_Requirements_Chapter2_Appendices_for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1 Intro"/>
      <sheetName val="I2 LDC class"/>
      <sheetName val="I3 TB Data"/>
      <sheetName val="I4 BO ASSETS"/>
      <sheetName val="I5.1 Misc Data"/>
      <sheetName val="I5.2 Weighting Factors"/>
      <sheetName val="I6.1 Revenue"/>
      <sheetName val="I6.2 Customer Data"/>
      <sheetName val="I7.1 Meter Capital"/>
      <sheetName val="I7.2 Meter Reading"/>
      <sheetName val="I8 Demand Data"/>
      <sheetName val="I9 Direct Allocation"/>
      <sheetName val="O1 Revenue to cost|RR"/>
      <sheetName val="O2 Fixed Charge|Floor|Ceiling"/>
      <sheetName val="O2.1 Line Tran PLCC Adj"/>
      <sheetName val="O2.2 Primary Cost PLCC Adj"/>
      <sheetName val="O2.3 Secondary Cost PLCC Adj"/>
      <sheetName val="O3.1 Line Tran Unit Cost"/>
      <sheetName val="O3.2 Substat Tran Unit Cost "/>
      <sheetName val="O3.3 Primary Cost Pool"/>
      <sheetName val="O3.4 Secondary Cost Pool"/>
      <sheetName val="O3.5 USL Metering Credit"/>
      <sheetName val="O3.6 MicroFIT Charge"/>
      <sheetName val="O4 Summary by Class &amp; Accounts"/>
      <sheetName val="O5 Details by Class &amp; Accounts"/>
      <sheetName val="O6 Source Data for E2"/>
      <sheetName val="O7 Amortization"/>
      <sheetName val="E1 Categorization"/>
      <sheetName val="E2 Allocators"/>
      <sheetName val="E3 PLCC"/>
      <sheetName val="E4 TB Allocation Details"/>
      <sheetName val="E5 Reconciliation"/>
      <sheetName val="Click here if complet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1">
          <cell r="D21">
            <v>222271.92383365458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2 1 5 TotalConsumptionData_Dist"/>
      <sheetName val="5. Allocating Def-Var Balances"/>
      <sheetName val="6. Class A Consumption Data"/>
      <sheetName val="6.1 GA"/>
      <sheetName val="6.1a GA Allocation"/>
      <sheetName val="6.2 CBR B"/>
      <sheetName val="6.2a CBR B_Allocation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>
        <row r="21">
          <cell r="BG21">
            <v>185382.41000000003</v>
          </cell>
        </row>
      </sheetData>
      <sheetData sheetId="5">
        <row r="1">
          <cell r="A1" t="str">
            <v>Algoma Power Inc.</v>
          </cell>
        </row>
      </sheetData>
      <sheetData sheetId="6">
        <row r="16">
          <cell r="A16" t="str">
            <v>Rate Class</v>
          </cell>
        </row>
      </sheetData>
      <sheetData sheetId="7"/>
      <sheetData sheetId="8"/>
      <sheetData sheetId="9">
        <row r="14">
          <cell r="C14">
            <v>2014</v>
          </cell>
        </row>
      </sheetData>
      <sheetData sheetId="10"/>
      <sheetData sheetId="11"/>
      <sheetData sheetId="12"/>
      <sheetData sheetId="13"/>
      <sheetData sheetId="14"/>
      <sheetData sheetId="15">
        <row r="19">
          <cell r="N19">
            <v>131858418</v>
          </cell>
        </row>
      </sheetData>
      <sheetData sheetId="16"/>
      <sheetData sheetId="17">
        <row r="17">
          <cell r="E17">
            <v>396175659</v>
          </cell>
        </row>
      </sheetData>
      <sheetData sheetId="18"/>
      <sheetData sheetId="19">
        <row r="32">
          <cell r="F32">
            <v>10420627.560000001</v>
          </cell>
        </row>
      </sheetData>
      <sheetData sheetId="20">
        <row r="109">
          <cell r="F109">
            <v>10681070.170620002</v>
          </cell>
        </row>
      </sheetData>
      <sheetData sheetId="21">
        <row r="109">
          <cell r="F109">
            <v>10681070.170620002</v>
          </cell>
        </row>
      </sheetData>
      <sheetData sheetId="22"/>
      <sheetData sheetId="23">
        <row r="12">
          <cell r="F12">
            <v>48090.728130542193</v>
          </cell>
        </row>
      </sheetData>
      <sheetData sheetId="24">
        <row r="16">
          <cell r="D16">
            <v>2.9999999999999997E-4</v>
          </cell>
        </row>
        <row r="23">
          <cell r="D23">
            <v>6.5000000000000002E-2</v>
          </cell>
        </row>
        <row r="24">
          <cell r="D24">
            <v>9.5000000000000001E-2</v>
          </cell>
        </row>
        <row r="25">
          <cell r="D25">
            <v>0.13200000000000001</v>
          </cell>
        </row>
        <row r="29">
          <cell r="D29">
            <v>7.0000000000000001E-3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">
          <cell r="O1" t="str">
            <v>Account set up charge/change of occupancy charge (plus credit agency costs if applicable)</v>
          </cell>
        </row>
      </sheetData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 refreshError="1">
        <row r="16">
          <cell r="E16" t="str">
            <v>EB-2013-0116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8.xml"/><Relationship Id="rId13" Type="http://schemas.openxmlformats.org/officeDocument/2006/relationships/ctrlProp" Target="../ctrlProps/ctrlProp183.xml"/><Relationship Id="rId18" Type="http://schemas.openxmlformats.org/officeDocument/2006/relationships/ctrlProp" Target="../ctrlProps/ctrlProp188.xml"/><Relationship Id="rId26" Type="http://schemas.openxmlformats.org/officeDocument/2006/relationships/ctrlProp" Target="../ctrlProps/ctrlProp196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191.xml"/><Relationship Id="rId34" Type="http://schemas.openxmlformats.org/officeDocument/2006/relationships/ctrlProp" Target="../ctrlProps/ctrlProp204.xml"/><Relationship Id="rId7" Type="http://schemas.openxmlformats.org/officeDocument/2006/relationships/ctrlProp" Target="../ctrlProps/ctrlProp177.xml"/><Relationship Id="rId12" Type="http://schemas.openxmlformats.org/officeDocument/2006/relationships/ctrlProp" Target="../ctrlProps/ctrlProp182.xml"/><Relationship Id="rId17" Type="http://schemas.openxmlformats.org/officeDocument/2006/relationships/ctrlProp" Target="../ctrlProps/ctrlProp187.xml"/><Relationship Id="rId25" Type="http://schemas.openxmlformats.org/officeDocument/2006/relationships/ctrlProp" Target="../ctrlProps/ctrlProp195.xml"/><Relationship Id="rId33" Type="http://schemas.openxmlformats.org/officeDocument/2006/relationships/ctrlProp" Target="../ctrlProps/ctrlProp203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86.xml"/><Relationship Id="rId20" Type="http://schemas.openxmlformats.org/officeDocument/2006/relationships/ctrlProp" Target="../ctrlProps/ctrlProp190.xml"/><Relationship Id="rId29" Type="http://schemas.openxmlformats.org/officeDocument/2006/relationships/ctrlProp" Target="../ctrlProps/ctrlProp199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176.xml"/><Relationship Id="rId11" Type="http://schemas.openxmlformats.org/officeDocument/2006/relationships/ctrlProp" Target="../ctrlProps/ctrlProp181.xml"/><Relationship Id="rId24" Type="http://schemas.openxmlformats.org/officeDocument/2006/relationships/ctrlProp" Target="../ctrlProps/ctrlProp194.xml"/><Relationship Id="rId32" Type="http://schemas.openxmlformats.org/officeDocument/2006/relationships/ctrlProp" Target="../ctrlProps/ctrlProp202.xml"/><Relationship Id="rId5" Type="http://schemas.openxmlformats.org/officeDocument/2006/relationships/ctrlProp" Target="../ctrlProps/ctrlProp175.xml"/><Relationship Id="rId15" Type="http://schemas.openxmlformats.org/officeDocument/2006/relationships/ctrlProp" Target="../ctrlProps/ctrlProp185.xml"/><Relationship Id="rId23" Type="http://schemas.openxmlformats.org/officeDocument/2006/relationships/ctrlProp" Target="../ctrlProps/ctrlProp193.xml"/><Relationship Id="rId28" Type="http://schemas.openxmlformats.org/officeDocument/2006/relationships/ctrlProp" Target="../ctrlProps/ctrlProp198.xml"/><Relationship Id="rId36" Type="http://schemas.openxmlformats.org/officeDocument/2006/relationships/ctrlProp" Target="../ctrlProps/ctrlProp206.xml"/><Relationship Id="rId10" Type="http://schemas.openxmlformats.org/officeDocument/2006/relationships/ctrlProp" Target="../ctrlProps/ctrlProp180.xml"/><Relationship Id="rId19" Type="http://schemas.openxmlformats.org/officeDocument/2006/relationships/ctrlProp" Target="../ctrlProps/ctrlProp189.xml"/><Relationship Id="rId31" Type="http://schemas.openxmlformats.org/officeDocument/2006/relationships/ctrlProp" Target="../ctrlProps/ctrlProp201.xml"/><Relationship Id="rId4" Type="http://schemas.openxmlformats.org/officeDocument/2006/relationships/ctrlProp" Target="../ctrlProps/ctrlProp174.xml"/><Relationship Id="rId9" Type="http://schemas.openxmlformats.org/officeDocument/2006/relationships/ctrlProp" Target="../ctrlProps/ctrlProp179.xml"/><Relationship Id="rId14" Type="http://schemas.openxmlformats.org/officeDocument/2006/relationships/ctrlProp" Target="../ctrlProps/ctrlProp184.xml"/><Relationship Id="rId22" Type="http://schemas.openxmlformats.org/officeDocument/2006/relationships/ctrlProp" Target="../ctrlProps/ctrlProp192.xml"/><Relationship Id="rId27" Type="http://schemas.openxmlformats.org/officeDocument/2006/relationships/ctrlProp" Target="../ctrlProps/ctrlProp197.xml"/><Relationship Id="rId30" Type="http://schemas.openxmlformats.org/officeDocument/2006/relationships/ctrlProp" Target="../ctrlProps/ctrlProp200.xml"/><Relationship Id="rId35" Type="http://schemas.openxmlformats.org/officeDocument/2006/relationships/ctrlProp" Target="../ctrlProps/ctrlProp205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1.xml"/><Relationship Id="rId13" Type="http://schemas.openxmlformats.org/officeDocument/2006/relationships/ctrlProp" Target="../ctrlProps/ctrlProp216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210.xml"/><Relationship Id="rId12" Type="http://schemas.openxmlformats.org/officeDocument/2006/relationships/ctrlProp" Target="../ctrlProps/ctrlProp215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209.xml"/><Relationship Id="rId11" Type="http://schemas.openxmlformats.org/officeDocument/2006/relationships/ctrlProp" Target="../ctrlProps/ctrlProp214.xml"/><Relationship Id="rId5" Type="http://schemas.openxmlformats.org/officeDocument/2006/relationships/ctrlProp" Target="../ctrlProps/ctrlProp208.xml"/><Relationship Id="rId10" Type="http://schemas.openxmlformats.org/officeDocument/2006/relationships/ctrlProp" Target="../ctrlProps/ctrlProp213.xml"/><Relationship Id="rId4" Type="http://schemas.openxmlformats.org/officeDocument/2006/relationships/ctrlProp" Target="../ctrlProps/ctrlProp207.xml"/><Relationship Id="rId9" Type="http://schemas.openxmlformats.org/officeDocument/2006/relationships/ctrlProp" Target="../ctrlProps/ctrlProp212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1.xml"/><Relationship Id="rId13" Type="http://schemas.openxmlformats.org/officeDocument/2006/relationships/ctrlProp" Target="../ctrlProps/ctrlProp226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220.xml"/><Relationship Id="rId12" Type="http://schemas.openxmlformats.org/officeDocument/2006/relationships/ctrlProp" Target="../ctrlProps/ctrlProp225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219.xml"/><Relationship Id="rId11" Type="http://schemas.openxmlformats.org/officeDocument/2006/relationships/ctrlProp" Target="../ctrlProps/ctrlProp224.xml"/><Relationship Id="rId5" Type="http://schemas.openxmlformats.org/officeDocument/2006/relationships/ctrlProp" Target="../ctrlProps/ctrlProp218.xml"/><Relationship Id="rId10" Type="http://schemas.openxmlformats.org/officeDocument/2006/relationships/ctrlProp" Target="../ctrlProps/ctrlProp223.xml"/><Relationship Id="rId4" Type="http://schemas.openxmlformats.org/officeDocument/2006/relationships/ctrlProp" Target="../ctrlProps/ctrlProp217.xml"/><Relationship Id="rId9" Type="http://schemas.openxmlformats.org/officeDocument/2006/relationships/ctrlProp" Target="../ctrlProps/ctrlProp222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1.xml"/><Relationship Id="rId13" Type="http://schemas.openxmlformats.org/officeDocument/2006/relationships/ctrlProp" Target="../ctrlProps/ctrlProp236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230.xml"/><Relationship Id="rId12" Type="http://schemas.openxmlformats.org/officeDocument/2006/relationships/ctrlProp" Target="../ctrlProps/ctrlProp235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229.xml"/><Relationship Id="rId11" Type="http://schemas.openxmlformats.org/officeDocument/2006/relationships/ctrlProp" Target="../ctrlProps/ctrlProp234.xml"/><Relationship Id="rId5" Type="http://schemas.openxmlformats.org/officeDocument/2006/relationships/ctrlProp" Target="../ctrlProps/ctrlProp228.xml"/><Relationship Id="rId10" Type="http://schemas.openxmlformats.org/officeDocument/2006/relationships/ctrlProp" Target="../ctrlProps/ctrlProp233.xml"/><Relationship Id="rId4" Type="http://schemas.openxmlformats.org/officeDocument/2006/relationships/ctrlProp" Target="../ctrlProps/ctrlProp227.xml"/><Relationship Id="rId9" Type="http://schemas.openxmlformats.org/officeDocument/2006/relationships/ctrlProp" Target="../ctrlProps/ctrlProp232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1.xml"/><Relationship Id="rId13" Type="http://schemas.openxmlformats.org/officeDocument/2006/relationships/ctrlProp" Target="../ctrlProps/ctrlProp246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240.xml"/><Relationship Id="rId12" Type="http://schemas.openxmlformats.org/officeDocument/2006/relationships/ctrlProp" Target="../ctrlProps/ctrlProp245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239.xml"/><Relationship Id="rId11" Type="http://schemas.openxmlformats.org/officeDocument/2006/relationships/ctrlProp" Target="../ctrlProps/ctrlProp244.xml"/><Relationship Id="rId5" Type="http://schemas.openxmlformats.org/officeDocument/2006/relationships/ctrlProp" Target="../ctrlProps/ctrlProp238.xml"/><Relationship Id="rId10" Type="http://schemas.openxmlformats.org/officeDocument/2006/relationships/ctrlProp" Target="../ctrlProps/ctrlProp243.xml"/><Relationship Id="rId4" Type="http://schemas.openxmlformats.org/officeDocument/2006/relationships/ctrlProp" Target="../ctrlProps/ctrlProp237.xml"/><Relationship Id="rId9" Type="http://schemas.openxmlformats.org/officeDocument/2006/relationships/ctrlProp" Target="../ctrlProps/ctrlProp242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1.xml"/><Relationship Id="rId13" Type="http://schemas.openxmlformats.org/officeDocument/2006/relationships/ctrlProp" Target="../ctrlProps/ctrlProp256.xml"/><Relationship Id="rId3" Type="http://schemas.openxmlformats.org/officeDocument/2006/relationships/vmlDrawing" Target="../drawings/vmlDrawing12.vml"/><Relationship Id="rId7" Type="http://schemas.openxmlformats.org/officeDocument/2006/relationships/ctrlProp" Target="../ctrlProps/ctrlProp250.xml"/><Relationship Id="rId12" Type="http://schemas.openxmlformats.org/officeDocument/2006/relationships/ctrlProp" Target="../ctrlProps/ctrlProp255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249.xml"/><Relationship Id="rId11" Type="http://schemas.openxmlformats.org/officeDocument/2006/relationships/ctrlProp" Target="../ctrlProps/ctrlProp254.xml"/><Relationship Id="rId5" Type="http://schemas.openxmlformats.org/officeDocument/2006/relationships/ctrlProp" Target="../ctrlProps/ctrlProp248.xml"/><Relationship Id="rId10" Type="http://schemas.openxmlformats.org/officeDocument/2006/relationships/ctrlProp" Target="../ctrlProps/ctrlProp253.xml"/><Relationship Id="rId4" Type="http://schemas.openxmlformats.org/officeDocument/2006/relationships/ctrlProp" Target="../ctrlProps/ctrlProp247.xml"/><Relationship Id="rId9" Type="http://schemas.openxmlformats.org/officeDocument/2006/relationships/ctrlProp" Target="../ctrlProps/ctrlProp252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1.xml"/><Relationship Id="rId13" Type="http://schemas.openxmlformats.org/officeDocument/2006/relationships/ctrlProp" Target="../ctrlProps/ctrlProp266.xml"/><Relationship Id="rId3" Type="http://schemas.openxmlformats.org/officeDocument/2006/relationships/vmlDrawing" Target="../drawings/vmlDrawing13.vml"/><Relationship Id="rId7" Type="http://schemas.openxmlformats.org/officeDocument/2006/relationships/ctrlProp" Target="../ctrlProps/ctrlProp260.xml"/><Relationship Id="rId12" Type="http://schemas.openxmlformats.org/officeDocument/2006/relationships/ctrlProp" Target="../ctrlProps/ctrlProp265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259.xml"/><Relationship Id="rId11" Type="http://schemas.openxmlformats.org/officeDocument/2006/relationships/ctrlProp" Target="../ctrlProps/ctrlProp264.xml"/><Relationship Id="rId5" Type="http://schemas.openxmlformats.org/officeDocument/2006/relationships/ctrlProp" Target="../ctrlProps/ctrlProp258.xml"/><Relationship Id="rId10" Type="http://schemas.openxmlformats.org/officeDocument/2006/relationships/ctrlProp" Target="../ctrlProps/ctrlProp263.xml"/><Relationship Id="rId4" Type="http://schemas.openxmlformats.org/officeDocument/2006/relationships/ctrlProp" Target="../ctrlProps/ctrlProp257.xml"/><Relationship Id="rId9" Type="http://schemas.openxmlformats.org/officeDocument/2006/relationships/ctrlProp" Target="../ctrlProps/ctrlProp262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1.xml"/><Relationship Id="rId13" Type="http://schemas.openxmlformats.org/officeDocument/2006/relationships/ctrlProp" Target="../ctrlProps/ctrlProp276.xml"/><Relationship Id="rId3" Type="http://schemas.openxmlformats.org/officeDocument/2006/relationships/vmlDrawing" Target="../drawings/vmlDrawing14.vml"/><Relationship Id="rId7" Type="http://schemas.openxmlformats.org/officeDocument/2006/relationships/ctrlProp" Target="../ctrlProps/ctrlProp270.xml"/><Relationship Id="rId12" Type="http://schemas.openxmlformats.org/officeDocument/2006/relationships/ctrlProp" Target="../ctrlProps/ctrlProp275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Relationship Id="rId6" Type="http://schemas.openxmlformats.org/officeDocument/2006/relationships/ctrlProp" Target="../ctrlProps/ctrlProp269.xml"/><Relationship Id="rId11" Type="http://schemas.openxmlformats.org/officeDocument/2006/relationships/ctrlProp" Target="../ctrlProps/ctrlProp274.xml"/><Relationship Id="rId5" Type="http://schemas.openxmlformats.org/officeDocument/2006/relationships/ctrlProp" Target="../ctrlProps/ctrlProp268.xml"/><Relationship Id="rId10" Type="http://schemas.openxmlformats.org/officeDocument/2006/relationships/ctrlProp" Target="../ctrlProps/ctrlProp273.xml"/><Relationship Id="rId4" Type="http://schemas.openxmlformats.org/officeDocument/2006/relationships/ctrlProp" Target="../ctrlProps/ctrlProp267.xml"/><Relationship Id="rId9" Type="http://schemas.openxmlformats.org/officeDocument/2006/relationships/ctrlProp" Target="../ctrlProps/ctrlProp272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1.xml"/><Relationship Id="rId13" Type="http://schemas.openxmlformats.org/officeDocument/2006/relationships/ctrlProp" Target="../ctrlProps/ctrlProp286.xml"/><Relationship Id="rId3" Type="http://schemas.openxmlformats.org/officeDocument/2006/relationships/vmlDrawing" Target="../drawings/vmlDrawing15.vml"/><Relationship Id="rId7" Type="http://schemas.openxmlformats.org/officeDocument/2006/relationships/ctrlProp" Target="../ctrlProps/ctrlProp280.xml"/><Relationship Id="rId12" Type="http://schemas.openxmlformats.org/officeDocument/2006/relationships/ctrlProp" Target="../ctrlProps/ctrlProp285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279.xml"/><Relationship Id="rId11" Type="http://schemas.openxmlformats.org/officeDocument/2006/relationships/ctrlProp" Target="../ctrlProps/ctrlProp284.xml"/><Relationship Id="rId5" Type="http://schemas.openxmlformats.org/officeDocument/2006/relationships/ctrlProp" Target="../ctrlProps/ctrlProp278.xml"/><Relationship Id="rId10" Type="http://schemas.openxmlformats.org/officeDocument/2006/relationships/ctrlProp" Target="../ctrlProps/ctrlProp283.xml"/><Relationship Id="rId4" Type="http://schemas.openxmlformats.org/officeDocument/2006/relationships/ctrlProp" Target="../ctrlProps/ctrlProp277.xml"/><Relationship Id="rId9" Type="http://schemas.openxmlformats.org/officeDocument/2006/relationships/ctrlProp" Target="../ctrlProps/ctrlProp282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1.xml"/><Relationship Id="rId13" Type="http://schemas.openxmlformats.org/officeDocument/2006/relationships/ctrlProp" Target="../ctrlProps/ctrlProp296.xml"/><Relationship Id="rId3" Type="http://schemas.openxmlformats.org/officeDocument/2006/relationships/vmlDrawing" Target="../drawings/vmlDrawing16.vml"/><Relationship Id="rId7" Type="http://schemas.openxmlformats.org/officeDocument/2006/relationships/ctrlProp" Target="../ctrlProps/ctrlProp290.xml"/><Relationship Id="rId12" Type="http://schemas.openxmlformats.org/officeDocument/2006/relationships/ctrlProp" Target="../ctrlProps/ctrlProp295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Relationship Id="rId6" Type="http://schemas.openxmlformats.org/officeDocument/2006/relationships/ctrlProp" Target="../ctrlProps/ctrlProp289.xml"/><Relationship Id="rId11" Type="http://schemas.openxmlformats.org/officeDocument/2006/relationships/ctrlProp" Target="../ctrlProps/ctrlProp294.xml"/><Relationship Id="rId5" Type="http://schemas.openxmlformats.org/officeDocument/2006/relationships/ctrlProp" Target="../ctrlProps/ctrlProp288.xml"/><Relationship Id="rId10" Type="http://schemas.openxmlformats.org/officeDocument/2006/relationships/ctrlProp" Target="../ctrlProps/ctrlProp293.xml"/><Relationship Id="rId4" Type="http://schemas.openxmlformats.org/officeDocument/2006/relationships/ctrlProp" Target="../ctrlProps/ctrlProp287.xml"/><Relationship Id="rId9" Type="http://schemas.openxmlformats.org/officeDocument/2006/relationships/ctrlProp" Target="../ctrlProps/ctrlProp29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1.xml"/><Relationship Id="rId13" Type="http://schemas.openxmlformats.org/officeDocument/2006/relationships/ctrlProp" Target="../ctrlProps/ctrlProp306.xml"/><Relationship Id="rId3" Type="http://schemas.openxmlformats.org/officeDocument/2006/relationships/vmlDrawing" Target="../drawings/vmlDrawing17.vml"/><Relationship Id="rId7" Type="http://schemas.openxmlformats.org/officeDocument/2006/relationships/ctrlProp" Target="../ctrlProps/ctrlProp300.xml"/><Relationship Id="rId12" Type="http://schemas.openxmlformats.org/officeDocument/2006/relationships/ctrlProp" Target="../ctrlProps/ctrlProp305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Relationship Id="rId6" Type="http://schemas.openxmlformats.org/officeDocument/2006/relationships/ctrlProp" Target="../ctrlProps/ctrlProp299.xml"/><Relationship Id="rId11" Type="http://schemas.openxmlformats.org/officeDocument/2006/relationships/ctrlProp" Target="../ctrlProps/ctrlProp304.xml"/><Relationship Id="rId5" Type="http://schemas.openxmlformats.org/officeDocument/2006/relationships/ctrlProp" Target="../ctrlProps/ctrlProp298.xml"/><Relationship Id="rId10" Type="http://schemas.openxmlformats.org/officeDocument/2006/relationships/ctrlProp" Target="../ctrlProps/ctrlProp303.xml"/><Relationship Id="rId4" Type="http://schemas.openxmlformats.org/officeDocument/2006/relationships/ctrlProp" Target="../ctrlProps/ctrlProp297.xml"/><Relationship Id="rId9" Type="http://schemas.openxmlformats.org/officeDocument/2006/relationships/ctrlProp" Target="../ctrlProps/ctrlProp302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1.xml"/><Relationship Id="rId13" Type="http://schemas.openxmlformats.org/officeDocument/2006/relationships/ctrlProp" Target="../ctrlProps/ctrlProp316.xml"/><Relationship Id="rId3" Type="http://schemas.openxmlformats.org/officeDocument/2006/relationships/vmlDrawing" Target="../drawings/vmlDrawing18.vml"/><Relationship Id="rId7" Type="http://schemas.openxmlformats.org/officeDocument/2006/relationships/ctrlProp" Target="../ctrlProps/ctrlProp310.xml"/><Relationship Id="rId12" Type="http://schemas.openxmlformats.org/officeDocument/2006/relationships/ctrlProp" Target="../ctrlProps/ctrlProp315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Relationship Id="rId6" Type="http://schemas.openxmlformats.org/officeDocument/2006/relationships/ctrlProp" Target="../ctrlProps/ctrlProp309.xml"/><Relationship Id="rId11" Type="http://schemas.openxmlformats.org/officeDocument/2006/relationships/ctrlProp" Target="../ctrlProps/ctrlProp314.xml"/><Relationship Id="rId5" Type="http://schemas.openxmlformats.org/officeDocument/2006/relationships/ctrlProp" Target="../ctrlProps/ctrlProp308.xml"/><Relationship Id="rId10" Type="http://schemas.openxmlformats.org/officeDocument/2006/relationships/ctrlProp" Target="../ctrlProps/ctrlProp313.xml"/><Relationship Id="rId4" Type="http://schemas.openxmlformats.org/officeDocument/2006/relationships/ctrlProp" Target="../ctrlProps/ctrlProp307.xml"/><Relationship Id="rId9" Type="http://schemas.openxmlformats.org/officeDocument/2006/relationships/ctrlProp" Target="../ctrlProps/ctrlProp312.xm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21.xml"/><Relationship Id="rId13" Type="http://schemas.openxmlformats.org/officeDocument/2006/relationships/ctrlProp" Target="../ctrlProps/ctrlProp326.xml"/><Relationship Id="rId3" Type="http://schemas.openxmlformats.org/officeDocument/2006/relationships/vmlDrawing" Target="../drawings/vmlDrawing19.vml"/><Relationship Id="rId7" Type="http://schemas.openxmlformats.org/officeDocument/2006/relationships/ctrlProp" Target="../ctrlProps/ctrlProp320.xml"/><Relationship Id="rId12" Type="http://schemas.openxmlformats.org/officeDocument/2006/relationships/ctrlProp" Target="../ctrlProps/ctrlProp325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Relationship Id="rId6" Type="http://schemas.openxmlformats.org/officeDocument/2006/relationships/ctrlProp" Target="../ctrlProps/ctrlProp319.xml"/><Relationship Id="rId11" Type="http://schemas.openxmlformats.org/officeDocument/2006/relationships/ctrlProp" Target="../ctrlProps/ctrlProp324.xml"/><Relationship Id="rId5" Type="http://schemas.openxmlformats.org/officeDocument/2006/relationships/ctrlProp" Target="../ctrlProps/ctrlProp318.xml"/><Relationship Id="rId10" Type="http://schemas.openxmlformats.org/officeDocument/2006/relationships/ctrlProp" Target="../ctrlProps/ctrlProp323.xml"/><Relationship Id="rId4" Type="http://schemas.openxmlformats.org/officeDocument/2006/relationships/ctrlProp" Target="../ctrlProps/ctrlProp317.xml"/><Relationship Id="rId9" Type="http://schemas.openxmlformats.org/officeDocument/2006/relationships/ctrlProp" Target="../ctrlProps/ctrlProp322.xm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1.xml"/><Relationship Id="rId13" Type="http://schemas.openxmlformats.org/officeDocument/2006/relationships/ctrlProp" Target="../ctrlProps/ctrlProp336.xml"/><Relationship Id="rId3" Type="http://schemas.openxmlformats.org/officeDocument/2006/relationships/vmlDrawing" Target="../drawings/vmlDrawing20.vml"/><Relationship Id="rId7" Type="http://schemas.openxmlformats.org/officeDocument/2006/relationships/ctrlProp" Target="../ctrlProps/ctrlProp330.xml"/><Relationship Id="rId12" Type="http://schemas.openxmlformats.org/officeDocument/2006/relationships/ctrlProp" Target="../ctrlProps/ctrlProp335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Relationship Id="rId6" Type="http://schemas.openxmlformats.org/officeDocument/2006/relationships/ctrlProp" Target="../ctrlProps/ctrlProp329.xml"/><Relationship Id="rId11" Type="http://schemas.openxmlformats.org/officeDocument/2006/relationships/ctrlProp" Target="../ctrlProps/ctrlProp334.xml"/><Relationship Id="rId5" Type="http://schemas.openxmlformats.org/officeDocument/2006/relationships/ctrlProp" Target="../ctrlProps/ctrlProp328.xml"/><Relationship Id="rId10" Type="http://schemas.openxmlformats.org/officeDocument/2006/relationships/ctrlProp" Target="../ctrlProps/ctrlProp333.xml"/><Relationship Id="rId4" Type="http://schemas.openxmlformats.org/officeDocument/2006/relationships/ctrlProp" Target="../ctrlProps/ctrlProp327.xml"/><Relationship Id="rId9" Type="http://schemas.openxmlformats.org/officeDocument/2006/relationships/ctrlProp" Target="../ctrlProps/ctrlProp332.xm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41.xml"/><Relationship Id="rId13" Type="http://schemas.openxmlformats.org/officeDocument/2006/relationships/ctrlProp" Target="../ctrlProps/ctrlProp346.xml"/><Relationship Id="rId18" Type="http://schemas.openxmlformats.org/officeDocument/2006/relationships/ctrlProp" Target="../ctrlProps/ctrlProp351.xml"/><Relationship Id="rId26" Type="http://schemas.openxmlformats.org/officeDocument/2006/relationships/ctrlProp" Target="../ctrlProps/ctrlProp359.xml"/><Relationship Id="rId3" Type="http://schemas.openxmlformats.org/officeDocument/2006/relationships/vmlDrawing" Target="../drawings/vmlDrawing21.vml"/><Relationship Id="rId21" Type="http://schemas.openxmlformats.org/officeDocument/2006/relationships/ctrlProp" Target="../ctrlProps/ctrlProp354.xml"/><Relationship Id="rId34" Type="http://schemas.openxmlformats.org/officeDocument/2006/relationships/ctrlProp" Target="../ctrlProps/ctrlProp367.xml"/><Relationship Id="rId7" Type="http://schemas.openxmlformats.org/officeDocument/2006/relationships/ctrlProp" Target="../ctrlProps/ctrlProp340.xml"/><Relationship Id="rId12" Type="http://schemas.openxmlformats.org/officeDocument/2006/relationships/ctrlProp" Target="../ctrlProps/ctrlProp345.xml"/><Relationship Id="rId17" Type="http://schemas.openxmlformats.org/officeDocument/2006/relationships/ctrlProp" Target="../ctrlProps/ctrlProp350.xml"/><Relationship Id="rId25" Type="http://schemas.openxmlformats.org/officeDocument/2006/relationships/ctrlProp" Target="../ctrlProps/ctrlProp358.xml"/><Relationship Id="rId33" Type="http://schemas.openxmlformats.org/officeDocument/2006/relationships/ctrlProp" Target="../ctrlProps/ctrlProp366.xml"/><Relationship Id="rId2" Type="http://schemas.openxmlformats.org/officeDocument/2006/relationships/drawing" Target="../drawings/drawing21.xml"/><Relationship Id="rId16" Type="http://schemas.openxmlformats.org/officeDocument/2006/relationships/ctrlProp" Target="../ctrlProps/ctrlProp349.xml"/><Relationship Id="rId20" Type="http://schemas.openxmlformats.org/officeDocument/2006/relationships/ctrlProp" Target="../ctrlProps/ctrlProp353.xml"/><Relationship Id="rId29" Type="http://schemas.openxmlformats.org/officeDocument/2006/relationships/ctrlProp" Target="../ctrlProps/ctrlProp362.xml"/><Relationship Id="rId1" Type="http://schemas.openxmlformats.org/officeDocument/2006/relationships/printerSettings" Target="../printerSettings/printerSettings24.bin"/><Relationship Id="rId6" Type="http://schemas.openxmlformats.org/officeDocument/2006/relationships/ctrlProp" Target="../ctrlProps/ctrlProp339.xml"/><Relationship Id="rId11" Type="http://schemas.openxmlformats.org/officeDocument/2006/relationships/ctrlProp" Target="../ctrlProps/ctrlProp344.xml"/><Relationship Id="rId24" Type="http://schemas.openxmlformats.org/officeDocument/2006/relationships/ctrlProp" Target="../ctrlProps/ctrlProp357.xml"/><Relationship Id="rId32" Type="http://schemas.openxmlformats.org/officeDocument/2006/relationships/ctrlProp" Target="../ctrlProps/ctrlProp365.xml"/><Relationship Id="rId5" Type="http://schemas.openxmlformats.org/officeDocument/2006/relationships/ctrlProp" Target="../ctrlProps/ctrlProp338.xml"/><Relationship Id="rId15" Type="http://schemas.openxmlformats.org/officeDocument/2006/relationships/ctrlProp" Target="../ctrlProps/ctrlProp348.xml"/><Relationship Id="rId23" Type="http://schemas.openxmlformats.org/officeDocument/2006/relationships/ctrlProp" Target="../ctrlProps/ctrlProp356.xml"/><Relationship Id="rId28" Type="http://schemas.openxmlformats.org/officeDocument/2006/relationships/ctrlProp" Target="../ctrlProps/ctrlProp361.xml"/><Relationship Id="rId36" Type="http://schemas.openxmlformats.org/officeDocument/2006/relationships/ctrlProp" Target="../ctrlProps/ctrlProp369.xml"/><Relationship Id="rId10" Type="http://schemas.openxmlformats.org/officeDocument/2006/relationships/ctrlProp" Target="../ctrlProps/ctrlProp343.xml"/><Relationship Id="rId19" Type="http://schemas.openxmlformats.org/officeDocument/2006/relationships/ctrlProp" Target="../ctrlProps/ctrlProp352.xml"/><Relationship Id="rId31" Type="http://schemas.openxmlformats.org/officeDocument/2006/relationships/ctrlProp" Target="../ctrlProps/ctrlProp364.xml"/><Relationship Id="rId4" Type="http://schemas.openxmlformats.org/officeDocument/2006/relationships/ctrlProp" Target="../ctrlProps/ctrlProp337.xml"/><Relationship Id="rId9" Type="http://schemas.openxmlformats.org/officeDocument/2006/relationships/ctrlProp" Target="../ctrlProps/ctrlProp342.xml"/><Relationship Id="rId14" Type="http://schemas.openxmlformats.org/officeDocument/2006/relationships/ctrlProp" Target="../ctrlProps/ctrlProp347.xml"/><Relationship Id="rId22" Type="http://schemas.openxmlformats.org/officeDocument/2006/relationships/ctrlProp" Target="../ctrlProps/ctrlProp355.xml"/><Relationship Id="rId27" Type="http://schemas.openxmlformats.org/officeDocument/2006/relationships/ctrlProp" Target="../ctrlProps/ctrlProp360.xml"/><Relationship Id="rId30" Type="http://schemas.openxmlformats.org/officeDocument/2006/relationships/ctrlProp" Target="../ctrlProps/ctrlProp363.xml"/><Relationship Id="rId35" Type="http://schemas.openxmlformats.org/officeDocument/2006/relationships/ctrlProp" Target="../ctrlProps/ctrlProp368.xm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74.xml"/><Relationship Id="rId13" Type="http://schemas.openxmlformats.org/officeDocument/2006/relationships/ctrlProp" Target="../ctrlProps/ctrlProp379.xml"/><Relationship Id="rId18" Type="http://schemas.openxmlformats.org/officeDocument/2006/relationships/ctrlProp" Target="../ctrlProps/ctrlProp384.xml"/><Relationship Id="rId26" Type="http://schemas.openxmlformats.org/officeDocument/2006/relationships/ctrlProp" Target="../ctrlProps/ctrlProp392.xml"/><Relationship Id="rId3" Type="http://schemas.openxmlformats.org/officeDocument/2006/relationships/vmlDrawing" Target="../drawings/vmlDrawing22.vml"/><Relationship Id="rId21" Type="http://schemas.openxmlformats.org/officeDocument/2006/relationships/ctrlProp" Target="../ctrlProps/ctrlProp387.xml"/><Relationship Id="rId34" Type="http://schemas.openxmlformats.org/officeDocument/2006/relationships/ctrlProp" Target="../ctrlProps/ctrlProp400.xml"/><Relationship Id="rId7" Type="http://schemas.openxmlformats.org/officeDocument/2006/relationships/ctrlProp" Target="../ctrlProps/ctrlProp373.xml"/><Relationship Id="rId12" Type="http://schemas.openxmlformats.org/officeDocument/2006/relationships/ctrlProp" Target="../ctrlProps/ctrlProp378.xml"/><Relationship Id="rId17" Type="http://schemas.openxmlformats.org/officeDocument/2006/relationships/ctrlProp" Target="../ctrlProps/ctrlProp383.xml"/><Relationship Id="rId25" Type="http://schemas.openxmlformats.org/officeDocument/2006/relationships/ctrlProp" Target="../ctrlProps/ctrlProp391.xml"/><Relationship Id="rId33" Type="http://schemas.openxmlformats.org/officeDocument/2006/relationships/ctrlProp" Target="../ctrlProps/ctrlProp399.xml"/><Relationship Id="rId2" Type="http://schemas.openxmlformats.org/officeDocument/2006/relationships/drawing" Target="../drawings/drawing22.xml"/><Relationship Id="rId16" Type="http://schemas.openxmlformats.org/officeDocument/2006/relationships/ctrlProp" Target="../ctrlProps/ctrlProp382.xml"/><Relationship Id="rId20" Type="http://schemas.openxmlformats.org/officeDocument/2006/relationships/ctrlProp" Target="../ctrlProps/ctrlProp386.xml"/><Relationship Id="rId29" Type="http://schemas.openxmlformats.org/officeDocument/2006/relationships/ctrlProp" Target="../ctrlProps/ctrlProp395.xml"/><Relationship Id="rId1" Type="http://schemas.openxmlformats.org/officeDocument/2006/relationships/printerSettings" Target="../printerSettings/printerSettings25.bin"/><Relationship Id="rId6" Type="http://schemas.openxmlformats.org/officeDocument/2006/relationships/ctrlProp" Target="../ctrlProps/ctrlProp372.xml"/><Relationship Id="rId11" Type="http://schemas.openxmlformats.org/officeDocument/2006/relationships/ctrlProp" Target="../ctrlProps/ctrlProp377.xml"/><Relationship Id="rId24" Type="http://schemas.openxmlformats.org/officeDocument/2006/relationships/ctrlProp" Target="../ctrlProps/ctrlProp390.xml"/><Relationship Id="rId32" Type="http://schemas.openxmlformats.org/officeDocument/2006/relationships/ctrlProp" Target="../ctrlProps/ctrlProp398.xml"/><Relationship Id="rId5" Type="http://schemas.openxmlformats.org/officeDocument/2006/relationships/ctrlProp" Target="../ctrlProps/ctrlProp371.xml"/><Relationship Id="rId15" Type="http://schemas.openxmlformats.org/officeDocument/2006/relationships/ctrlProp" Target="../ctrlProps/ctrlProp381.xml"/><Relationship Id="rId23" Type="http://schemas.openxmlformats.org/officeDocument/2006/relationships/ctrlProp" Target="../ctrlProps/ctrlProp389.xml"/><Relationship Id="rId28" Type="http://schemas.openxmlformats.org/officeDocument/2006/relationships/ctrlProp" Target="../ctrlProps/ctrlProp394.xml"/><Relationship Id="rId36" Type="http://schemas.openxmlformats.org/officeDocument/2006/relationships/ctrlProp" Target="../ctrlProps/ctrlProp402.xml"/><Relationship Id="rId10" Type="http://schemas.openxmlformats.org/officeDocument/2006/relationships/ctrlProp" Target="../ctrlProps/ctrlProp376.xml"/><Relationship Id="rId19" Type="http://schemas.openxmlformats.org/officeDocument/2006/relationships/ctrlProp" Target="../ctrlProps/ctrlProp385.xml"/><Relationship Id="rId31" Type="http://schemas.openxmlformats.org/officeDocument/2006/relationships/ctrlProp" Target="../ctrlProps/ctrlProp397.xml"/><Relationship Id="rId4" Type="http://schemas.openxmlformats.org/officeDocument/2006/relationships/ctrlProp" Target="../ctrlProps/ctrlProp370.xml"/><Relationship Id="rId9" Type="http://schemas.openxmlformats.org/officeDocument/2006/relationships/ctrlProp" Target="../ctrlProps/ctrlProp375.xml"/><Relationship Id="rId14" Type="http://schemas.openxmlformats.org/officeDocument/2006/relationships/ctrlProp" Target="../ctrlProps/ctrlProp380.xml"/><Relationship Id="rId22" Type="http://schemas.openxmlformats.org/officeDocument/2006/relationships/ctrlProp" Target="../ctrlProps/ctrlProp388.xml"/><Relationship Id="rId27" Type="http://schemas.openxmlformats.org/officeDocument/2006/relationships/ctrlProp" Target="../ctrlProps/ctrlProp393.xml"/><Relationship Id="rId30" Type="http://schemas.openxmlformats.org/officeDocument/2006/relationships/ctrlProp" Target="../ctrlProps/ctrlProp396.xml"/><Relationship Id="rId35" Type="http://schemas.openxmlformats.org/officeDocument/2006/relationships/ctrlProp" Target="../ctrlProps/ctrlProp401.xm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07.xml"/><Relationship Id="rId13" Type="http://schemas.openxmlformats.org/officeDocument/2006/relationships/ctrlProp" Target="../ctrlProps/ctrlProp412.xml"/><Relationship Id="rId3" Type="http://schemas.openxmlformats.org/officeDocument/2006/relationships/vmlDrawing" Target="../drawings/vmlDrawing23.vml"/><Relationship Id="rId7" Type="http://schemas.openxmlformats.org/officeDocument/2006/relationships/ctrlProp" Target="../ctrlProps/ctrlProp406.xml"/><Relationship Id="rId12" Type="http://schemas.openxmlformats.org/officeDocument/2006/relationships/ctrlProp" Target="../ctrlProps/ctrlProp411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Relationship Id="rId6" Type="http://schemas.openxmlformats.org/officeDocument/2006/relationships/ctrlProp" Target="../ctrlProps/ctrlProp405.xml"/><Relationship Id="rId11" Type="http://schemas.openxmlformats.org/officeDocument/2006/relationships/ctrlProp" Target="../ctrlProps/ctrlProp410.xml"/><Relationship Id="rId5" Type="http://schemas.openxmlformats.org/officeDocument/2006/relationships/ctrlProp" Target="../ctrlProps/ctrlProp404.xml"/><Relationship Id="rId10" Type="http://schemas.openxmlformats.org/officeDocument/2006/relationships/ctrlProp" Target="../ctrlProps/ctrlProp409.xml"/><Relationship Id="rId4" Type="http://schemas.openxmlformats.org/officeDocument/2006/relationships/ctrlProp" Target="../ctrlProps/ctrlProp403.xml"/><Relationship Id="rId9" Type="http://schemas.openxmlformats.org/officeDocument/2006/relationships/ctrlProp" Target="../ctrlProps/ctrlProp40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9.xml"/><Relationship Id="rId13" Type="http://schemas.openxmlformats.org/officeDocument/2006/relationships/ctrlProp" Target="../ctrlProps/ctrlProp44.xml"/><Relationship Id="rId18" Type="http://schemas.openxmlformats.org/officeDocument/2006/relationships/ctrlProp" Target="../ctrlProps/ctrlProp49.xml"/><Relationship Id="rId26" Type="http://schemas.openxmlformats.org/officeDocument/2006/relationships/ctrlProp" Target="../ctrlProps/ctrlProp57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52.xml"/><Relationship Id="rId34" Type="http://schemas.openxmlformats.org/officeDocument/2006/relationships/ctrlProp" Target="../ctrlProps/ctrlProp65.xml"/><Relationship Id="rId7" Type="http://schemas.openxmlformats.org/officeDocument/2006/relationships/ctrlProp" Target="../ctrlProps/ctrlProp38.xml"/><Relationship Id="rId12" Type="http://schemas.openxmlformats.org/officeDocument/2006/relationships/ctrlProp" Target="../ctrlProps/ctrlProp43.xml"/><Relationship Id="rId17" Type="http://schemas.openxmlformats.org/officeDocument/2006/relationships/ctrlProp" Target="../ctrlProps/ctrlProp48.xml"/><Relationship Id="rId25" Type="http://schemas.openxmlformats.org/officeDocument/2006/relationships/ctrlProp" Target="../ctrlProps/ctrlProp56.xml"/><Relationship Id="rId33" Type="http://schemas.openxmlformats.org/officeDocument/2006/relationships/ctrlProp" Target="../ctrlProps/ctrlProp6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7.xml"/><Relationship Id="rId20" Type="http://schemas.openxmlformats.org/officeDocument/2006/relationships/ctrlProp" Target="../ctrlProps/ctrlProp51.xml"/><Relationship Id="rId29" Type="http://schemas.openxmlformats.org/officeDocument/2006/relationships/ctrlProp" Target="../ctrlProps/ctrlProp60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7.xml"/><Relationship Id="rId11" Type="http://schemas.openxmlformats.org/officeDocument/2006/relationships/ctrlProp" Target="../ctrlProps/ctrlProp42.xml"/><Relationship Id="rId24" Type="http://schemas.openxmlformats.org/officeDocument/2006/relationships/ctrlProp" Target="../ctrlProps/ctrlProp55.xml"/><Relationship Id="rId32" Type="http://schemas.openxmlformats.org/officeDocument/2006/relationships/ctrlProp" Target="../ctrlProps/ctrlProp63.xml"/><Relationship Id="rId37" Type="http://schemas.openxmlformats.org/officeDocument/2006/relationships/ctrlProp" Target="../ctrlProps/ctrlProp68.xml"/><Relationship Id="rId5" Type="http://schemas.openxmlformats.org/officeDocument/2006/relationships/ctrlProp" Target="../ctrlProps/ctrlProp36.xml"/><Relationship Id="rId15" Type="http://schemas.openxmlformats.org/officeDocument/2006/relationships/ctrlProp" Target="../ctrlProps/ctrlProp46.xml"/><Relationship Id="rId23" Type="http://schemas.openxmlformats.org/officeDocument/2006/relationships/ctrlProp" Target="../ctrlProps/ctrlProp54.xml"/><Relationship Id="rId28" Type="http://schemas.openxmlformats.org/officeDocument/2006/relationships/ctrlProp" Target="../ctrlProps/ctrlProp59.xml"/><Relationship Id="rId36" Type="http://schemas.openxmlformats.org/officeDocument/2006/relationships/ctrlProp" Target="../ctrlProps/ctrlProp67.xml"/><Relationship Id="rId10" Type="http://schemas.openxmlformats.org/officeDocument/2006/relationships/ctrlProp" Target="../ctrlProps/ctrlProp41.xml"/><Relationship Id="rId19" Type="http://schemas.openxmlformats.org/officeDocument/2006/relationships/ctrlProp" Target="../ctrlProps/ctrlProp50.xml"/><Relationship Id="rId31" Type="http://schemas.openxmlformats.org/officeDocument/2006/relationships/ctrlProp" Target="../ctrlProps/ctrlProp62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Relationship Id="rId14" Type="http://schemas.openxmlformats.org/officeDocument/2006/relationships/ctrlProp" Target="../ctrlProps/ctrlProp45.xml"/><Relationship Id="rId22" Type="http://schemas.openxmlformats.org/officeDocument/2006/relationships/ctrlProp" Target="../ctrlProps/ctrlProp53.xml"/><Relationship Id="rId27" Type="http://schemas.openxmlformats.org/officeDocument/2006/relationships/ctrlProp" Target="../ctrlProps/ctrlProp58.xml"/><Relationship Id="rId30" Type="http://schemas.openxmlformats.org/officeDocument/2006/relationships/ctrlProp" Target="../ctrlProps/ctrlProp61.xml"/><Relationship Id="rId35" Type="http://schemas.openxmlformats.org/officeDocument/2006/relationships/ctrlProp" Target="../ctrlProps/ctrlProp6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3.xml"/><Relationship Id="rId13" Type="http://schemas.openxmlformats.org/officeDocument/2006/relationships/ctrlProp" Target="../ctrlProps/ctrlProp78.xml"/><Relationship Id="rId18" Type="http://schemas.openxmlformats.org/officeDocument/2006/relationships/ctrlProp" Target="../ctrlProps/ctrlProp83.xml"/><Relationship Id="rId26" Type="http://schemas.openxmlformats.org/officeDocument/2006/relationships/ctrlProp" Target="../ctrlProps/ctrlProp91.xml"/><Relationship Id="rId39" Type="http://schemas.openxmlformats.org/officeDocument/2006/relationships/ctrlProp" Target="../ctrlProps/ctrlProp104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86.xml"/><Relationship Id="rId34" Type="http://schemas.openxmlformats.org/officeDocument/2006/relationships/ctrlProp" Target="../ctrlProps/ctrlProp99.xml"/><Relationship Id="rId7" Type="http://schemas.openxmlformats.org/officeDocument/2006/relationships/ctrlProp" Target="../ctrlProps/ctrlProp72.xml"/><Relationship Id="rId12" Type="http://schemas.openxmlformats.org/officeDocument/2006/relationships/ctrlProp" Target="../ctrlProps/ctrlProp77.xml"/><Relationship Id="rId17" Type="http://schemas.openxmlformats.org/officeDocument/2006/relationships/ctrlProp" Target="../ctrlProps/ctrlProp82.xml"/><Relationship Id="rId25" Type="http://schemas.openxmlformats.org/officeDocument/2006/relationships/ctrlProp" Target="../ctrlProps/ctrlProp90.xml"/><Relationship Id="rId33" Type="http://schemas.openxmlformats.org/officeDocument/2006/relationships/ctrlProp" Target="../ctrlProps/ctrlProp98.xml"/><Relationship Id="rId38" Type="http://schemas.openxmlformats.org/officeDocument/2006/relationships/ctrlProp" Target="../ctrlProps/ctrlProp103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81.xml"/><Relationship Id="rId20" Type="http://schemas.openxmlformats.org/officeDocument/2006/relationships/ctrlProp" Target="../ctrlProps/ctrlProp85.xml"/><Relationship Id="rId29" Type="http://schemas.openxmlformats.org/officeDocument/2006/relationships/ctrlProp" Target="../ctrlProps/ctrlProp94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71.xml"/><Relationship Id="rId11" Type="http://schemas.openxmlformats.org/officeDocument/2006/relationships/ctrlProp" Target="../ctrlProps/ctrlProp76.xml"/><Relationship Id="rId24" Type="http://schemas.openxmlformats.org/officeDocument/2006/relationships/ctrlProp" Target="../ctrlProps/ctrlProp89.xml"/><Relationship Id="rId32" Type="http://schemas.openxmlformats.org/officeDocument/2006/relationships/ctrlProp" Target="../ctrlProps/ctrlProp97.xml"/><Relationship Id="rId37" Type="http://schemas.openxmlformats.org/officeDocument/2006/relationships/ctrlProp" Target="../ctrlProps/ctrlProp102.xml"/><Relationship Id="rId5" Type="http://schemas.openxmlformats.org/officeDocument/2006/relationships/ctrlProp" Target="../ctrlProps/ctrlProp70.xml"/><Relationship Id="rId15" Type="http://schemas.openxmlformats.org/officeDocument/2006/relationships/ctrlProp" Target="../ctrlProps/ctrlProp80.xml"/><Relationship Id="rId23" Type="http://schemas.openxmlformats.org/officeDocument/2006/relationships/ctrlProp" Target="../ctrlProps/ctrlProp88.xml"/><Relationship Id="rId28" Type="http://schemas.openxmlformats.org/officeDocument/2006/relationships/ctrlProp" Target="../ctrlProps/ctrlProp93.xml"/><Relationship Id="rId36" Type="http://schemas.openxmlformats.org/officeDocument/2006/relationships/ctrlProp" Target="../ctrlProps/ctrlProp101.xml"/><Relationship Id="rId10" Type="http://schemas.openxmlformats.org/officeDocument/2006/relationships/ctrlProp" Target="../ctrlProps/ctrlProp75.xml"/><Relationship Id="rId19" Type="http://schemas.openxmlformats.org/officeDocument/2006/relationships/ctrlProp" Target="../ctrlProps/ctrlProp84.xml"/><Relationship Id="rId31" Type="http://schemas.openxmlformats.org/officeDocument/2006/relationships/ctrlProp" Target="../ctrlProps/ctrlProp96.xml"/><Relationship Id="rId4" Type="http://schemas.openxmlformats.org/officeDocument/2006/relationships/ctrlProp" Target="../ctrlProps/ctrlProp69.xml"/><Relationship Id="rId9" Type="http://schemas.openxmlformats.org/officeDocument/2006/relationships/ctrlProp" Target="../ctrlProps/ctrlProp74.xml"/><Relationship Id="rId14" Type="http://schemas.openxmlformats.org/officeDocument/2006/relationships/ctrlProp" Target="../ctrlProps/ctrlProp79.xml"/><Relationship Id="rId22" Type="http://schemas.openxmlformats.org/officeDocument/2006/relationships/ctrlProp" Target="../ctrlProps/ctrlProp87.xml"/><Relationship Id="rId27" Type="http://schemas.openxmlformats.org/officeDocument/2006/relationships/ctrlProp" Target="../ctrlProps/ctrlProp92.xml"/><Relationship Id="rId30" Type="http://schemas.openxmlformats.org/officeDocument/2006/relationships/ctrlProp" Target="../ctrlProps/ctrlProp95.xml"/><Relationship Id="rId35" Type="http://schemas.openxmlformats.org/officeDocument/2006/relationships/ctrlProp" Target="../ctrlProps/ctrlProp100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9.xml"/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5.xml"/><Relationship Id="rId13" Type="http://schemas.openxmlformats.org/officeDocument/2006/relationships/ctrlProp" Target="../ctrlProps/ctrlProp150.xml"/><Relationship Id="rId18" Type="http://schemas.openxmlformats.org/officeDocument/2006/relationships/ctrlProp" Target="../ctrlProps/ctrlProp155.xml"/><Relationship Id="rId26" Type="http://schemas.openxmlformats.org/officeDocument/2006/relationships/ctrlProp" Target="../ctrlProps/ctrlProp163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58.xml"/><Relationship Id="rId34" Type="http://schemas.openxmlformats.org/officeDocument/2006/relationships/ctrlProp" Target="../ctrlProps/ctrlProp171.xml"/><Relationship Id="rId7" Type="http://schemas.openxmlformats.org/officeDocument/2006/relationships/ctrlProp" Target="../ctrlProps/ctrlProp144.xml"/><Relationship Id="rId12" Type="http://schemas.openxmlformats.org/officeDocument/2006/relationships/ctrlProp" Target="../ctrlProps/ctrlProp149.xml"/><Relationship Id="rId17" Type="http://schemas.openxmlformats.org/officeDocument/2006/relationships/ctrlProp" Target="../ctrlProps/ctrlProp154.xml"/><Relationship Id="rId25" Type="http://schemas.openxmlformats.org/officeDocument/2006/relationships/ctrlProp" Target="../ctrlProps/ctrlProp162.xml"/><Relationship Id="rId33" Type="http://schemas.openxmlformats.org/officeDocument/2006/relationships/ctrlProp" Target="../ctrlProps/ctrlProp170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53.xml"/><Relationship Id="rId20" Type="http://schemas.openxmlformats.org/officeDocument/2006/relationships/ctrlProp" Target="../ctrlProps/ctrlProp157.xml"/><Relationship Id="rId29" Type="http://schemas.openxmlformats.org/officeDocument/2006/relationships/ctrlProp" Target="../ctrlProps/ctrlProp166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43.xml"/><Relationship Id="rId11" Type="http://schemas.openxmlformats.org/officeDocument/2006/relationships/ctrlProp" Target="../ctrlProps/ctrlProp148.xml"/><Relationship Id="rId24" Type="http://schemas.openxmlformats.org/officeDocument/2006/relationships/ctrlProp" Target="../ctrlProps/ctrlProp161.xml"/><Relationship Id="rId32" Type="http://schemas.openxmlformats.org/officeDocument/2006/relationships/ctrlProp" Target="../ctrlProps/ctrlProp169.xml"/><Relationship Id="rId5" Type="http://schemas.openxmlformats.org/officeDocument/2006/relationships/ctrlProp" Target="../ctrlProps/ctrlProp142.xml"/><Relationship Id="rId15" Type="http://schemas.openxmlformats.org/officeDocument/2006/relationships/ctrlProp" Target="../ctrlProps/ctrlProp152.xml"/><Relationship Id="rId23" Type="http://schemas.openxmlformats.org/officeDocument/2006/relationships/ctrlProp" Target="../ctrlProps/ctrlProp160.xml"/><Relationship Id="rId28" Type="http://schemas.openxmlformats.org/officeDocument/2006/relationships/ctrlProp" Target="../ctrlProps/ctrlProp165.xml"/><Relationship Id="rId36" Type="http://schemas.openxmlformats.org/officeDocument/2006/relationships/ctrlProp" Target="../ctrlProps/ctrlProp173.xml"/><Relationship Id="rId10" Type="http://schemas.openxmlformats.org/officeDocument/2006/relationships/ctrlProp" Target="../ctrlProps/ctrlProp147.xml"/><Relationship Id="rId19" Type="http://schemas.openxmlformats.org/officeDocument/2006/relationships/ctrlProp" Target="../ctrlProps/ctrlProp156.xml"/><Relationship Id="rId31" Type="http://schemas.openxmlformats.org/officeDocument/2006/relationships/ctrlProp" Target="../ctrlProps/ctrlProp168.xml"/><Relationship Id="rId4" Type="http://schemas.openxmlformats.org/officeDocument/2006/relationships/ctrlProp" Target="../ctrlProps/ctrlProp141.xml"/><Relationship Id="rId9" Type="http://schemas.openxmlformats.org/officeDocument/2006/relationships/ctrlProp" Target="../ctrlProps/ctrlProp146.xml"/><Relationship Id="rId14" Type="http://schemas.openxmlformats.org/officeDocument/2006/relationships/ctrlProp" Target="../ctrlProps/ctrlProp151.xml"/><Relationship Id="rId22" Type="http://schemas.openxmlformats.org/officeDocument/2006/relationships/ctrlProp" Target="../ctrlProps/ctrlProp159.xml"/><Relationship Id="rId27" Type="http://schemas.openxmlformats.org/officeDocument/2006/relationships/ctrlProp" Target="../ctrlProps/ctrlProp164.xml"/><Relationship Id="rId30" Type="http://schemas.openxmlformats.org/officeDocument/2006/relationships/ctrlProp" Target="../ctrlProps/ctrlProp167.xml"/><Relationship Id="rId35" Type="http://schemas.openxmlformats.org/officeDocument/2006/relationships/ctrlProp" Target="../ctrlProps/ctrlProp17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43"/>
  <sheetViews>
    <sheetView showGridLines="0" tabSelected="1" zoomScale="98" zoomScaleNormal="98" workbookViewId="0">
      <selection activeCell="K12" sqref="K12"/>
    </sheetView>
  </sheetViews>
  <sheetFormatPr defaultRowHeight="15" x14ac:dyDescent="0.25"/>
  <cols>
    <col min="1" max="1" width="1.85546875" style="340" customWidth="1"/>
    <col min="2" max="2" width="3" style="340" customWidth="1"/>
    <col min="3" max="3" width="31.85546875" customWidth="1"/>
    <col min="4" max="4" width="10.42578125" bestFit="1" customWidth="1"/>
    <col min="5" max="5" width="7.85546875" bestFit="1" customWidth="1"/>
    <col min="6" max="6" width="11.5703125" customWidth="1"/>
    <col min="7" max="7" width="11.42578125" customWidth="1"/>
    <col min="8" max="8" width="12.140625" bestFit="1" customWidth="1"/>
    <col min="9" max="9" width="9.140625" bestFit="1" customWidth="1"/>
    <col min="10" max="10" width="12.42578125" customWidth="1"/>
    <col min="11" max="11" width="14.28515625" bestFit="1" customWidth="1"/>
    <col min="12" max="12" width="12.42578125" customWidth="1"/>
    <col min="13" max="13" width="9.140625" bestFit="1" customWidth="1"/>
    <col min="14" max="15" width="1.85546875" customWidth="1"/>
  </cols>
  <sheetData>
    <row r="1" spans="1:15" ht="15.75" thickBot="1" x14ac:dyDescent="0.3">
      <c r="C1" s="293" t="s">
        <v>256</v>
      </c>
    </row>
    <row r="2" spans="1:15" ht="15.75" hidden="1" thickBot="1" x14ac:dyDescent="0.3"/>
    <row r="3" spans="1:15" s="159" customFormat="1" ht="15" customHeight="1" x14ac:dyDescent="0.2">
      <c r="A3" s="341"/>
      <c r="B3" s="341"/>
      <c r="C3" s="497" t="s">
        <v>258</v>
      </c>
      <c r="D3" s="495" t="s">
        <v>13</v>
      </c>
      <c r="E3" s="495" t="s">
        <v>37</v>
      </c>
      <c r="F3" s="493" t="s">
        <v>206</v>
      </c>
      <c r="G3" s="493"/>
      <c r="H3" s="493"/>
      <c r="I3" s="493"/>
      <c r="J3" s="493" t="s">
        <v>207</v>
      </c>
      <c r="K3" s="493"/>
      <c r="L3" s="493"/>
      <c r="M3" s="494"/>
      <c r="N3" s="240"/>
    </row>
    <row r="4" spans="1:15" s="367" customFormat="1" ht="25.5" x14ac:dyDescent="0.2">
      <c r="A4" s="366"/>
      <c r="B4" s="366"/>
      <c r="C4" s="498"/>
      <c r="D4" s="496"/>
      <c r="E4" s="496"/>
      <c r="F4" s="477" t="s">
        <v>220</v>
      </c>
      <c r="G4" s="477" t="s">
        <v>221</v>
      </c>
      <c r="H4" s="478" t="s">
        <v>62</v>
      </c>
      <c r="I4" s="478" t="s">
        <v>209</v>
      </c>
      <c r="J4" s="477" t="s">
        <v>220</v>
      </c>
      <c r="K4" s="477" t="s">
        <v>221</v>
      </c>
      <c r="L4" s="478" t="s">
        <v>62</v>
      </c>
      <c r="M4" s="479" t="s">
        <v>209</v>
      </c>
      <c r="N4" s="342"/>
    </row>
    <row r="5" spans="1:15" s="159" customFormat="1" ht="12.75" x14ac:dyDescent="0.2">
      <c r="A5" s="341"/>
      <c r="B5" s="341"/>
      <c r="C5" s="344" t="s">
        <v>11</v>
      </c>
      <c r="D5" s="345">
        <f>'Residential CND'!$F$18</f>
        <v>750</v>
      </c>
      <c r="E5" s="345">
        <v>0</v>
      </c>
      <c r="F5" s="346">
        <f>'Residential CND'!$H$23+'Residential CND'!$H$25</f>
        <v>24.831489999999999</v>
      </c>
      <c r="G5" s="346">
        <f>'Residential CND'!$L$23+'Residential CND'!$L$25</f>
        <v>27.33</v>
      </c>
      <c r="H5" s="346">
        <f t="shared" ref="H5" si="0">G5-F5</f>
        <v>2.4985099999999996</v>
      </c>
      <c r="I5" s="483">
        <f t="shared" ref="I5" si="1">G5/F5-1</f>
        <v>0.10061860967666458</v>
      </c>
      <c r="J5" s="346">
        <f>'Residential CND'!$H$62</f>
        <v>96.016260058128751</v>
      </c>
      <c r="K5" s="346">
        <f>'Residential CND'!$L$62</f>
        <v>101.8200768660641</v>
      </c>
      <c r="L5" s="346">
        <f t="shared" ref="L5:L13" si="2">K5-J5</f>
        <v>5.8038168079353483</v>
      </c>
      <c r="M5" s="480">
        <f t="shared" ref="M5:M13" si="3">K5/J5-1</f>
        <v>6.0446186973140748E-2</v>
      </c>
      <c r="N5" s="343"/>
      <c r="O5" s="347"/>
    </row>
    <row r="6" spans="1:15" s="159" customFormat="1" ht="12.75" x14ac:dyDescent="0.2">
      <c r="A6" s="341"/>
      <c r="B6" s="341"/>
      <c r="C6" s="344" t="s">
        <v>11</v>
      </c>
      <c r="D6" s="345">
        <f>'Residential CND (10%)'!F18</f>
        <v>313</v>
      </c>
      <c r="E6" s="345">
        <v>0</v>
      </c>
      <c r="F6" s="346">
        <f>'Residential CND (10%)'!$H$23+'Residential CND (10%)'!$H$25</f>
        <v>22.803198199999997</v>
      </c>
      <c r="G6" s="346">
        <f>'Residential CND (10%)'!$L$23+'Residential CND (10%)'!$L$25</f>
        <v>27.33</v>
      </c>
      <c r="H6" s="346">
        <f t="shared" ref="H6" si="4">G6-F6</f>
        <v>4.5268018000000012</v>
      </c>
      <c r="I6" s="483">
        <f>G6/F6-1</f>
        <v>0.19851609236111467</v>
      </c>
      <c r="J6" s="346">
        <f>'Residential CND (10%)'!$H$62</f>
        <v>52.988762237592397</v>
      </c>
      <c r="K6" s="346">
        <f>'Residential CND (10%)'!$L$62</f>
        <v>59.23427845700607</v>
      </c>
      <c r="L6" s="346">
        <f>K6-J6</f>
        <v>6.2455162194136733</v>
      </c>
      <c r="M6" s="480">
        <f>K6/J6-1</f>
        <v>0.11786491995057102</v>
      </c>
      <c r="N6" s="343"/>
      <c r="O6" s="347"/>
    </row>
    <row r="7" spans="1:15" s="159" customFormat="1" x14ac:dyDescent="0.25">
      <c r="A7" s="492"/>
      <c r="B7" s="492"/>
      <c r="C7" s="344" t="s">
        <v>219</v>
      </c>
      <c r="D7" s="345">
        <f>'GS&lt;50 CND'!$F$18</f>
        <v>2000</v>
      </c>
      <c r="E7" s="345">
        <v>0</v>
      </c>
      <c r="F7" s="346">
        <f>'GS&lt;50 CND'!$H$23+'GS&lt;50 CND'!$H$25</f>
        <v>43.205379999999998</v>
      </c>
      <c r="G7" s="346">
        <f>'GS&lt;50 CND'!$L$23+'GS&lt;50 CND'!$L$25</f>
        <v>47.58</v>
      </c>
      <c r="H7" s="346">
        <f t="shared" ref="H7:H13" si="5">G7-F7</f>
        <v>4.3746200000000002</v>
      </c>
      <c r="I7" s="483">
        <f t="shared" ref="I7:I14" si="6">G7/F7-1</f>
        <v>0.10125174225987599</v>
      </c>
      <c r="J7" s="346">
        <f>'GS&lt;50 CND'!$H$63</f>
        <v>243.69571716080281</v>
      </c>
      <c r="K7" s="346">
        <f>'GS&lt;50 CND'!$L$63</f>
        <v>255.75069467077617</v>
      </c>
      <c r="L7" s="346">
        <f t="shared" si="2"/>
        <v>12.054977509973355</v>
      </c>
      <c r="M7" s="480">
        <f t="shared" si="3"/>
        <v>4.9467334306982691E-2</v>
      </c>
      <c r="N7" s="343"/>
      <c r="O7" s="347"/>
    </row>
    <row r="8" spans="1:15" s="159" customFormat="1" x14ac:dyDescent="0.25">
      <c r="A8" s="492"/>
      <c r="B8" s="492"/>
      <c r="C8" s="344" t="s">
        <v>213</v>
      </c>
      <c r="D8" s="345">
        <f>'GS 50-999 kW CND'!$F$19</f>
        <v>20000</v>
      </c>
      <c r="E8" s="345">
        <f>'GS 50-999 kW CND'!$F$17</f>
        <v>60</v>
      </c>
      <c r="F8" s="346">
        <f>'GS 50-999 kW CND'!$H$23+'GS 50-999 kW CND'!$H$25</f>
        <v>368.0488939999999</v>
      </c>
      <c r="G8" s="346">
        <f>'GS 50-999 kW CND'!$L$23+'GS 50-999 kW CND'!$L$25</f>
        <v>357.29399999999998</v>
      </c>
      <c r="H8" s="346">
        <f t="shared" si="5"/>
        <v>-10.754893999999922</v>
      </c>
      <c r="I8" s="483">
        <f t="shared" si="6"/>
        <v>-2.9221372962473624E-2</v>
      </c>
      <c r="J8" s="346">
        <f>'GS 50-999 kW CND'!$H$64</f>
        <v>3415.3097207964065</v>
      </c>
      <c r="K8" s="346">
        <f>'GS 50-999 kW CND'!$L$64</f>
        <v>3439.9593509950118</v>
      </c>
      <c r="L8" s="346">
        <f t="shared" si="2"/>
        <v>24.649630198605337</v>
      </c>
      <c r="M8" s="480">
        <f t="shared" si="3"/>
        <v>7.2173923344374113E-3</v>
      </c>
      <c r="N8" s="343"/>
      <c r="O8" s="347"/>
    </row>
    <row r="9" spans="1:15" s="159" customFormat="1" x14ac:dyDescent="0.25">
      <c r="A9" s="492"/>
      <c r="B9" s="492"/>
      <c r="C9" s="344" t="s">
        <v>214</v>
      </c>
      <c r="D9" s="345">
        <f>'GS 1000-4999 CND'!$F$19</f>
        <v>800000</v>
      </c>
      <c r="E9" s="345">
        <f>'GS 1000-4999 CND'!$F$17</f>
        <v>2000</v>
      </c>
      <c r="F9" s="346">
        <f>'GS 1000-4999 CND'!$H$23+'GS 1000-4999 CND'!$H$25</f>
        <v>8341.8267799999994</v>
      </c>
      <c r="G9" s="346">
        <f>'GS 1000-4999 CND'!$L$23+'GS 1000-4999 CND'!$L$25</f>
        <v>8594.880000000001</v>
      </c>
      <c r="H9" s="346">
        <f t="shared" si="5"/>
        <v>253.0532200000016</v>
      </c>
      <c r="I9" s="483">
        <f t="shared" si="6"/>
        <v>3.0335468078372285E-2</v>
      </c>
      <c r="J9" s="346">
        <f>'GS 1000-4999 CND'!$H$62</f>
        <v>124738.16211491944</v>
      </c>
      <c r="K9" s="346">
        <f>'GS 1000-4999 CND'!$L$62</f>
        <v>124895.09799286278</v>
      </c>
      <c r="L9" s="346">
        <f t="shared" si="2"/>
        <v>156.93587794333871</v>
      </c>
      <c r="M9" s="480">
        <f t="shared" si="3"/>
        <v>1.2581224164482929E-3</v>
      </c>
      <c r="N9" s="343"/>
      <c r="O9" s="347"/>
    </row>
    <row r="10" spans="1:15" s="159" customFormat="1" x14ac:dyDescent="0.25">
      <c r="A10" s="492"/>
      <c r="B10" s="492"/>
      <c r="C10" s="344" t="s">
        <v>215</v>
      </c>
      <c r="D10" s="345">
        <f>'LARGE CND'!$F$19</f>
        <v>6600000</v>
      </c>
      <c r="E10" s="345">
        <f>'LARGE CND'!$F$17</f>
        <v>16000</v>
      </c>
      <c r="F10" s="346">
        <f>'LARGE CND'!$H$23+'LARGE CND'!$H$25</f>
        <v>48858.2016</v>
      </c>
      <c r="G10" s="346">
        <f>'LARGE CND'!$L$23+'LARGE CND'!$L$25</f>
        <v>45599.25</v>
      </c>
      <c r="H10" s="346">
        <f t="shared" si="5"/>
        <v>-3258.9516000000003</v>
      </c>
      <c r="I10" s="483">
        <f t="shared" si="6"/>
        <v>-6.6702242270006096E-2</v>
      </c>
      <c r="J10" s="346">
        <f>'LARGE CND'!$H$62</f>
        <v>959490.64811231836</v>
      </c>
      <c r="K10" s="346">
        <f>'LARGE CND'!$L$62</f>
        <v>1000023.7070167685</v>
      </c>
      <c r="L10" s="346">
        <f t="shared" si="2"/>
        <v>40533.058904450154</v>
      </c>
      <c r="M10" s="480">
        <f t="shared" si="3"/>
        <v>4.2244350149940546E-2</v>
      </c>
      <c r="N10" s="343"/>
      <c r="O10" s="347"/>
    </row>
    <row r="11" spans="1:15" s="159" customFormat="1" x14ac:dyDescent="0.25">
      <c r="A11" s="492"/>
      <c r="B11" s="492"/>
      <c r="C11" s="344" t="s">
        <v>216</v>
      </c>
      <c r="D11" s="345">
        <f>'USL CND'!$F$18</f>
        <v>100</v>
      </c>
      <c r="E11" s="345"/>
      <c r="F11" s="346">
        <f>'USL CND'!$H$23+'USL CND'!$H$25</f>
        <v>7.15381</v>
      </c>
      <c r="G11" s="346">
        <f>'USL CND'!$L$23+'USL CND'!$L$25</f>
        <v>7.2204999999999995</v>
      </c>
      <c r="H11" s="346">
        <f t="shared" si="5"/>
        <v>6.6689999999999472E-2</v>
      </c>
      <c r="I11" s="483">
        <f t="shared" si="6"/>
        <v>9.3223051772410859E-3</v>
      </c>
      <c r="J11" s="346">
        <f>'USL CND'!H63</f>
        <v>17.389039916377936</v>
      </c>
      <c r="K11" s="346">
        <f>'USL CND'!L63</f>
        <v>17.759132775663204</v>
      </c>
      <c r="L11" s="346">
        <f t="shared" si="2"/>
        <v>0.37009285928526836</v>
      </c>
      <c r="M11" s="480">
        <f t="shared" si="3"/>
        <v>2.128311057223442E-2</v>
      </c>
      <c r="N11" s="343"/>
      <c r="O11" s="347"/>
    </row>
    <row r="12" spans="1:15" s="159" customFormat="1" x14ac:dyDescent="0.25">
      <c r="A12" s="492"/>
      <c r="B12" s="492"/>
      <c r="C12" s="344" t="s">
        <v>42</v>
      </c>
      <c r="D12" s="345">
        <f>'STREET LIGHTING CND'!$F$19</f>
        <v>400000</v>
      </c>
      <c r="E12" s="345">
        <f>'STREET LIGHTING CND'!$F$17</f>
        <v>700</v>
      </c>
      <c r="F12" s="346">
        <f>'STREET LIGHTING CND'!$H$23+'STREET LIGHTING CND'!$H$25</f>
        <v>44773.083479999994</v>
      </c>
      <c r="G12" s="346">
        <f>'STREET LIGHTING CND'!$L$23+'STREET LIGHTING CND'!$L$25</f>
        <v>30830.14</v>
      </c>
      <c r="H12" s="346">
        <f t="shared" si="5"/>
        <v>-13942.943479999994</v>
      </c>
      <c r="I12" s="483">
        <f t="shared" si="6"/>
        <v>-0.31141351893327307</v>
      </c>
      <c r="J12" s="346">
        <f>'STREET LIGHTING CND'!$H$62</f>
        <v>101505.49877251677</v>
      </c>
      <c r="K12" s="346">
        <f>'STREET LIGHTING CND'!$L$62</f>
        <v>91660.437371478154</v>
      </c>
      <c r="L12" s="346">
        <f t="shared" si="2"/>
        <v>-9845.0614010386198</v>
      </c>
      <c r="M12" s="480">
        <f t="shared" si="3"/>
        <v>-9.6990424362155103E-2</v>
      </c>
      <c r="N12" s="343"/>
      <c r="O12" s="347"/>
    </row>
    <row r="13" spans="1:15" s="159" customFormat="1" x14ac:dyDescent="0.25">
      <c r="A13" s="492"/>
      <c r="B13" s="492"/>
      <c r="C13" s="344" t="s">
        <v>217</v>
      </c>
      <c r="D13" s="345">
        <f>'EMB CND WNH'!$F$19</f>
        <v>0</v>
      </c>
      <c r="E13" s="345">
        <f>'EMB CND WNH'!$F$17</f>
        <v>8280</v>
      </c>
      <c r="F13" s="346">
        <f>'EMB CND WNH'!$H$25</f>
        <v>15870.246191999999</v>
      </c>
      <c r="G13" s="346">
        <f>'EMB CND WNH'!$L$25</f>
        <v>11774.16</v>
      </c>
      <c r="H13" s="346">
        <f t="shared" si="5"/>
        <v>-4096.0861919999988</v>
      </c>
      <c r="I13" s="483">
        <f t="shared" si="6"/>
        <v>-0.25809846567249772</v>
      </c>
      <c r="J13" s="346">
        <f>'EMB CND WNH'!$H$62</f>
        <v>47845.400754315131</v>
      </c>
      <c r="K13" s="346">
        <f>'EMB CND WNH'!$L$62</f>
        <v>37975.336201266458</v>
      </c>
      <c r="L13" s="346">
        <f t="shared" si="2"/>
        <v>-9870.0645530486727</v>
      </c>
      <c r="M13" s="480">
        <f t="shared" si="3"/>
        <v>-0.20629076980107641</v>
      </c>
      <c r="N13" s="343"/>
      <c r="O13" s="347"/>
    </row>
    <row r="14" spans="1:15" s="159" customFormat="1" ht="15.75" thickBot="1" x14ac:dyDescent="0.3">
      <c r="A14" s="492"/>
      <c r="B14" s="492"/>
      <c r="C14" s="353" t="s">
        <v>218</v>
      </c>
      <c r="D14" s="355">
        <f>'EMB CND HON'!$F$19</f>
        <v>1382000</v>
      </c>
      <c r="E14" s="355">
        <f>'EMB CND HON'!$F$17</f>
        <v>2574</v>
      </c>
      <c r="F14" s="356">
        <f>'EMB CND HON'!$H$23+'EMB CND HON'!$H$25</f>
        <v>5296.1409071999997</v>
      </c>
      <c r="G14" s="356">
        <f>'EMB CND HON'!$L$23+'EMB CND HON'!$L$25</f>
        <v>4927.4081999999999</v>
      </c>
      <c r="H14" s="356">
        <f t="shared" ref="H14" si="7">G14-F14</f>
        <v>-368.73270719999982</v>
      </c>
      <c r="I14" s="484">
        <f t="shared" si="6"/>
        <v>-6.9622903480289766E-2</v>
      </c>
      <c r="J14" s="356">
        <f>'EMB CND HON'!$H$62</f>
        <v>207486.90696218782</v>
      </c>
      <c r="K14" s="356">
        <f>'EMB CND HON'!$L$62</f>
        <v>200630.91206638899</v>
      </c>
      <c r="L14" s="356">
        <f t="shared" ref="L14" si="8">K14-J14</f>
        <v>-6855.9948957988236</v>
      </c>
      <c r="M14" s="481">
        <f t="shared" ref="M14" si="9">K14/J14-1</f>
        <v>-3.304302423790173E-2</v>
      </c>
      <c r="N14" s="343"/>
      <c r="O14" s="347"/>
    </row>
    <row r="15" spans="1:15" hidden="1" x14ac:dyDescent="0.25"/>
    <row r="16" spans="1:15" ht="15.75" hidden="1" thickBot="1" x14ac:dyDescent="0.3">
      <c r="C16" s="499" t="s">
        <v>210</v>
      </c>
      <c r="D16" s="499"/>
      <c r="E16" s="499"/>
      <c r="F16" s="499"/>
      <c r="G16" s="499"/>
      <c r="H16" s="365"/>
      <c r="I16" s="365"/>
    </row>
    <row r="17" spans="1:15" hidden="1" x14ac:dyDescent="0.25">
      <c r="C17" s="357" t="s">
        <v>211</v>
      </c>
      <c r="D17" s="358" t="s">
        <v>13</v>
      </c>
      <c r="E17" s="358" t="s">
        <v>37</v>
      </c>
      <c r="F17" s="358" t="s">
        <v>212</v>
      </c>
      <c r="G17" s="359" t="s">
        <v>208</v>
      </c>
    </row>
    <row r="18" spans="1:15" ht="14.45" hidden="1" customHeight="1" x14ac:dyDescent="0.25">
      <c r="C18" s="344" t="s">
        <v>11</v>
      </c>
      <c r="D18" s="349">
        <f>D5</f>
        <v>750</v>
      </c>
      <c r="E18" s="349">
        <f>E5</f>
        <v>0</v>
      </c>
      <c r="F18" s="350">
        <f>F5/(J5*1.13)</f>
        <v>0.22886508908179493</v>
      </c>
      <c r="G18" s="360">
        <f>G5/(K5*1.13)</f>
        <v>0.23753508593181555</v>
      </c>
      <c r="I18" s="94"/>
    </row>
    <row r="19" spans="1:15" ht="14.45" hidden="1" customHeight="1" x14ac:dyDescent="0.25">
      <c r="C19" s="344" t="s">
        <v>219</v>
      </c>
      <c r="D19" s="351">
        <f>D7</f>
        <v>2000</v>
      </c>
      <c r="E19" s="351">
        <v>0</v>
      </c>
      <c r="F19" s="352">
        <f t="shared" ref="F19:F26" si="10">F7/(J7*1.13)</f>
        <v>0.15689586178608475</v>
      </c>
      <c r="G19" s="361">
        <f t="shared" ref="G19:G26" si="11">G7/(K7*1.13)</f>
        <v>0.16463765521524049</v>
      </c>
      <c r="I19" s="94"/>
      <c r="O19" s="486"/>
    </row>
    <row r="20" spans="1:15" ht="14.45" hidden="1" customHeight="1" x14ac:dyDescent="0.25">
      <c r="C20" s="344" t="s">
        <v>213</v>
      </c>
      <c r="D20" s="351">
        <f>D8</f>
        <v>20000</v>
      </c>
      <c r="E20" s="351">
        <v>60</v>
      </c>
      <c r="F20" s="352">
        <f t="shared" si="10"/>
        <v>9.5366749275306487E-2</v>
      </c>
      <c r="G20" s="361">
        <f t="shared" si="11"/>
        <v>9.1916603735307315E-2</v>
      </c>
      <c r="I20" s="94"/>
      <c r="O20" s="486"/>
    </row>
    <row r="21" spans="1:15" ht="14.45" hidden="1" customHeight="1" x14ac:dyDescent="0.25">
      <c r="C21" s="344" t="s">
        <v>214</v>
      </c>
      <c r="D21" s="351">
        <f>D9</f>
        <v>800000</v>
      </c>
      <c r="E21" s="351">
        <v>2000</v>
      </c>
      <c r="F21" s="352">
        <f t="shared" si="10"/>
        <v>5.918114767571523E-2</v>
      </c>
      <c r="G21" s="361">
        <f t="shared" si="11"/>
        <v>6.0899816068120449E-2</v>
      </c>
      <c r="I21" s="94"/>
      <c r="O21" s="486"/>
    </row>
    <row r="22" spans="1:15" ht="14.45" hidden="1" customHeight="1" x14ac:dyDescent="0.25">
      <c r="C22" s="344" t="s">
        <v>215</v>
      </c>
      <c r="D22" s="351">
        <f>D10</f>
        <v>6600000</v>
      </c>
      <c r="E22" s="351">
        <v>16000</v>
      </c>
      <c r="F22" s="352">
        <f t="shared" si="10"/>
        <v>4.5062811850992826E-2</v>
      </c>
      <c r="G22" s="361">
        <f t="shared" si="11"/>
        <v>4.03523619499494E-2</v>
      </c>
      <c r="I22" s="94"/>
      <c r="O22" s="486"/>
    </row>
    <row r="23" spans="1:15" ht="14.45" hidden="1" customHeight="1" x14ac:dyDescent="0.25">
      <c r="C23" s="344" t="s">
        <v>216</v>
      </c>
      <c r="D23" s="349">
        <f>D11</f>
        <v>100</v>
      </c>
      <c r="E23" s="349">
        <v>0</v>
      </c>
      <c r="F23" s="350">
        <f t="shared" si="10"/>
        <v>0.36406870880616127</v>
      </c>
      <c r="G23" s="360">
        <f t="shared" si="11"/>
        <v>0.35980490092433204</v>
      </c>
      <c r="I23" s="94"/>
      <c r="O23" s="486"/>
    </row>
    <row r="24" spans="1:15" ht="14.45" hidden="1" customHeight="1" x14ac:dyDescent="0.25">
      <c r="C24" s="344" t="s">
        <v>42</v>
      </c>
      <c r="D24" s="349">
        <f>D13</f>
        <v>0</v>
      </c>
      <c r="E24" s="349">
        <v>4200</v>
      </c>
      <c r="F24" s="350">
        <f t="shared" si="10"/>
        <v>0.39034533349477468</v>
      </c>
      <c r="G24" s="360">
        <f t="shared" si="11"/>
        <v>0.29765633371288042</v>
      </c>
      <c r="I24" s="94"/>
      <c r="O24" s="486"/>
    </row>
    <row r="25" spans="1:15" ht="14.45" hidden="1" customHeight="1" x14ac:dyDescent="0.25">
      <c r="C25" s="344" t="s">
        <v>217</v>
      </c>
      <c r="D25" s="349">
        <f>D12</f>
        <v>400000</v>
      </c>
      <c r="E25" s="349">
        <v>97</v>
      </c>
      <c r="F25" s="350">
        <f t="shared" si="10"/>
        <v>0.29353846838393366</v>
      </c>
      <c r="G25" s="360">
        <f t="shared" si="11"/>
        <v>0.27437836400567633</v>
      </c>
      <c r="I25" s="94"/>
      <c r="O25" s="486"/>
    </row>
    <row r="26" spans="1:15" ht="15" hidden="1" customHeight="1" thickBot="1" x14ac:dyDescent="0.3">
      <c r="C26" s="353" t="s">
        <v>218</v>
      </c>
      <c r="D26" s="362">
        <f>D13</f>
        <v>0</v>
      </c>
      <c r="E26" s="362">
        <v>97</v>
      </c>
      <c r="F26" s="363">
        <f t="shared" si="10"/>
        <v>2.2588655973401296E-2</v>
      </c>
      <c r="G26" s="364">
        <f t="shared" si="11"/>
        <v>2.1734129527585407E-2</v>
      </c>
      <c r="I26" s="94"/>
      <c r="O26" s="486"/>
    </row>
    <row r="27" spans="1:15" x14ac:dyDescent="0.25">
      <c r="O27" s="486"/>
    </row>
    <row r="28" spans="1:15" ht="15.75" thickBot="1" x14ac:dyDescent="0.3">
      <c r="C28" s="293" t="s">
        <v>257</v>
      </c>
      <c r="O28" s="475"/>
    </row>
    <row r="29" spans="1:15" ht="15.75" hidden="1" thickBot="1" x14ac:dyDescent="0.3">
      <c r="N29" s="69"/>
    </row>
    <row r="30" spans="1:15" s="159" customFormat="1" ht="15" customHeight="1" x14ac:dyDescent="0.2">
      <c r="A30" s="341"/>
      <c r="B30" s="341"/>
      <c r="C30" s="497" t="s">
        <v>259</v>
      </c>
      <c r="D30" s="495" t="s">
        <v>13</v>
      </c>
      <c r="E30" s="495" t="s">
        <v>37</v>
      </c>
      <c r="F30" s="493" t="s">
        <v>206</v>
      </c>
      <c r="G30" s="493"/>
      <c r="H30" s="493"/>
      <c r="I30" s="493"/>
      <c r="J30" s="493" t="s">
        <v>207</v>
      </c>
      <c r="K30" s="493"/>
      <c r="L30" s="493"/>
      <c r="M30" s="494"/>
      <c r="N30" s="240"/>
    </row>
    <row r="31" spans="1:15" s="159" customFormat="1" ht="25.5" x14ac:dyDescent="0.2">
      <c r="A31" s="341"/>
      <c r="B31" s="341"/>
      <c r="C31" s="498"/>
      <c r="D31" s="496"/>
      <c r="E31" s="496"/>
      <c r="F31" s="477" t="s">
        <v>220</v>
      </c>
      <c r="G31" s="477" t="s">
        <v>221</v>
      </c>
      <c r="H31" s="478" t="s">
        <v>62</v>
      </c>
      <c r="I31" s="478" t="s">
        <v>209</v>
      </c>
      <c r="J31" s="477" t="s">
        <v>220</v>
      </c>
      <c r="K31" s="477" t="s">
        <v>221</v>
      </c>
      <c r="L31" s="478" t="s">
        <v>62</v>
      </c>
      <c r="M31" s="479" t="s">
        <v>209</v>
      </c>
      <c r="N31" s="342"/>
    </row>
    <row r="32" spans="1:15" s="159" customFormat="1" ht="12.75" x14ac:dyDescent="0.2">
      <c r="A32" s="341"/>
      <c r="B32" s="341"/>
      <c r="C32" s="344" t="s">
        <v>11</v>
      </c>
      <c r="D32" s="349">
        <f>'Residential BRT'!$F$18</f>
        <v>750</v>
      </c>
      <c r="E32" s="345">
        <v>0</v>
      </c>
      <c r="F32" s="354">
        <f>'Residential BRT'!$H$23+'Residential BRT'!$H$25</f>
        <v>28.275000000000002</v>
      </c>
      <c r="G32" s="354">
        <f>'Residential BRT'!$L$23+'Residential BRT'!$L$25</f>
        <v>27.33</v>
      </c>
      <c r="H32" s="354">
        <f>G32-F32</f>
        <v>-0.94500000000000384</v>
      </c>
      <c r="I32" s="485">
        <f>G32/F32-1</f>
        <v>-3.3421750663130134E-2</v>
      </c>
      <c r="J32" s="354">
        <f>'Residential BRT'!$H$62</f>
        <v>102.92851479030497</v>
      </c>
      <c r="K32" s="354">
        <f>'Residential BRT'!$L$62</f>
        <v>101.8200768660641</v>
      </c>
      <c r="L32" s="354">
        <f t="shared" ref="L32:L43" si="12">K32-J32</f>
        <v>-1.1084379242408744</v>
      </c>
      <c r="M32" s="482">
        <f t="shared" ref="M32:M43" si="13">K32/J32-1</f>
        <v>-1.076900727168828E-2</v>
      </c>
      <c r="N32" s="343"/>
    </row>
    <row r="33" spans="1:15" s="159" customFormat="1" ht="12.75" x14ac:dyDescent="0.2">
      <c r="A33" s="341"/>
      <c r="B33" s="341"/>
      <c r="C33" s="344" t="s">
        <v>11</v>
      </c>
      <c r="D33" s="345">
        <f>'Residential BRT (10%)'!F18</f>
        <v>357</v>
      </c>
      <c r="E33" s="345">
        <v>0</v>
      </c>
      <c r="F33" s="346">
        <f>'Residential BRT (10%)'!$H$23+'Residential BRT (10%)'!$H$25</f>
        <v>26.1921</v>
      </c>
      <c r="G33" s="346">
        <f>'Residential BRT (10%)'!$L$23+'Residential BRT (10%)'!$L$25</f>
        <v>27.33</v>
      </c>
      <c r="H33" s="346">
        <f t="shared" ref="H33" si="14">G33-F33</f>
        <v>1.1378999999999984</v>
      </c>
      <c r="I33" s="483">
        <f>G33/F33-1</f>
        <v>4.3444397356454667E-2</v>
      </c>
      <c r="J33" s="346">
        <f>'Residential BRT (10%)'!$H$62</f>
        <v>63.07385304018517</v>
      </c>
      <c r="K33" s="346">
        <f>'Residential BRT (10%)'!$L$62</f>
        <v>63.522093399794521</v>
      </c>
      <c r="L33" s="346">
        <f>K33-J33</f>
        <v>0.44824035960935049</v>
      </c>
      <c r="M33" s="480">
        <f>K33/J33-1</f>
        <v>7.1065954909044216E-3</v>
      </c>
      <c r="N33" s="343"/>
    </row>
    <row r="34" spans="1:15" s="159" customFormat="1" ht="12.75" x14ac:dyDescent="0.2">
      <c r="A34" s="341"/>
      <c r="B34" s="341"/>
      <c r="C34" s="344" t="s">
        <v>219</v>
      </c>
      <c r="D34" s="349">
        <f>'GS&lt;50 BRT'!$F$18</f>
        <v>2000</v>
      </c>
      <c r="E34" s="345">
        <v>0</v>
      </c>
      <c r="F34" s="354">
        <f>'GS&lt;50 BRT'!$H$23+'GS&lt;50 BRT'!$H$25</f>
        <v>53.36</v>
      </c>
      <c r="G34" s="354">
        <f>'GS&lt;50 BRT'!$L$23+'GS&lt;50 BRT'!$L$25</f>
        <v>47.58</v>
      </c>
      <c r="H34" s="346">
        <f t="shared" ref="H34:H41" si="15">G34-F34</f>
        <v>-5.7800000000000011</v>
      </c>
      <c r="I34" s="483">
        <f t="shared" ref="I34:I41" si="16">G34/F34-1</f>
        <v>-0.10832083958020988</v>
      </c>
      <c r="J34" s="354">
        <f>'GS&lt;50 BRT'!$H$63</f>
        <v>262.81265906250508</v>
      </c>
      <c r="K34" s="354">
        <f>'GS&lt;50 BRT'!$L$63</f>
        <v>255.75069467077617</v>
      </c>
      <c r="L34" s="346">
        <f t="shared" si="12"/>
        <v>-7.0619643917289068</v>
      </c>
      <c r="M34" s="480">
        <f t="shared" si="13"/>
        <v>-2.6870716261994665E-2</v>
      </c>
      <c r="N34" s="343"/>
    </row>
    <row r="35" spans="1:15" s="159" customFormat="1" ht="12.75" x14ac:dyDescent="0.2">
      <c r="A35" s="341"/>
      <c r="B35" s="341"/>
      <c r="C35" s="344" t="s">
        <v>232</v>
      </c>
      <c r="D35" s="349">
        <f>'GS 50-999 kW BRT&lt;1000'!$F$19</f>
        <v>20000</v>
      </c>
      <c r="E35" s="349">
        <f>'GS 50-999 kW BRT&lt;1000'!$F$17</f>
        <v>60</v>
      </c>
      <c r="F35" s="354">
        <f>'GS 50-999 kW BRT&lt;1000'!$H$23+'GS 50-999 kW BRT&lt;1000'!$H$25</f>
        <v>332.762</v>
      </c>
      <c r="G35" s="354">
        <f>'GS 50-999 kW BRT&lt;1000'!$L$23+'GS 50-999 kW BRT&lt;1000'!$L$25</f>
        <v>357.29399999999998</v>
      </c>
      <c r="H35" s="346">
        <f>G35-F35</f>
        <v>24.531999999999982</v>
      </c>
      <c r="I35" s="483">
        <f>G35/F35-1</f>
        <v>7.3722360125254571E-2</v>
      </c>
      <c r="J35" s="354">
        <f>'GS 50-999 kW BRT&lt;1000'!$H$64</f>
        <v>3512.0444738233537</v>
      </c>
      <c r="K35" s="354">
        <f>'GS 50-999 kW BRT&lt;1000'!$L$64</f>
        <v>3441.8778448471976</v>
      </c>
      <c r="L35" s="346">
        <f>K35-J35</f>
        <v>-70.166628976156062</v>
      </c>
      <c r="M35" s="480">
        <f>K35/J35-1</f>
        <v>-1.9978855478378854E-2</v>
      </c>
      <c r="N35" s="343"/>
    </row>
    <row r="36" spans="1:15" s="159" customFormat="1" ht="12.75" x14ac:dyDescent="0.2">
      <c r="A36" s="341"/>
      <c r="B36" s="341"/>
      <c r="C36" s="344" t="s">
        <v>213</v>
      </c>
      <c r="D36" s="349">
        <f>'GS 50-999 kW BRT'!$F$19</f>
        <v>20000</v>
      </c>
      <c r="E36" s="349">
        <f>'GS 50-999 kW BRT'!$F$17</f>
        <v>60</v>
      </c>
      <c r="F36" s="354">
        <f>'GS 50-999 kW BRT'!$H$23+'GS 50-999 kW BRT'!$H$25</f>
        <v>332.762</v>
      </c>
      <c r="G36" s="354">
        <f>'GS 50-999 kW BRT'!$L$23+'GS 50-999 kW BRT'!$L$25</f>
        <v>357.29399999999998</v>
      </c>
      <c r="H36" s="346">
        <f t="shared" ref="H36" si="17">G36-F36</f>
        <v>24.531999999999982</v>
      </c>
      <c r="I36" s="483">
        <f t="shared" ref="I36" si="18">G36/F36-1</f>
        <v>7.3722360125254571E-2</v>
      </c>
      <c r="J36" s="354">
        <f>'GS 50-999 kW BRT'!$H$64</f>
        <v>3496.4804738233533</v>
      </c>
      <c r="K36" s="354">
        <f>'GS 50-999 kW BRT'!$L$64</f>
        <v>3439.9593509950118</v>
      </c>
      <c r="L36" s="346">
        <f t="shared" ref="L36" si="19">K36-J36</f>
        <v>-56.521122828341504</v>
      </c>
      <c r="M36" s="480">
        <f t="shared" ref="M36" si="20">K36/J36-1</f>
        <v>-1.6165147568101945E-2</v>
      </c>
      <c r="N36" s="343"/>
    </row>
    <row r="37" spans="1:15" s="159" customFormat="1" ht="12.75" x14ac:dyDescent="0.2">
      <c r="A37" s="341"/>
      <c r="B37" s="341"/>
      <c r="C37" s="344" t="s">
        <v>214</v>
      </c>
      <c r="D37" s="349">
        <f>'GS 1000-4999 BRT'!$F$19</f>
        <v>800000</v>
      </c>
      <c r="E37" s="349">
        <f>'GS 1000-4999 BRT'!$F$17</f>
        <v>2000</v>
      </c>
      <c r="F37" s="354">
        <f>'GS 1000-4999 BRT'!$H$23+'GS 1000-4999 BRT'!$H$25</f>
        <v>7956.3799999999992</v>
      </c>
      <c r="G37" s="346">
        <f>'GS 1000-4999 BRT'!$L$23+'GS 1000-4999 BRT'!$L$25</f>
        <v>8594.880000000001</v>
      </c>
      <c r="H37" s="346">
        <f t="shared" si="15"/>
        <v>638.50000000000182</v>
      </c>
      <c r="I37" s="483">
        <f t="shared" si="16"/>
        <v>8.0250063471076327E-2</v>
      </c>
      <c r="J37" s="354">
        <f>'GS 1000-4999 BRT'!$H$62</f>
        <v>134337.27673855622</v>
      </c>
      <c r="K37" s="354">
        <f>'GS 1000-4999 BRT'!$L$62</f>
        <v>124895.09799286278</v>
      </c>
      <c r="L37" s="346">
        <f t="shared" si="12"/>
        <v>-9442.1787456934399</v>
      </c>
      <c r="M37" s="480">
        <f t="shared" si="13"/>
        <v>-7.0287108499821449E-2</v>
      </c>
      <c r="N37" s="343"/>
    </row>
    <row r="38" spans="1:15" s="159" customFormat="1" ht="12.75" x14ac:dyDescent="0.2">
      <c r="A38" s="341"/>
      <c r="B38" s="341"/>
      <c r="C38" s="344" t="s">
        <v>216</v>
      </c>
      <c r="D38" s="349">
        <f>'USL BRT'!$F$18</f>
        <v>100</v>
      </c>
      <c r="E38" s="345">
        <v>0</v>
      </c>
      <c r="F38" s="346">
        <f>'USL BRT'!$H$23+'USL BRT'!$H$25</f>
        <v>4.37</v>
      </c>
      <c r="G38" s="346">
        <f>'USL BRT'!$L$23+'USL BRT'!$L$25</f>
        <v>7.2204999999999995</v>
      </c>
      <c r="H38" s="346">
        <f t="shared" si="15"/>
        <v>2.8504999999999994</v>
      </c>
      <c r="I38" s="483">
        <f t="shared" si="16"/>
        <v>0.65228832951945059</v>
      </c>
      <c r="J38" s="346">
        <f>'USL BRT'!$H$63</f>
        <v>14.839493880643325</v>
      </c>
      <c r="K38" s="346">
        <f>'USL BRT'!$L$63</f>
        <v>17.760053315161528</v>
      </c>
      <c r="L38" s="346">
        <f t="shared" si="12"/>
        <v>2.9205594345182035</v>
      </c>
      <c r="M38" s="480">
        <f t="shared" si="13"/>
        <v>0.19680990861337855</v>
      </c>
      <c r="N38" s="343"/>
    </row>
    <row r="39" spans="1:15" s="159" customFormat="1" ht="12.75" x14ac:dyDescent="0.2">
      <c r="A39" s="341"/>
      <c r="B39" s="341"/>
      <c r="C39" s="344" t="s">
        <v>225</v>
      </c>
      <c r="D39" s="349">
        <f>'SENTINEL BRT'!$F$19</f>
        <v>10000</v>
      </c>
      <c r="E39" s="345">
        <f>'SENTINEL BRT'!$F$17</f>
        <v>29</v>
      </c>
      <c r="F39" s="346">
        <f>'SENTINEL BRT'!$H$23+'SENTINEL BRT'!$H$25</f>
        <v>1227.3011999999999</v>
      </c>
      <c r="G39" s="346">
        <f>'SENTINEL BRT'!$L$23+'SENTINEL BRT'!$L$25</f>
        <v>1713.5722000000001</v>
      </c>
      <c r="H39" s="346">
        <f t="shared" si="15"/>
        <v>486.27100000000019</v>
      </c>
      <c r="I39" s="483">
        <f t="shared" si="16"/>
        <v>0.39621162270516819</v>
      </c>
      <c r="J39" s="346">
        <f>'SENTINEL BRT'!$H$62</f>
        <v>1516.3270863674784</v>
      </c>
      <c r="K39" s="346">
        <f>'SENTINEL BRT'!$L$62</f>
        <v>1934.4361321256597</v>
      </c>
      <c r="L39" s="346">
        <f t="shared" si="12"/>
        <v>418.10904575818131</v>
      </c>
      <c r="M39" s="480">
        <f t="shared" si="13"/>
        <v>0.27573803140310948</v>
      </c>
      <c r="N39" s="343"/>
      <c r="O39" s="347"/>
    </row>
    <row r="40" spans="1:15" s="159" customFormat="1" ht="12.75" x14ac:dyDescent="0.2">
      <c r="A40" s="341"/>
      <c r="B40" s="341"/>
      <c r="C40" s="344" t="s">
        <v>42</v>
      </c>
      <c r="D40" s="349">
        <f>'STREET LIGHTING BRT'!$F$19</f>
        <v>600000</v>
      </c>
      <c r="E40" s="345">
        <f>'STREET LIGHTING BRT'!$F$17</f>
        <v>176</v>
      </c>
      <c r="F40" s="346">
        <f>'STREET LIGHTING BRT'!$H$23+'STREET LIGHTING BRT'!$H$25</f>
        <v>12373.129199999999</v>
      </c>
      <c r="G40" s="346">
        <f>'STREET LIGHTING BRT'!$L$23+'STREET LIGHTING BRT'!$L$25</f>
        <v>7179.9338000000007</v>
      </c>
      <c r="H40" s="346">
        <f t="shared" si="15"/>
        <v>-5193.1953999999987</v>
      </c>
      <c r="I40" s="483">
        <f t="shared" si="16"/>
        <v>-0.41971560435980892</v>
      </c>
      <c r="J40" s="346">
        <f>'STREET LIGHTING BRT'!$H$62</f>
        <v>104532.03255571387</v>
      </c>
      <c r="K40" s="346">
        <f>'STREET LIGHTING BRT'!$L$62</f>
        <v>92252.786107692766</v>
      </c>
      <c r="L40" s="346">
        <f t="shared" si="12"/>
        <v>-12279.246448021106</v>
      </c>
      <c r="M40" s="480">
        <f t="shared" si="13"/>
        <v>-0.11746874281313213</v>
      </c>
      <c r="N40" s="343"/>
    </row>
    <row r="41" spans="1:15" s="159" customFormat="1" x14ac:dyDescent="0.25">
      <c r="A41" s="492"/>
      <c r="B41" s="492"/>
      <c r="C41" s="344" t="s">
        <v>222</v>
      </c>
      <c r="D41" s="345">
        <f>'EMB BRT BPI'!$F$19</f>
        <v>50000</v>
      </c>
      <c r="E41" s="345">
        <f>'EMB BRT BPI'!$F$17</f>
        <v>27</v>
      </c>
      <c r="F41" s="346">
        <f>'EMB BRT BPI'!$H$23+'EMB BRT BPI'!$H$25</f>
        <v>203.08190000000002</v>
      </c>
      <c r="G41" s="346">
        <f>'EMB BRT BPI'!$L$23+'EMB BRT BPI'!$L$25</f>
        <v>376.52849999999995</v>
      </c>
      <c r="H41" s="346">
        <f t="shared" si="15"/>
        <v>173.44659999999993</v>
      </c>
      <c r="I41" s="483">
        <f t="shared" si="16"/>
        <v>0.85407217482207876</v>
      </c>
      <c r="J41" s="346">
        <f>'EMB BRT BPI'!$H$61</f>
        <v>7849.352566137175</v>
      </c>
      <c r="K41" s="346">
        <f>'EMB BRT BPI'!$L$61</f>
        <v>7241.6357546179024</v>
      </c>
      <c r="L41" s="346">
        <f t="shared" si="12"/>
        <v>-607.7168115192726</v>
      </c>
      <c r="M41" s="480">
        <f t="shared" si="13"/>
        <v>-7.7422539808062463E-2</v>
      </c>
      <c r="N41" s="343"/>
      <c r="O41" s="347"/>
    </row>
    <row r="42" spans="1:15" s="159" customFormat="1" x14ac:dyDescent="0.25">
      <c r="A42" s="348"/>
      <c r="B42" s="348"/>
      <c r="C42" s="344" t="s">
        <v>223</v>
      </c>
      <c r="D42" s="368">
        <f>'EMB BRT HON 1'!$F$19</f>
        <v>1300000</v>
      </c>
      <c r="E42" s="368">
        <f>'EMB BRT HON 1'!$F$17</f>
        <v>2340</v>
      </c>
      <c r="F42" s="369">
        <f>'EMB BRT HON 1'!$H$23+'EMB BRT HON 1'!$H$25</f>
        <v>9292.4779999999992</v>
      </c>
      <c r="G42" s="369">
        <f>'EMB BRT HON 1'!$L$23+'EMB BRT HON 1'!$L$25</f>
        <v>2674.5179999999996</v>
      </c>
      <c r="H42" s="346">
        <f t="shared" ref="H42:H43" si="21">G42-F42</f>
        <v>-6617.9599999999991</v>
      </c>
      <c r="I42" s="483">
        <f t="shared" ref="I42:I43" si="22">G42/F42-1</f>
        <v>-0.7121846293313796</v>
      </c>
      <c r="J42" s="369">
        <f>'EMB BRT HON 1'!$H$62</f>
        <v>212927.33716244414</v>
      </c>
      <c r="K42" s="369">
        <f>'EMB BRT HON 1'!$L$62</f>
        <v>184861.38991914893</v>
      </c>
      <c r="L42" s="346">
        <f t="shared" ref="L42" si="23">K42-J42</f>
        <v>-28065.947243295202</v>
      </c>
      <c r="M42" s="480">
        <f t="shared" ref="M42" si="24">K42/J42-1</f>
        <v>-0.13180997619804657</v>
      </c>
      <c r="N42" s="343"/>
      <c r="O42" s="347"/>
    </row>
    <row r="43" spans="1:15" s="159" customFormat="1" ht="15.75" thickBot="1" x14ac:dyDescent="0.3">
      <c r="A43" s="492"/>
      <c r="B43" s="492"/>
      <c r="C43" s="353" t="s">
        <v>224</v>
      </c>
      <c r="D43" s="355">
        <f>'EMB BRT HON 2'!$F$19</f>
        <v>1990000</v>
      </c>
      <c r="E43" s="355">
        <f>'EMB BRT HON 2'!$F$17</f>
        <v>4050</v>
      </c>
      <c r="F43" s="356">
        <f>'EMB BRT HON 2'!$H$23+'EMB BRT HON 2'!$H$25</f>
        <v>96.98</v>
      </c>
      <c r="G43" s="356">
        <f>'EMB BRT HON 2'!$L$23+'EMB BRT HON 2'!$L$25</f>
        <v>59.1</v>
      </c>
      <c r="H43" s="356">
        <f t="shared" si="21"/>
        <v>-37.880000000000003</v>
      </c>
      <c r="I43" s="484">
        <f t="shared" si="22"/>
        <v>-0.39059599917508769</v>
      </c>
      <c r="J43" s="356">
        <f>'EMB BRT HON 2'!$H$62</f>
        <v>276731.57184583339</v>
      </c>
      <c r="K43" s="356">
        <f>'EMB BRT HON 2'!$L$62</f>
        <v>266375.18447073142</v>
      </c>
      <c r="L43" s="356">
        <f t="shared" si="12"/>
        <v>-10356.387375101971</v>
      </c>
      <c r="M43" s="481">
        <f t="shared" si="13"/>
        <v>-3.7423945905498246E-2</v>
      </c>
      <c r="N43" s="343"/>
      <c r="O43" s="347"/>
    </row>
  </sheetData>
  <mergeCells count="21">
    <mergeCell ref="A14:B14"/>
    <mergeCell ref="C16:G16"/>
    <mergeCell ref="C30:C31"/>
    <mergeCell ref="D30:D31"/>
    <mergeCell ref="A9:B9"/>
    <mergeCell ref="A10:B10"/>
    <mergeCell ref="A11:B11"/>
    <mergeCell ref="A12:B12"/>
    <mergeCell ref="A13:B13"/>
    <mergeCell ref="F3:I3"/>
    <mergeCell ref="J3:M3"/>
    <mergeCell ref="E3:E4"/>
    <mergeCell ref="A7:B7"/>
    <mergeCell ref="A8:B8"/>
    <mergeCell ref="C3:C4"/>
    <mergeCell ref="D3:D4"/>
    <mergeCell ref="A41:B41"/>
    <mergeCell ref="A43:B43"/>
    <mergeCell ref="F30:I30"/>
    <mergeCell ref="J30:M30"/>
    <mergeCell ref="E30:E31"/>
  </mergeCells>
  <pageMargins left="0.7" right="0.7" top="0.75" bottom="0.75" header="0.3" footer="0.3"/>
  <pageSetup scale="86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8168889431442"/>
  </sheetPr>
  <dimension ref="A1:BH85"/>
  <sheetViews>
    <sheetView showGridLines="0" topLeftCell="A25" zoomScale="80" zoomScaleNormal="80" workbookViewId="0">
      <selection activeCell="J55" sqref="J55"/>
    </sheetView>
  </sheetViews>
  <sheetFormatPr defaultRowHeight="15" x14ac:dyDescent="0.25"/>
  <cols>
    <col min="1" max="1" width="26.28515625" customWidth="1"/>
    <col min="2" max="2" width="121.85546875" customWidth="1"/>
    <col min="3" max="3" width="1.140625" customWidth="1"/>
    <col min="4" max="4" width="12.28515625" customWidth="1"/>
    <col min="5" max="5" width="1.7109375" customWidth="1"/>
    <col min="6" max="6" width="11" customWidth="1"/>
    <col min="7" max="7" width="10.140625" bestFit="1" customWidth="1"/>
    <col min="8" max="8" width="10.5703125" customWidth="1"/>
    <col min="9" max="9" width="1.28515625" customWidth="1"/>
    <col min="10" max="10" width="12.140625" customWidth="1"/>
    <col min="11" max="11" width="10.140625" bestFit="1" customWidth="1"/>
    <col min="12" max="12" width="10.5703125" customWidth="1"/>
    <col min="13" max="13" width="1.28515625" style="94" customWidth="1"/>
    <col min="14" max="14" width="11.140625" customWidth="1"/>
    <col min="15" max="15" width="9.140625" customWidth="1"/>
    <col min="16" max="16" width="1.42578125" customWidth="1"/>
    <col min="17" max="17" width="6" customWidth="1"/>
    <col min="18" max="18" width="10.140625" bestFit="1" customWidth="1"/>
    <col min="19" max="19" width="9.5703125" customWidth="1"/>
    <col min="20" max="20" width="2" bestFit="1" customWidth="1"/>
    <col min="21" max="21" width="9.140625" customWidth="1"/>
    <col min="22" max="22" width="10.140625" customWidth="1"/>
    <col min="23" max="23" width="1.28515625" customWidth="1"/>
    <col min="24" max="24" width="11" customWidth="1"/>
    <col min="25" max="25" width="10.140625" bestFit="1" customWidth="1"/>
    <col min="26" max="26" width="9.85546875" customWidth="1"/>
    <col min="27" max="27" width="1.28515625" customWidth="1"/>
    <col min="30" max="30" width="0.85546875" customWidth="1"/>
    <col min="31" max="31" width="11.140625" customWidth="1"/>
    <col min="32" max="32" width="10.140625" bestFit="1" customWidth="1"/>
    <col min="33" max="33" width="9.28515625" customWidth="1"/>
    <col min="34" max="34" width="1.140625" customWidth="1"/>
    <col min="37" max="37" width="0.85546875" customWidth="1"/>
  </cols>
  <sheetData>
    <row r="1" spans="1:21" ht="21.75" x14ac:dyDescent="0.25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0"/>
      <c r="M1" s="2"/>
      <c r="N1" s="52" t="s">
        <v>68</v>
      </c>
      <c r="O1" s="53">
        <v>0</v>
      </c>
      <c r="T1">
        <v>2</v>
      </c>
      <c r="U1">
        <v>1</v>
      </c>
    </row>
    <row r="2" spans="1:21" ht="18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0"/>
      <c r="M2" s="2"/>
      <c r="N2" s="52" t="s">
        <v>69</v>
      </c>
      <c r="O2" s="55"/>
    </row>
    <row r="3" spans="1:21" ht="18" x14ac:dyDescent="0.25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"/>
      <c r="M3" s="2"/>
      <c r="N3" s="52" t="s">
        <v>70</v>
      </c>
      <c r="O3" s="55"/>
    </row>
    <row r="4" spans="1:21" ht="18" x14ac:dyDescent="0.25">
      <c r="A4" s="54"/>
      <c r="B4" s="54"/>
      <c r="C4" s="54"/>
      <c r="D4" s="54"/>
      <c r="E4" s="54"/>
      <c r="F4" s="54"/>
      <c r="G4" s="54"/>
      <c r="H4" s="54"/>
      <c r="I4" s="56"/>
      <c r="J4" s="56"/>
      <c r="K4" s="56"/>
      <c r="L4" s="50"/>
      <c r="M4" s="2"/>
      <c r="N4" s="52" t="s">
        <v>71</v>
      </c>
      <c r="O4" s="55"/>
    </row>
    <row r="5" spans="1:21" ht="15.75" x14ac:dyDescent="0.25">
      <c r="A5" s="50"/>
      <c r="B5" s="50"/>
      <c r="C5" s="57"/>
      <c r="D5" s="57"/>
      <c r="E5" s="57"/>
      <c r="F5" s="50"/>
      <c r="G5" s="50"/>
      <c r="H5" s="50"/>
      <c r="I5" s="50"/>
      <c r="J5" s="50"/>
      <c r="K5" s="50"/>
      <c r="L5" s="50"/>
      <c r="M5" s="2"/>
      <c r="N5" s="52" t="s">
        <v>72</v>
      </c>
      <c r="O5" s="58"/>
    </row>
    <row r="6" spans="1:2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2"/>
      <c r="N6" s="52"/>
      <c r="O6" s="53"/>
    </row>
    <row r="7" spans="1:2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2"/>
      <c r="N7" s="52" t="s">
        <v>73</v>
      </c>
      <c r="O7" s="58"/>
    </row>
    <row r="8" spans="1:21" x14ac:dyDescent="0.25">
      <c r="A8" s="5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2"/>
      <c r="N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1" ht="18" x14ac:dyDescent="0.25">
      <c r="A10" s="1"/>
      <c r="B10" s="508" t="s">
        <v>74</v>
      </c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508"/>
      <c r="N10" s="508"/>
      <c r="O10" s="508"/>
    </row>
    <row r="11" spans="1:21" ht="18" x14ac:dyDescent="0.25">
      <c r="A11" s="1"/>
      <c r="B11" s="508" t="s">
        <v>75</v>
      </c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T13">
        <v>2</v>
      </c>
    </row>
    <row r="14" spans="1:21" ht="15.75" x14ac:dyDescent="0.25">
      <c r="A14" s="1"/>
      <c r="B14" s="60" t="s">
        <v>0</v>
      </c>
      <c r="C14" s="1"/>
      <c r="D14" s="509" t="s">
        <v>112</v>
      </c>
      <c r="E14" s="509"/>
      <c r="F14" s="509"/>
      <c r="G14" s="509"/>
      <c r="H14" s="509"/>
      <c r="I14" s="509"/>
      <c r="J14" s="509"/>
      <c r="K14" s="509"/>
      <c r="L14" s="509"/>
      <c r="M14" s="509"/>
      <c r="N14" s="509"/>
      <c r="O14" s="509"/>
    </row>
    <row r="15" spans="1:21" ht="15.75" x14ac:dyDescent="0.25">
      <c r="A15" s="1"/>
      <c r="B15" s="61"/>
      <c r="C15" s="1"/>
      <c r="D15" s="62"/>
      <c r="E15" s="62"/>
      <c r="F15" s="62"/>
      <c r="G15" s="62"/>
      <c r="H15" s="62"/>
      <c r="I15" s="62"/>
      <c r="J15" s="62"/>
      <c r="K15" s="62"/>
      <c r="L15" s="62"/>
      <c r="M15" s="276"/>
      <c r="N15" s="62"/>
      <c r="O15" s="62"/>
    </row>
    <row r="16" spans="1:21" ht="15.75" x14ac:dyDescent="0.25">
      <c r="A16" s="1"/>
      <c r="B16" s="60" t="s">
        <v>76</v>
      </c>
      <c r="C16" s="1"/>
      <c r="D16" s="63" t="s">
        <v>77</v>
      </c>
      <c r="E16" s="62"/>
      <c r="F16" s="62"/>
      <c r="G16" s="62"/>
      <c r="H16" s="62"/>
      <c r="I16" s="62"/>
      <c r="J16" s="62"/>
      <c r="K16" s="62"/>
      <c r="L16" s="62"/>
      <c r="M16" s="276"/>
      <c r="N16" s="62"/>
      <c r="O16" s="62"/>
    </row>
    <row r="17" spans="1:60" ht="15.75" x14ac:dyDescent="0.25">
      <c r="A17" s="1"/>
      <c r="B17" s="61"/>
      <c r="C17" s="1"/>
      <c r="D17" s="62"/>
      <c r="E17" s="62"/>
      <c r="F17" s="62"/>
      <c r="G17" s="62"/>
      <c r="H17" s="62"/>
      <c r="I17" s="62"/>
      <c r="J17" s="62"/>
      <c r="K17" s="62"/>
      <c r="L17" s="62"/>
      <c r="M17" s="276"/>
      <c r="N17" s="62"/>
      <c r="O17" s="62"/>
    </row>
    <row r="18" spans="1:60" x14ac:dyDescent="0.25">
      <c r="A18" s="1"/>
      <c r="B18" s="64"/>
      <c r="C18" s="1"/>
      <c r="D18" s="65" t="s">
        <v>1</v>
      </c>
      <c r="E18" s="65"/>
      <c r="F18" s="66">
        <v>2000</v>
      </c>
      <c r="G18" s="65" t="s">
        <v>78</v>
      </c>
      <c r="H18" s="1"/>
      <c r="I18" s="1"/>
      <c r="J18" s="1"/>
      <c r="K18" s="1"/>
      <c r="L18" s="1"/>
      <c r="M18" s="3"/>
      <c r="N18" s="1"/>
      <c r="O18" s="1"/>
    </row>
    <row r="19" spans="1:60" x14ac:dyDescent="0.25">
      <c r="A19" s="1"/>
      <c r="B19" s="64"/>
      <c r="C19" s="1"/>
      <c r="D19" s="1"/>
      <c r="E19" s="1"/>
      <c r="F19" s="1"/>
      <c r="G19" s="1"/>
      <c r="H19" s="1"/>
      <c r="I19" s="1"/>
      <c r="J19" s="1"/>
      <c r="K19" s="1"/>
      <c r="L19" s="67"/>
      <c r="M19" s="3"/>
      <c r="N19" s="1"/>
      <c r="O19" s="1"/>
    </row>
    <row r="20" spans="1:60" x14ac:dyDescent="0.25">
      <c r="A20" s="1"/>
      <c r="B20" s="64"/>
      <c r="C20" s="1"/>
      <c r="D20" s="68"/>
      <c r="E20" s="68"/>
      <c r="F20" s="510" t="s">
        <v>105</v>
      </c>
      <c r="G20" s="511"/>
      <c r="H20" s="512"/>
      <c r="I20" s="1"/>
      <c r="J20" s="510" t="s">
        <v>104</v>
      </c>
      <c r="K20" s="511"/>
      <c r="L20" s="512"/>
      <c r="M20" s="3"/>
      <c r="N20" s="510" t="s">
        <v>61</v>
      </c>
      <c r="O20" s="512"/>
      <c r="Q20" s="506"/>
      <c r="R20" s="506"/>
      <c r="S20" s="506"/>
      <c r="T20" s="2"/>
      <c r="U20" s="506"/>
      <c r="V20" s="506"/>
      <c r="W20" s="69"/>
      <c r="X20" s="506"/>
      <c r="Y20" s="506"/>
      <c r="Z20" s="506"/>
      <c r="AA20" s="2"/>
      <c r="AB20" s="506"/>
      <c r="AC20" s="506"/>
      <c r="AD20" s="69"/>
      <c r="AE20" s="506"/>
      <c r="AF20" s="506"/>
      <c r="AG20" s="506"/>
      <c r="AH20" s="2"/>
      <c r="AI20" s="506"/>
      <c r="AJ20" s="506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</row>
    <row r="21" spans="1:60" ht="15" customHeight="1" x14ac:dyDescent="0.25">
      <c r="A21" s="1"/>
      <c r="B21" s="64"/>
      <c r="C21" s="1"/>
      <c r="D21" s="1"/>
      <c r="E21" s="70"/>
      <c r="F21" s="71" t="s">
        <v>2</v>
      </c>
      <c r="G21" s="71" t="s">
        <v>3</v>
      </c>
      <c r="H21" s="72" t="s">
        <v>4</v>
      </c>
      <c r="I21" s="1"/>
      <c r="J21" s="71" t="s">
        <v>2</v>
      </c>
      <c r="K21" s="73" t="s">
        <v>3</v>
      </c>
      <c r="L21" s="72" t="s">
        <v>4</v>
      </c>
      <c r="M21" s="3"/>
      <c r="N21" s="502" t="s">
        <v>62</v>
      </c>
      <c r="O21" s="504" t="s">
        <v>63</v>
      </c>
      <c r="Q21" s="270"/>
      <c r="R21" s="270"/>
      <c r="S21" s="270"/>
      <c r="T21" s="2"/>
      <c r="U21" s="501"/>
      <c r="V21" s="501"/>
      <c r="W21" s="69"/>
      <c r="X21" s="270"/>
      <c r="Y21" s="270"/>
      <c r="Z21" s="270"/>
      <c r="AA21" s="2"/>
      <c r="AB21" s="501"/>
      <c r="AC21" s="501"/>
      <c r="AD21" s="69"/>
      <c r="AE21" s="270"/>
      <c r="AF21" s="270"/>
      <c r="AG21" s="270"/>
      <c r="AH21" s="2"/>
      <c r="AI21" s="501"/>
      <c r="AJ21" s="501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</row>
    <row r="22" spans="1:60" x14ac:dyDescent="0.25">
      <c r="A22" s="1"/>
      <c r="B22" s="64"/>
      <c r="C22" s="1"/>
      <c r="D22" s="1"/>
      <c r="E22" s="70"/>
      <c r="F22" s="75" t="s">
        <v>79</v>
      </c>
      <c r="G22" s="75"/>
      <c r="H22" s="76" t="s">
        <v>79</v>
      </c>
      <c r="I22" s="1"/>
      <c r="J22" s="75" t="s">
        <v>79</v>
      </c>
      <c r="K22" s="76"/>
      <c r="L22" s="76" t="s">
        <v>79</v>
      </c>
      <c r="M22" s="3"/>
      <c r="N22" s="503"/>
      <c r="O22" s="505"/>
      <c r="Q22" s="77"/>
      <c r="R22" s="77"/>
      <c r="S22" s="77"/>
      <c r="T22" s="2"/>
      <c r="U22" s="501"/>
      <c r="V22" s="501"/>
      <c r="W22" s="69"/>
      <c r="X22" s="77"/>
      <c r="Y22" s="77"/>
      <c r="Z22" s="77"/>
      <c r="AA22" s="2"/>
      <c r="AB22" s="501"/>
      <c r="AC22" s="501"/>
      <c r="AD22" s="69"/>
      <c r="AE22" s="77"/>
      <c r="AF22" s="77"/>
      <c r="AG22" s="77"/>
      <c r="AH22" s="2"/>
      <c r="AI22" s="501"/>
      <c r="AJ22" s="501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</row>
    <row r="23" spans="1:60" x14ac:dyDescent="0.25">
      <c r="A23" s="7" t="s">
        <v>15</v>
      </c>
      <c r="B23" s="271" t="str">
        <f>IF(Rates!D122='GS&lt;50 BRT'!$A$23,Rates!B122," ")</f>
        <v>Service Charge</v>
      </c>
      <c r="C23" s="79"/>
      <c r="D23" s="271" t="str">
        <f>IF(Rates!D122='GS&lt;50 BRT'!$A$23,Rates!E122," ")</f>
        <v>customer</v>
      </c>
      <c r="E23" s="79"/>
      <c r="F23" s="80">
        <f>IF(Rates!$J$1="BRT 2018",Rates!J122," ")</f>
        <v>17.36</v>
      </c>
      <c r="G23" s="81">
        <f>IF(D23="customer",1,IF(D23="kWh",$F$18,$F$19))</f>
        <v>1</v>
      </c>
      <c r="H23" s="82">
        <f>G23*F23</f>
        <v>17.36</v>
      </c>
      <c r="I23" s="83"/>
      <c r="J23" s="80">
        <f>IF(Rates!$L$1="E+ 2019",Rates!L122," ")</f>
        <v>15.18</v>
      </c>
      <c r="K23" s="97">
        <f>IF(D23="customer",1,IF(D23="kWh",$F$18,$F$19))</f>
        <v>1</v>
      </c>
      <c r="L23" s="82">
        <f t="shared" ref="L23:L34" si="0">K23*J23</f>
        <v>15.18</v>
      </c>
      <c r="M23" s="91"/>
      <c r="N23" s="84">
        <f t="shared" ref="N23:N61" si="1">L23-H23</f>
        <v>-2.1799999999999997</v>
      </c>
      <c r="O23" s="85">
        <f>IF(OR(H23=0,L23=0),"",(N23/H23))</f>
        <v>-0.12557603686635943</v>
      </c>
      <c r="Q23" s="86"/>
      <c r="R23" s="87"/>
      <c r="S23" s="88"/>
      <c r="T23" s="87"/>
      <c r="U23" s="89"/>
      <c r="V23" s="90"/>
      <c r="W23" s="69"/>
      <c r="X23" s="86"/>
      <c r="Y23" s="87"/>
      <c r="Z23" s="88"/>
      <c r="AA23" s="87"/>
      <c r="AB23" s="89"/>
      <c r="AC23" s="90"/>
      <c r="AD23" s="69"/>
      <c r="AE23" s="86"/>
      <c r="AF23" s="87"/>
      <c r="AG23" s="88"/>
      <c r="AH23" s="87"/>
      <c r="AI23" s="89"/>
      <c r="AJ23" s="90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</row>
    <row r="24" spans="1:60" x14ac:dyDescent="0.25">
      <c r="A24" s="1"/>
      <c r="B24" s="271" t="str">
        <f>IF(Rates!D123='GS&lt;50 BRT'!$A$23,Rates!B123," ")</f>
        <v>Rate Rider ACM</v>
      </c>
      <c r="C24" s="79"/>
      <c r="D24" s="271" t="str">
        <f>IF(Rates!D123='GS&lt;50 BRT'!$A$23,Rates!E123," ")</f>
        <v>customer</v>
      </c>
      <c r="E24" s="79"/>
      <c r="F24" s="80">
        <f>IF(Rates!$J$1="BRT 2018",Rates!J123," ")</f>
        <v>0</v>
      </c>
      <c r="G24" s="81">
        <f t="shared" ref="G24:G34" si="2">IF(D24="customer",1,IF(D24="kWh",$F$18,$F$19))</f>
        <v>1</v>
      </c>
      <c r="H24" s="82">
        <f t="shared" ref="H24:H34" si="3">G24*F24</f>
        <v>0</v>
      </c>
      <c r="I24" s="83"/>
      <c r="J24" s="80">
        <f>IF(Rates!$L$1="E+ 2019",Rates!L123," ")</f>
        <v>0</v>
      </c>
      <c r="K24" s="97">
        <f t="shared" ref="K24:K34" si="4">IF(D24="customer",1,IF(D24="kWh",$F$18,$F$19))</f>
        <v>1</v>
      </c>
      <c r="L24" s="82">
        <f t="shared" si="0"/>
        <v>0</v>
      </c>
      <c r="M24" s="91"/>
      <c r="N24" s="84">
        <f t="shared" si="1"/>
        <v>0</v>
      </c>
      <c r="O24" s="85" t="str">
        <f t="shared" ref="O24:O34" si="5">IF(OR(H24=0,L24=0),"",(N24/H24))</f>
        <v/>
      </c>
      <c r="Q24" s="86"/>
      <c r="R24" s="87"/>
      <c r="S24" s="88"/>
      <c r="T24" s="87"/>
      <c r="U24" s="89"/>
      <c r="V24" s="90"/>
      <c r="W24" s="69"/>
      <c r="X24" s="86"/>
      <c r="Y24" s="87"/>
      <c r="Z24" s="88"/>
      <c r="AA24" s="87"/>
      <c r="AB24" s="89"/>
      <c r="AC24" s="90"/>
      <c r="AD24" s="69"/>
      <c r="AE24" s="86"/>
      <c r="AF24" s="87"/>
      <c r="AG24" s="88"/>
      <c r="AH24" s="87"/>
      <c r="AI24" s="89"/>
      <c r="AJ24" s="90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</row>
    <row r="25" spans="1:60" s="94" customFormat="1" x14ac:dyDescent="0.25">
      <c r="A25" s="3"/>
      <c r="B25" s="271" t="str">
        <f>IF(Rates!D124='GS&lt;50 BRT'!$A$23,Rates!B124," ")</f>
        <v>Distribution Volumetric Rate</v>
      </c>
      <c r="C25" s="79"/>
      <c r="D25" s="271" t="str">
        <f>IF(Rates!D124='GS&lt;50 BRT'!$A$23,Rates!E124," ")</f>
        <v>kWh</v>
      </c>
      <c r="E25" s="79"/>
      <c r="F25" s="235">
        <f>IF(Rates!$J$1="BRT 2018",Rates!J124," ")</f>
        <v>1.7999999999999999E-2</v>
      </c>
      <c r="G25" s="81">
        <f t="shared" si="2"/>
        <v>2000</v>
      </c>
      <c r="H25" s="82">
        <f t="shared" si="3"/>
        <v>36</v>
      </c>
      <c r="I25" s="91"/>
      <c r="J25" s="235">
        <f>IF(Rates!$L$1="E+ 2019",Rates!L124," ")</f>
        <v>1.6199999999999999E-2</v>
      </c>
      <c r="K25" s="97">
        <f t="shared" si="4"/>
        <v>2000</v>
      </c>
      <c r="L25" s="92">
        <f t="shared" si="0"/>
        <v>32.4</v>
      </c>
      <c r="M25" s="91"/>
      <c r="N25" s="84">
        <f t="shared" si="1"/>
        <v>-3.6000000000000014</v>
      </c>
      <c r="O25" s="85">
        <f t="shared" si="5"/>
        <v>-0.10000000000000003</v>
      </c>
      <c r="Q25" s="95"/>
      <c r="R25" s="87"/>
      <c r="S25" s="88"/>
      <c r="T25" s="87"/>
      <c r="U25" s="89"/>
      <c r="V25" s="90"/>
      <c r="W25" s="69"/>
      <c r="X25" s="95"/>
      <c r="Y25" s="87"/>
      <c r="Z25" s="88"/>
      <c r="AA25" s="87"/>
      <c r="AB25" s="89"/>
      <c r="AC25" s="90"/>
      <c r="AD25" s="69"/>
      <c r="AE25" s="95"/>
      <c r="AF25" s="87"/>
      <c r="AG25" s="88"/>
      <c r="AH25" s="87"/>
      <c r="AI25" s="89"/>
      <c r="AJ25" s="90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</row>
    <row r="26" spans="1:60" s="94" customFormat="1" x14ac:dyDescent="0.25">
      <c r="A26" s="3"/>
      <c r="B26" s="271" t="str">
        <f>IF(Rates!D125='GS&lt;50 BRT'!$A$23,Rates!B125," ")</f>
        <v>Rate Rider ACM</v>
      </c>
      <c r="C26" s="79"/>
      <c r="D26" s="271" t="str">
        <f>IF(Rates!D125='GS&lt;50 BRT'!$A$23,Rates!E125," ")</f>
        <v>kWh</v>
      </c>
      <c r="E26" s="79"/>
      <c r="F26" s="80">
        <f>IF(Rates!$J$1="BRT 2018",Rates!J125," ")</f>
        <v>0</v>
      </c>
      <c r="G26" s="81">
        <f t="shared" si="2"/>
        <v>2000</v>
      </c>
      <c r="H26" s="82">
        <f t="shared" si="3"/>
        <v>0</v>
      </c>
      <c r="I26" s="91"/>
      <c r="J26" s="235">
        <f>IF(Rates!$L$1="E+ 2019",Rates!L125," ")</f>
        <v>0</v>
      </c>
      <c r="K26" s="97">
        <f t="shared" si="4"/>
        <v>2000</v>
      </c>
      <c r="L26" s="92">
        <f t="shared" si="0"/>
        <v>0</v>
      </c>
      <c r="M26" s="91"/>
      <c r="N26" s="84">
        <f t="shared" si="1"/>
        <v>0</v>
      </c>
      <c r="O26" s="85" t="str">
        <f t="shared" si="5"/>
        <v/>
      </c>
      <c r="Q26" s="95"/>
      <c r="R26" s="87"/>
      <c r="S26" s="88"/>
      <c r="T26" s="87"/>
      <c r="U26" s="89"/>
      <c r="V26" s="90"/>
      <c r="W26" s="69"/>
      <c r="X26" s="95"/>
      <c r="Y26" s="87"/>
      <c r="Z26" s="88"/>
      <c r="AA26" s="87"/>
      <c r="AB26" s="89"/>
      <c r="AC26" s="90"/>
      <c r="AD26" s="69"/>
      <c r="AE26" s="95"/>
      <c r="AF26" s="87"/>
      <c r="AG26" s="88"/>
      <c r="AH26" s="87"/>
      <c r="AI26" s="89"/>
      <c r="AJ26" s="90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</row>
    <row r="27" spans="1:60" x14ac:dyDescent="0.25">
      <c r="A27" s="3"/>
      <c r="B27" s="271" t="str">
        <f>IF(Rates!D126='GS&lt;50 BRT'!$A$23,Rates!B126," ")</f>
        <v>Rate Rider for Disposition of Account 1575 and 1576</v>
      </c>
      <c r="C27" s="79"/>
      <c r="D27" s="271" t="str">
        <f>IF(Rates!D126='GS&lt;50 BRT'!$A$23,Rates!E126," ")</f>
        <v>customer</v>
      </c>
      <c r="E27" s="79"/>
      <c r="F27" s="80">
        <f>IF(Rates!$J$1="BRT 2018",Rates!J126," ")</f>
        <v>0</v>
      </c>
      <c r="G27" s="81">
        <f t="shared" si="2"/>
        <v>1</v>
      </c>
      <c r="H27" s="92">
        <f t="shared" si="3"/>
        <v>0</v>
      </c>
      <c r="I27" s="83"/>
      <c r="J27" s="235">
        <f>IF(Rates!$L$1="E+ 2019",Rates!L126," ")</f>
        <v>0</v>
      </c>
      <c r="K27" s="97">
        <f t="shared" si="4"/>
        <v>1</v>
      </c>
      <c r="L27" s="92">
        <f t="shared" si="0"/>
        <v>0</v>
      </c>
      <c r="M27" s="91"/>
      <c r="N27" s="84">
        <f t="shared" si="1"/>
        <v>0</v>
      </c>
      <c r="O27" s="85" t="str">
        <f t="shared" si="5"/>
        <v/>
      </c>
      <c r="Q27" s="86"/>
      <c r="R27" s="87"/>
      <c r="S27" s="88"/>
      <c r="T27" s="87"/>
      <c r="U27" s="89"/>
      <c r="V27" s="90"/>
      <c r="W27" s="69"/>
      <c r="X27" s="86"/>
      <c r="Y27" s="87"/>
      <c r="Z27" s="88"/>
      <c r="AA27" s="87"/>
      <c r="AB27" s="89"/>
      <c r="AC27" s="90"/>
      <c r="AD27" s="69"/>
      <c r="AE27" s="86"/>
      <c r="AF27" s="87"/>
      <c r="AG27" s="88"/>
      <c r="AH27" s="87"/>
      <c r="AI27" s="89"/>
      <c r="AJ27" s="90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</row>
    <row r="28" spans="1:60" s="94" customFormat="1" x14ac:dyDescent="0.25">
      <c r="A28" s="3"/>
      <c r="B28" s="271" t="str">
        <f>IF(Rates!D127='GS&lt;50 BRT'!$A$23,Rates!B127," ")</f>
        <v>Rate Rider for Disposition of Account 1575 and 1576</v>
      </c>
      <c r="C28" s="79"/>
      <c r="D28" s="271" t="str">
        <f>IF(Rates!D127='GS&lt;50 BRT'!$A$23,Rates!E127," ")</f>
        <v>kWh</v>
      </c>
      <c r="E28" s="79"/>
      <c r="F28" s="80">
        <f>IF(Rates!$J$1="BRT 2018",Rates!J127," ")</f>
        <v>0</v>
      </c>
      <c r="G28" s="81">
        <f t="shared" si="2"/>
        <v>2000</v>
      </c>
      <c r="H28" s="92">
        <f t="shared" si="3"/>
        <v>0</v>
      </c>
      <c r="I28" s="91"/>
      <c r="J28" s="235">
        <f>IF(Rates!$L$1="E+ 2019",Rates!L127," ")</f>
        <v>-3.2126915242846417E-4</v>
      </c>
      <c r="K28" s="97">
        <f t="shared" si="4"/>
        <v>2000</v>
      </c>
      <c r="L28" s="92">
        <f t="shared" si="0"/>
        <v>-0.64253830485692831</v>
      </c>
      <c r="M28" s="91"/>
      <c r="N28" s="84">
        <f t="shared" si="1"/>
        <v>-0.64253830485692831</v>
      </c>
      <c r="O28" s="85" t="str">
        <f t="shared" si="5"/>
        <v/>
      </c>
      <c r="Q28" s="86"/>
      <c r="R28" s="87"/>
      <c r="S28" s="88"/>
      <c r="T28" s="87"/>
      <c r="U28" s="89"/>
      <c r="V28" s="90"/>
      <c r="W28" s="69"/>
      <c r="X28" s="86"/>
      <c r="Y28" s="87"/>
      <c r="Z28" s="88"/>
      <c r="AA28" s="87"/>
      <c r="AB28" s="89"/>
      <c r="AC28" s="90"/>
      <c r="AD28" s="69"/>
      <c r="AE28" s="86"/>
      <c r="AF28" s="87"/>
      <c r="AG28" s="88"/>
      <c r="AH28" s="87"/>
      <c r="AI28" s="89"/>
      <c r="AJ28" s="90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</row>
    <row r="29" spans="1:60" s="94" customFormat="1" x14ac:dyDescent="0.25">
      <c r="A29" s="3"/>
      <c r="B29" s="271" t="str">
        <f>IF(Rates!D128='GS&lt;50 BRT'!$A$23,Rates!B128," ")</f>
        <v>Rate Rider for Disposition of Account 1575 and 1576</v>
      </c>
      <c r="C29" s="79"/>
      <c r="D29" s="271" t="str">
        <f>IF(Rates!D128='GS&lt;50 BRT'!$A$23,Rates!E128," ")</f>
        <v>customer</v>
      </c>
      <c r="E29" s="79"/>
      <c r="F29" s="80">
        <f>IF(Rates!$J$1="BRT 2018",Rates!J128," ")</f>
        <v>0</v>
      </c>
      <c r="G29" s="81">
        <f t="shared" si="2"/>
        <v>1</v>
      </c>
      <c r="H29" s="92">
        <f t="shared" si="3"/>
        <v>0</v>
      </c>
      <c r="I29" s="91"/>
      <c r="J29" s="235">
        <f>IF(Rates!$L$1="E+ 2019",Rates!L128," ")</f>
        <v>0</v>
      </c>
      <c r="K29" s="97">
        <f t="shared" si="4"/>
        <v>1</v>
      </c>
      <c r="L29" s="92">
        <f t="shared" si="0"/>
        <v>0</v>
      </c>
      <c r="M29" s="91"/>
      <c r="N29" s="84">
        <f t="shared" si="1"/>
        <v>0</v>
      </c>
      <c r="O29" s="85" t="str">
        <f t="shared" si="5"/>
        <v/>
      </c>
      <c r="Q29" s="98"/>
      <c r="R29" s="87"/>
      <c r="S29" s="88"/>
      <c r="T29" s="87"/>
      <c r="U29" s="89"/>
      <c r="V29" s="90"/>
      <c r="W29" s="69"/>
      <c r="X29" s="98"/>
      <c r="Y29" s="87"/>
      <c r="Z29" s="88"/>
      <c r="AA29" s="87"/>
      <c r="AB29" s="89"/>
      <c r="AC29" s="90"/>
      <c r="AD29" s="69"/>
      <c r="AE29" s="98"/>
      <c r="AF29" s="87"/>
      <c r="AG29" s="88"/>
      <c r="AH29" s="87"/>
      <c r="AI29" s="89"/>
      <c r="AJ29" s="90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</row>
    <row r="30" spans="1:60" s="101" customFormat="1" x14ac:dyDescent="0.25">
      <c r="A30" s="99"/>
      <c r="B30" s="271" t="str">
        <f>IF(Rates!D129='GS&lt;50 BRT'!$A$23,Rates!B129," ")</f>
        <v>Rate Rider for Disposition of Account 1575 and 1576</v>
      </c>
      <c r="C30" s="100"/>
      <c r="D30" s="271" t="str">
        <f>IF(Rates!D129='GS&lt;50 BRT'!$A$23,Rates!E129," ")</f>
        <v>kWh</v>
      </c>
      <c r="E30" s="79"/>
      <c r="F30" s="80">
        <f>IF(Rates!$J$1="BRT 2018",Rates!J129," ")</f>
        <v>0</v>
      </c>
      <c r="G30" s="81">
        <f t="shared" si="2"/>
        <v>2000</v>
      </c>
      <c r="H30" s="92">
        <f t="shared" si="3"/>
        <v>0</v>
      </c>
      <c r="I30" s="91"/>
      <c r="J30" s="235">
        <f>IF(Rates!$L$1="E+ 2019",Rates!L129," ")</f>
        <v>0</v>
      </c>
      <c r="K30" s="97">
        <f t="shared" si="4"/>
        <v>2000</v>
      </c>
      <c r="L30" s="92">
        <f t="shared" si="0"/>
        <v>0</v>
      </c>
      <c r="M30" s="91"/>
      <c r="N30" s="84">
        <f t="shared" si="1"/>
        <v>0</v>
      </c>
      <c r="O30" s="85" t="str">
        <f t="shared" si="5"/>
        <v/>
      </c>
      <c r="Q30" s="102"/>
      <c r="R30" s="103"/>
      <c r="S30" s="104"/>
      <c r="T30" s="103"/>
      <c r="U30" s="105"/>
      <c r="V30" s="106"/>
      <c r="W30" s="107"/>
      <c r="X30" s="102"/>
      <c r="Y30" s="103"/>
      <c r="Z30" s="104"/>
      <c r="AA30" s="103"/>
      <c r="AB30" s="105"/>
      <c r="AC30" s="106"/>
      <c r="AD30" s="107"/>
      <c r="AE30" s="102"/>
      <c r="AF30" s="103"/>
      <c r="AG30" s="104"/>
      <c r="AH30" s="103"/>
      <c r="AI30" s="105"/>
      <c r="AJ30" s="106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</row>
    <row r="31" spans="1:60" s="94" customFormat="1" x14ac:dyDescent="0.25">
      <c r="A31" s="3"/>
      <c r="B31" s="271" t="str">
        <f>IF(Rates!D130='GS&lt;50 BRT'!$A$23,Rates!B130," ")</f>
        <v>Rate Rider for LRAMVA</v>
      </c>
      <c r="C31" s="79"/>
      <c r="D31" s="271" t="str">
        <f>IF(Rates!D130='GS&lt;50 BRT'!$A$23,Rates!E130," ")</f>
        <v>kWh</v>
      </c>
      <c r="E31" s="79"/>
      <c r="F31" s="80">
        <f>IF(Rates!$J$1="BRT 2018",Rates!J130," ")</f>
        <v>0</v>
      </c>
      <c r="G31" s="81">
        <f t="shared" si="2"/>
        <v>2000</v>
      </c>
      <c r="H31" s="92">
        <f t="shared" si="3"/>
        <v>0</v>
      </c>
      <c r="I31" s="91"/>
      <c r="J31" s="235">
        <f>IF(Rates!$L$1="E+ 2019",Rates!L130," ")</f>
        <v>2.0735183467511436E-4</v>
      </c>
      <c r="K31" s="97">
        <f t="shared" si="4"/>
        <v>2000</v>
      </c>
      <c r="L31" s="92">
        <f t="shared" si="0"/>
        <v>0.41470366935022873</v>
      </c>
      <c r="M31" s="91"/>
      <c r="N31" s="84">
        <f t="shared" si="1"/>
        <v>0.41470366935022873</v>
      </c>
      <c r="O31" s="85" t="str">
        <f t="shared" si="5"/>
        <v/>
      </c>
      <c r="Q31" s="98"/>
      <c r="R31" s="87"/>
      <c r="S31" s="88"/>
      <c r="T31" s="87"/>
      <c r="U31" s="89"/>
      <c r="V31" s="90"/>
      <c r="W31" s="69"/>
      <c r="X31" s="98"/>
      <c r="Y31" s="87"/>
      <c r="Z31" s="88"/>
      <c r="AA31" s="87"/>
      <c r="AB31" s="89"/>
      <c r="AC31" s="90"/>
      <c r="AD31" s="69"/>
      <c r="AE31" s="98"/>
      <c r="AF31" s="87"/>
      <c r="AG31" s="88"/>
      <c r="AH31" s="87"/>
      <c r="AI31" s="89"/>
      <c r="AJ31" s="90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</row>
    <row r="32" spans="1:60" s="94" customFormat="1" x14ac:dyDescent="0.25">
      <c r="A32" s="3"/>
      <c r="B32" s="271" t="str">
        <f>IF(Rates!D131='GS&lt;50 BRT'!$A$23,Rates!B131," ")</f>
        <v xml:space="preserve">Rate Rider for Smart Meter (Stranded Meters) </v>
      </c>
      <c r="C32" s="79"/>
      <c r="D32" s="271" t="str">
        <f>IF(Rates!D131='GS&lt;50 BRT'!$A$23,Rates!E131," ")</f>
        <v>customer</v>
      </c>
      <c r="E32" s="79"/>
      <c r="F32" s="80">
        <f>IF(Rates!$J$1="BRT 2018",Rates!J131," ")</f>
        <v>4.33</v>
      </c>
      <c r="G32" s="81">
        <f t="shared" si="2"/>
        <v>1</v>
      </c>
      <c r="H32" s="92">
        <f t="shared" si="3"/>
        <v>4.33</v>
      </c>
      <c r="I32" s="91"/>
      <c r="J32" s="235">
        <f>IF(Rates!$L$1="E+ 2019",Rates!L131," ")</f>
        <v>0.25994789727448581</v>
      </c>
      <c r="K32" s="97">
        <f t="shared" si="4"/>
        <v>1</v>
      </c>
      <c r="L32" s="92">
        <f t="shared" si="0"/>
        <v>0.25994789727448581</v>
      </c>
      <c r="M32" s="91"/>
      <c r="N32" s="84">
        <f t="shared" si="1"/>
        <v>-4.0700521027255139</v>
      </c>
      <c r="O32" s="85">
        <f t="shared" si="5"/>
        <v>-0.93996584358556901</v>
      </c>
      <c r="Q32" s="98"/>
      <c r="R32" s="87"/>
      <c r="S32" s="88"/>
      <c r="T32" s="87"/>
      <c r="U32" s="89"/>
      <c r="V32" s="90"/>
      <c r="W32" s="69"/>
      <c r="X32" s="98"/>
      <c r="Y32" s="87"/>
      <c r="Z32" s="88"/>
      <c r="AA32" s="87"/>
      <c r="AB32" s="89"/>
      <c r="AC32" s="90"/>
      <c r="AD32" s="69"/>
      <c r="AE32" s="98"/>
      <c r="AF32" s="87"/>
      <c r="AG32" s="88"/>
      <c r="AH32" s="87"/>
      <c r="AI32" s="89"/>
      <c r="AJ32" s="90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</row>
    <row r="33" spans="1:60" s="94" customFormat="1" x14ac:dyDescent="0.25">
      <c r="A33" s="3"/>
      <c r="B33" s="271" t="str">
        <f>IF(Rates!D132='GS&lt;50 BRT'!$A$23,Rates!B132," ")</f>
        <v>Other Fixed</v>
      </c>
      <c r="C33" s="79"/>
      <c r="D33" s="271" t="str">
        <f>IF(Rates!D132='GS&lt;50 BRT'!$A$23,Rates!E132," ")</f>
        <v>customer</v>
      </c>
      <c r="E33" s="79"/>
      <c r="F33" s="80">
        <f>IF(Rates!$J$1="BRT 2018",Rates!J132," ")</f>
        <v>0</v>
      </c>
      <c r="G33" s="81">
        <f t="shared" si="2"/>
        <v>1</v>
      </c>
      <c r="H33" s="92">
        <f t="shared" si="3"/>
        <v>0</v>
      </c>
      <c r="I33" s="91"/>
      <c r="J33" s="235">
        <f>IF(Rates!$L$1="E+ 2019",Rates!L132," ")</f>
        <v>0</v>
      </c>
      <c r="K33" s="97">
        <f t="shared" si="4"/>
        <v>1</v>
      </c>
      <c r="L33" s="92">
        <f t="shared" si="0"/>
        <v>0</v>
      </c>
      <c r="M33" s="91"/>
      <c r="N33" s="84">
        <f t="shared" si="1"/>
        <v>0</v>
      </c>
      <c r="O33" s="85" t="str">
        <f t="shared" si="5"/>
        <v/>
      </c>
      <c r="Q33" s="95"/>
      <c r="R33" s="87"/>
      <c r="S33" s="88"/>
      <c r="T33" s="87"/>
      <c r="U33" s="89"/>
      <c r="V33" s="90"/>
      <c r="W33" s="69"/>
      <c r="X33" s="95"/>
      <c r="Y33" s="87"/>
      <c r="Z33" s="88"/>
      <c r="AA33" s="87"/>
      <c r="AB33" s="89"/>
      <c r="AC33" s="90"/>
      <c r="AD33" s="69"/>
      <c r="AE33" s="95"/>
      <c r="AF33" s="87"/>
      <c r="AG33" s="88"/>
      <c r="AH33" s="87"/>
      <c r="AI33" s="89"/>
      <c r="AJ33" s="90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</row>
    <row r="34" spans="1:60" s="94" customFormat="1" x14ac:dyDescent="0.25">
      <c r="A34" s="3"/>
      <c r="B34" s="271" t="str">
        <f>IF(Rates!D133='GS&lt;50 BRT'!$A$23,Rates!B133," ")</f>
        <v>Other Volumetric</v>
      </c>
      <c r="C34" s="79"/>
      <c r="D34" s="271" t="str">
        <f>IF(Rates!D133='GS&lt;50 BRT'!$A$23,Rates!E133," ")</f>
        <v>kWh</v>
      </c>
      <c r="E34" s="79"/>
      <c r="F34" s="80">
        <f>IF(Rates!$J$1="BRT 2018",Rates!J133," ")</f>
        <v>0</v>
      </c>
      <c r="G34" s="81">
        <f t="shared" si="2"/>
        <v>2000</v>
      </c>
      <c r="H34" s="92">
        <f t="shared" si="3"/>
        <v>0</v>
      </c>
      <c r="I34" s="91"/>
      <c r="J34" s="235">
        <f>IF(Rates!$L$1="E+ 2019",Rates!L133," ")</f>
        <v>0</v>
      </c>
      <c r="K34" s="97">
        <f t="shared" si="4"/>
        <v>2000</v>
      </c>
      <c r="L34" s="92">
        <f t="shared" si="0"/>
        <v>0</v>
      </c>
      <c r="M34" s="91"/>
      <c r="N34" s="84">
        <f t="shared" si="1"/>
        <v>0</v>
      </c>
      <c r="O34" s="85" t="str">
        <f t="shared" si="5"/>
        <v/>
      </c>
      <c r="Q34" s="95"/>
      <c r="R34" s="87"/>
      <c r="S34" s="88"/>
      <c r="T34" s="87"/>
      <c r="U34" s="89"/>
      <c r="V34" s="90"/>
      <c r="W34" s="69"/>
      <c r="X34" s="95"/>
      <c r="Y34" s="87"/>
      <c r="Z34" s="88"/>
      <c r="AA34" s="87"/>
      <c r="AB34" s="89"/>
      <c r="AC34" s="90"/>
      <c r="AD34" s="69"/>
      <c r="AE34" s="95"/>
      <c r="AF34" s="87"/>
      <c r="AG34" s="88"/>
      <c r="AH34" s="87"/>
      <c r="AI34" s="89"/>
      <c r="AJ34" s="90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</row>
    <row r="35" spans="1:60" s="94" customFormat="1" x14ac:dyDescent="0.25">
      <c r="A35" s="3"/>
      <c r="B35" s="271" t="str">
        <f>IF(Rates!D134='GS&lt;50 BRT'!$A$23,Rates!B134," ")</f>
        <v>Rate Rider for gain on Sale of Property</v>
      </c>
      <c r="C35" s="79"/>
      <c r="D35" s="271" t="str">
        <f>IF(Rates!D134='GS&lt;50 BRT'!$A$23,Rates!E134," ")</f>
        <v>kWh</v>
      </c>
      <c r="E35" s="79"/>
      <c r="F35" s="80">
        <f>IF(Rates!$J$1="BRT 2018",Rates!J134," ")</f>
        <v>0</v>
      </c>
      <c r="G35" s="81">
        <f t="shared" ref="G35" si="6">IF(D35="customer",1,IF(D35="kWh",$F$18,$F$19))</f>
        <v>2000</v>
      </c>
      <c r="H35" s="92">
        <f t="shared" ref="H35" si="7">G35*F35</f>
        <v>0</v>
      </c>
      <c r="I35" s="91"/>
      <c r="J35" s="235">
        <f>IF(Rates!$L$1="E+ 2019",Rates!L134," ")</f>
        <v>-2.4661231261194989E-4</v>
      </c>
      <c r="K35" s="97">
        <f t="shared" ref="K35" si="8">IF(D35="customer",1,IF(D35="kWh",$F$18,$F$19))</f>
        <v>2000</v>
      </c>
      <c r="L35" s="92">
        <f t="shared" ref="L35" si="9">K35*J35</f>
        <v>-0.49322462522389976</v>
      </c>
      <c r="M35" s="91"/>
      <c r="N35" s="84">
        <f t="shared" ref="N35" si="10">L35-H35</f>
        <v>-0.49322462522389976</v>
      </c>
      <c r="O35" s="85" t="str">
        <f t="shared" ref="O35" si="11">IF(OR(H35=0,L35=0),"",(N35/H35))</f>
        <v/>
      </c>
      <c r="Q35" s="98"/>
      <c r="R35" s="87"/>
      <c r="S35" s="88"/>
      <c r="T35" s="87"/>
      <c r="U35" s="89"/>
      <c r="V35" s="90"/>
      <c r="W35" s="69"/>
      <c r="X35" s="98"/>
      <c r="Y35" s="87"/>
      <c r="Z35" s="88"/>
      <c r="AA35" s="87"/>
      <c r="AB35" s="89"/>
      <c r="AC35" s="90"/>
      <c r="AD35" s="69"/>
      <c r="AE35" s="98"/>
      <c r="AF35" s="87"/>
      <c r="AG35" s="88"/>
      <c r="AH35" s="87"/>
      <c r="AI35" s="89"/>
      <c r="AJ35" s="90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</row>
    <row r="36" spans="1:60" s="94" customFormat="1" x14ac:dyDescent="0.25">
      <c r="A36" s="3"/>
      <c r="B36" s="109" t="s">
        <v>64</v>
      </c>
      <c r="C36" s="110"/>
      <c r="D36" s="110"/>
      <c r="E36" s="110"/>
      <c r="F36" s="111"/>
      <c r="G36" s="112"/>
      <c r="H36" s="113">
        <f>SUM(H23:H35)</f>
        <v>57.69</v>
      </c>
      <c r="I36" s="91"/>
      <c r="J36" s="115"/>
      <c r="K36" s="116"/>
      <c r="L36" s="113">
        <f>SUM(L23:L35)</f>
        <v>47.118888636543886</v>
      </c>
      <c r="M36" s="91"/>
      <c r="N36" s="117">
        <f t="shared" si="1"/>
        <v>-10.571111363456112</v>
      </c>
      <c r="O36" s="118">
        <f>IF(OR(H36=0, L36=0),"",(N36/H36))</f>
        <v>-0.18323992656363516</v>
      </c>
      <c r="Q36" s="119"/>
      <c r="R36" s="120"/>
      <c r="S36" s="88"/>
      <c r="T36" s="87"/>
      <c r="U36" s="121"/>
      <c r="V36" s="122"/>
      <c r="W36" s="69"/>
      <c r="X36" s="119"/>
      <c r="Y36" s="120"/>
      <c r="Z36" s="88"/>
      <c r="AA36" s="87"/>
      <c r="AB36" s="121"/>
      <c r="AC36" s="122"/>
      <c r="AD36" s="69"/>
      <c r="AE36" s="119"/>
      <c r="AF36" s="120"/>
      <c r="AG36" s="88"/>
      <c r="AH36" s="87"/>
      <c r="AI36" s="121"/>
      <c r="AJ36" s="122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</row>
    <row r="37" spans="1:60" s="94" customFormat="1" x14ac:dyDescent="0.25">
      <c r="A37" s="5" t="s">
        <v>18</v>
      </c>
      <c r="B37" s="271" t="str">
        <f>IF(Rates!D135='GS&lt;50 BRT'!$A$37,Rates!B135," ")</f>
        <v>Low Voltage Service Rate</v>
      </c>
      <c r="C37" s="79"/>
      <c r="D37" s="271" t="str">
        <f>IF(Rates!D135='GS&lt;50 BRT'!$A$37,Rates!E135," ")</f>
        <v>kWh</v>
      </c>
      <c r="E37" s="79"/>
      <c r="F37" s="235">
        <f>IF(Rates!$J$1="BRT 2018",Rates!J135," ")</f>
        <v>2.3999999999999998E-3</v>
      </c>
      <c r="G37" s="81">
        <f t="shared" ref="G37" si="12">IF(D37="customer",1,IF(D37="kWh",$F$18,$F$19))</f>
        <v>2000</v>
      </c>
      <c r="H37" s="92">
        <f t="shared" ref="H37:H42" si="13">G37*F37</f>
        <v>4.8</v>
      </c>
      <c r="I37" s="87"/>
      <c r="J37" s="235">
        <f>IF(Rates!$L$1="E+ 2019",Rates!L135," ")</f>
        <v>4.0000000000000002E-4</v>
      </c>
      <c r="K37" s="97">
        <f t="shared" ref="K37:K45" si="14">IF(D37="customer",1,IF(D37="kWh",$F$18,$F$19))</f>
        <v>2000</v>
      </c>
      <c r="L37" s="92">
        <f t="shared" ref="L37:L44" si="15">K37*J37</f>
        <v>0.8</v>
      </c>
      <c r="M37" s="87"/>
      <c r="N37" s="123">
        <f t="shared" si="1"/>
        <v>-4</v>
      </c>
      <c r="O37" s="93">
        <f t="shared" ref="O37:O44" si="16">IF(OR(H37=0,L37=0),"",(N37/H37))</f>
        <v>-0.83333333333333337</v>
      </c>
      <c r="Q37" s="119"/>
      <c r="R37" s="87"/>
      <c r="S37" s="88"/>
      <c r="T37" s="87"/>
      <c r="U37" s="89"/>
      <c r="V37" s="90"/>
      <c r="W37" s="69"/>
      <c r="X37" s="119"/>
      <c r="Y37" s="87"/>
      <c r="Z37" s="88"/>
      <c r="AA37" s="87"/>
      <c r="AB37" s="89"/>
      <c r="AC37" s="90"/>
      <c r="AD37" s="69"/>
      <c r="AE37" s="119"/>
      <c r="AF37" s="87"/>
      <c r="AG37" s="88"/>
      <c r="AH37" s="87"/>
      <c r="AI37" s="89"/>
      <c r="AJ37" s="90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</row>
    <row r="38" spans="1:60" x14ac:dyDescent="0.25">
      <c r="A38" s="1"/>
      <c r="B38" s="271" t="s">
        <v>5</v>
      </c>
      <c r="C38" s="79"/>
      <c r="D38" s="271" t="s">
        <v>13</v>
      </c>
      <c r="E38" s="79"/>
      <c r="F38" s="275">
        <f>IF(ISBLANK($D16)=TRUE, 0, IF($D16="TOU", 0.65*$F56+0.17*$F57+0.18*$F58, IF(AND($D16="non-TOU", G60&gt;0), $F60,$F59)))</f>
        <v>8.2160000000000011E-2</v>
      </c>
      <c r="G38" s="125">
        <f>$F18*(1+$F69)-$F18</f>
        <v>99</v>
      </c>
      <c r="H38" s="126">
        <f t="shared" si="13"/>
        <v>8.1338400000000011</v>
      </c>
      <c r="I38" s="83"/>
      <c r="J38" s="275">
        <f>IF(ISBLANK($D16)=TRUE, 0, IF($D16="TOU", 0.65*$F56+0.17*$F57+0.18*$F58, IF(AND($D16="non-TOU", K60&gt;0), $F60,$F59)))</f>
        <v>8.2160000000000011E-2</v>
      </c>
      <c r="K38" s="125">
        <f>$F18*(1+$J69)-$F18</f>
        <v>61.369299888053774</v>
      </c>
      <c r="L38" s="126">
        <f t="shared" si="15"/>
        <v>5.0421016788024984</v>
      </c>
      <c r="M38" s="91"/>
      <c r="N38" s="123">
        <f t="shared" si="1"/>
        <v>-3.0917383211975027</v>
      </c>
      <c r="O38" s="93">
        <f t="shared" si="16"/>
        <v>-0.38010808193885082</v>
      </c>
      <c r="Q38" s="128"/>
      <c r="R38" s="129"/>
      <c r="S38" s="88"/>
      <c r="T38" s="87"/>
      <c r="U38" s="89"/>
      <c r="V38" s="90"/>
      <c r="W38" s="69"/>
      <c r="X38" s="128"/>
      <c r="Y38" s="129"/>
      <c r="Z38" s="88"/>
      <c r="AA38" s="87"/>
      <c r="AB38" s="89"/>
      <c r="AC38" s="90"/>
      <c r="AD38" s="69"/>
      <c r="AE38" s="128"/>
      <c r="AF38" s="129"/>
      <c r="AG38" s="88"/>
      <c r="AH38" s="87"/>
      <c r="AI38" s="89"/>
      <c r="AJ38" s="90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</row>
    <row r="39" spans="1:60" s="101" customFormat="1" x14ac:dyDescent="0.25">
      <c r="A39" s="130"/>
      <c r="B39" s="271" t="str">
        <f>IF(Rates!D136='GS&lt;50 BRT'!$A$37,Rates!B136," ")</f>
        <v>Rate Rider Other Fixed</v>
      </c>
      <c r="C39" s="79"/>
      <c r="D39" s="271" t="str">
        <f>IF(Rates!D136='GS&lt;50 BRT'!$A$37,Rates!E136," ")</f>
        <v>customer</v>
      </c>
      <c r="E39" s="79"/>
      <c r="F39" s="80">
        <f>IF(Rates!$J$1="BRT 2018",Rates!J136," ")</f>
        <v>0</v>
      </c>
      <c r="G39" s="81">
        <f t="shared" ref="G39:G45" si="17">IF(D39="customer",1,IF(D39="kWh",$F$18,$F$19))</f>
        <v>1</v>
      </c>
      <c r="H39" s="92">
        <f t="shared" si="13"/>
        <v>0</v>
      </c>
      <c r="I39" s="91"/>
      <c r="J39" s="235">
        <f>IF(Rates!$L$1="E+ 2019",Rates!L136," ")</f>
        <v>0</v>
      </c>
      <c r="K39" s="97">
        <f t="shared" si="14"/>
        <v>1</v>
      </c>
      <c r="L39" s="126">
        <f t="shared" si="15"/>
        <v>0</v>
      </c>
      <c r="M39" s="91"/>
      <c r="N39" s="123">
        <f t="shared" si="1"/>
        <v>0</v>
      </c>
      <c r="O39" s="93" t="str">
        <f t="shared" si="16"/>
        <v/>
      </c>
      <c r="Q39" s="102"/>
      <c r="R39" s="103"/>
      <c r="S39" s="104"/>
      <c r="T39" s="103"/>
      <c r="U39" s="105"/>
      <c r="V39" s="106"/>
      <c r="W39" s="107"/>
      <c r="X39" s="102"/>
      <c r="Y39" s="103"/>
      <c r="Z39" s="104"/>
      <c r="AA39" s="103"/>
      <c r="AB39" s="105"/>
      <c r="AC39" s="106"/>
      <c r="AD39" s="107"/>
      <c r="AE39" s="102"/>
      <c r="AF39" s="103"/>
      <c r="AG39" s="104"/>
      <c r="AH39" s="103"/>
      <c r="AI39" s="105"/>
      <c r="AJ39" s="106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</row>
    <row r="40" spans="1:60" s="101" customFormat="1" x14ac:dyDescent="0.25">
      <c r="A40" s="130"/>
      <c r="B40" s="271" t="str">
        <f>IF(Rates!D137='GS&lt;50 BRT'!$A$37,Rates!B137," ")</f>
        <v>Rate Rider for Smart Metering Entity Charge - effective until October 31, 2018</v>
      </c>
      <c r="C40" s="79"/>
      <c r="D40" s="271" t="str">
        <f>IF(Rates!D137='GS&lt;50 BRT'!$A$37,Rates!E137," ")</f>
        <v>customer</v>
      </c>
      <c r="E40" s="79"/>
      <c r="F40" s="80">
        <f>IF(Rates!$J$1="BRT 2018",Rates!J137," ")</f>
        <v>0.56999999999999995</v>
      </c>
      <c r="G40" s="81">
        <f t="shared" si="17"/>
        <v>1</v>
      </c>
      <c r="H40" s="92">
        <f t="shared" si="13"/>
        <v>0.56999999999999995</v>
      </c>
      <c r="I40" s="91"/>
      <c r="J40" s="235">
        <f>IF(Rates!$L$1="E+ 2019",Rates!L137," ")</f>
        <v>0.56999999999999995</v>
      </c>
      <c r="K40" s="97">
        <f t="shared" si="14"/>
        <v>1</v>
      </c>
      <c r="L40" s="126">
        <f t="shared" si="15"/>
        <v>0.56999999999999995</v>
      </c>
      <c r="M40" s="91"/>
      <c r="N40" s="123">
        <f t="shared" si="1"/>
        <v>0</v>
      </c>
      <c r="O40" s="93">
        <f>IF(OR(H40=0,L40=0),"",(N40/H40))</f>
        <v>0</v>
      </c>
      <c r="Q40" s="102"/>
      <c r="R40" s="103"/>
      <c r="S40" s="104"/>
      <c r="T40" s="103"/>
      <c r="U40" s="105"/>
      <c r="V40" s="106"/>
      <c r="W40" s="107"/>
      <c r="X40" s="102"/>
      <c r="Y40" s="103"/>
      <c r="Z40" s="104"/>
      <c r="AA40" s="103"/>
      <c r="AB40" s="105"/>
      <c r="AC40" s="106"/>
      <c r="AD40" s="107"/>
      <c r="AE40" s="102"/>
      <c r="AF40" s="103"/>
      <c r="AG40" s="104"/>
      <c r="AH40" s="103"/>
      <c r="AI40" s="105"/>
      <c r="AJ40" s="106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</row>
    <row r="41" spans="1:60" s="101" customFormat="1" x14ac:dyDescent="0.25">
      <c r="A41" s="130"/>
      <c r="B41" s="271" t="str">
        <f>IF(Rates!D138='GS&lt;50 BRT'!$A$37,Rates!B138," ")</f>
        <v>Rate Rider Other Volumetric</v>
      </c>
      <c r="C41" s="79"/>
      <c r="D41" s="271" t="str">
        <f>IF(Rates!D138='GS&lt;50 BRT'!$A$37,Rates!E138," ")</f>
        <v>kWh</v>
      </c>
      <c r="E41" s="79"/>
      <c r="F41" s="80">
        <f>IF(Rates!$J$1="BRT 2018",Rates!J138," ")</f>
        <v>0</v>
      </c>
      <c r="G41" s="81">
        <f t="shared" si="17"/>
        <v>2000</v>
      </c>
      <c r="H41" s="92">
        <f t="shared" si="13"/>
        <v>0</v>
      </c>
      <c r="I41" s="91"/>
      <c r="J41" s="235">
        <f>IF(Rates!$L$1="E+ 2019",Rates!L138," ")</f>
        <v>5.0740010961371359E-4</v>
      </c>
      <c r="K41" s="97">
        <f t="shared" si="14"/>
        <v>2000</v>
      </c>
      <c r="L41" s="126">
        <f t="shared" si="15"/>
        <v>1.0148002192274272</v>
      </c>
      <c r="M41" s="91"/>
      <c r="N41" s="123">
        <f t="shared" si="1"/>
        <v>1.0148002192274272</v>
      </c>
      <c r="O41" s="93" t="str">
        <f t="shared" si="16"/>
        <v/>
      </c>
      <c r="Q41" s="102"/>
      <c r="R41" s="103"/>
      <c r="S41" s="104"/>
      <c r="T41" s="103"/>
      <c r="U41" s="105"/>
      <c r="V41" s="106"/>
      <c r="W41" s="107"/>
      <c r="X41" s="102"/>
      <c r="Y41" s="103"/>
      <c r="Z41" s="104"/>
      <c r="AA41" s="103"/>
      <c r="AB41" s="105"/>
      <c r="AC41" s="106"/>
      <c r="AD41" s="107"/>
      <c r="AE41" s="102"/>
      <c r="AF41" s="103"/>
      <c r="AG41" s="104"/>
      <c r="AH41" s="103"/>
      <c r="AI41" s="105"/>
      <c r="AJ41" s="106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</row>
    <row r="42" spans="1:60" s="101" customFormat="1" x14ac:dyDescent="0.25">
      <c r="A42" s="130"/>
      <c r="B42" s="271" t="str">
        <f>IF(Rates!D139='GS&lt;50 BRT'!$A$37,Rates!B139," ")</f>
        <v xml:space="preserve">Rate Rider for Disposition of Deferral/Variance Accounts </v>
      </c>
      <c r="C42" s="79"/>
      <c r="D42" s="271" t="str">
        <f>IF(Rates!D139='GS&lt;50 BRT'!$A$37,Rates!E139," ")</f>
        <v>kWh</v>
      </c>
      <c r="E42" s="79"/>
      <c r="F42" s="337">
        <f>IF(Rates!$J$1="BRT 2018",Rates!J139," ")</f>
        <v>-6.3844404687474557E-3</v>
      </c>
      <c r="G42" s="81">
        <f t="shared" si="17"/>
        <v>2000</v>
      </c>
      <c r="H42" s="92">
        <f t="shared" si="13"/>
        <v>-12.768880937494911</v>
      </c>
      <c r="I42" s="91"/>
      <c r="J42" s="337">
        <f>IF(Rates!$L$1="E+ 2019",Rates!L139," ")</f>
        <v>-1.6762774266901727E-3</v>
      </c>
      <c r="K42" s="97">
        <f t="shared" si="14"/>
        <v>2000</v>
      </c>
      <c r="L42" s="92">
        <f t="shared" si="15"/>
        <v>-3.3525548533803455</v>
      </c>
      <c r="M42" s="91"/>
      <c r="N42" s="123">
        <f t="shared" si="1"/>
        <v>9.4163260841145657</v>
      </c>
      <c r="O42" s="93">
        <f t="shared" si="16"/>
        <v>-0.73744333040683252</v>
      </c>
      <c r="Q42" s="102"/>
      <c r="R42" s="103"/>
      <c r="S42" s="104"/>
      <c r="T42" s="103"/>
      <c r="U42" s="105"/>
      <c r="V42" s="106"/>
      <c r="W42" s="107"/>
      <c r="X42" s="102"/>
      <c r="Y42" s="103"/>
      <c r="Z42" s="104"/>
      <c r="AA42" s="103"/>
      <c r="AB42" s="105"/>
      <c r="AC42" s="106"/>
      <c r="AD42" s="107"/>
      <c r="AE42" s="102"/>
      <c r="AF42" s="103"/>
      <c r="AG42" s="104"/>
      <c r="AH42" s="103"/>
      <c r="AI42" s="105"/>
      <c r="AJ42" s="106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</row>
    <row r="43" spans="1:60" s="101" customFormat="1" x14ac:dyDescent="0.25">
      <c r="A43" s="130"/>
      <c r="B43" s="271" t="str">
        <f>IF(Rates!D140='GS&lt;50 BRT'!$A$37,Rates!B140," ")</f>
        <v>Rate Rider for Disposition of Deferral/Variance Accounts Non-WMP Customers</v>
      </c>
      <c r="C43" s="79"/>
      <c r="D43" s="271" t="str">
        <f>IF(Rates!D140='GS&lt;50 BRT'!$A$37,Rates!E140," ")</f>
        <v>kWh</v>
      </c>
      <c r="E43" s="79"/>
      <c r="F43" s="80">
        <f>IF(Rates!$J$1="BRT 2018",Rates!J140," ")</f>
        <v>0</v>
      </c>
      <c r="G43" s="81">
        <f t="shared" si="17"/>
        <v>2000</v>
      </c>
      <c r="H43" s="92"/>
      <c r="I43" s="91"/>
      <c r="J43" s="235">
        <f>IF(Rates!$L$1="E+ 2019",Rates!L140," ")</f>
        <v>0</v>
      </c>
      <c r="K43" s="97">
        <f t="shared" si="14"/>
        <v>2000</v>
      </c>
      <c r="L43" s="92">
        <f t="shared" si="15"/>
        <v>0</v>
      </c>
      <c r="M43" s="91"/>
      <c r="N43" s="123">
        <f t="shared" si="1"/>
        <v>0</v>
      </c>
      <c r="O43" s="93" t="str">
        <f t="shared" si="16"/>
        <v/>
      </c>
      <c r="Q43" s="102"/>
      <c r="R43" s="103"/>
      <c r="S43" s="104"/>
      <c r="T43" s="103"/>
      <c r="U43" s="105"/>
      <c r="V43" s="106"/>
      <c r="W43" s="107"/>
      <c r="X43" s="102"/>
      <c r="Y43" s="103"/>
      <c r="Z43" s="104"/>
      <c r="AA43" s="103"/>
      <c r="AB43" s="105"/>
      <c r="AC43" s="106"/>
      <c r="AD43" s="107"/>
      <c r="AE43" s="102"/>
      <c r="AF43" s="103"/>
      <c r="AG43" s="104"/>
      <c r="AH43" s="103"/>
      <c r="AI43" s="105"/>
      <c r="AJ43" s="106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</row>
    <row r="44" spans="1:60" x14ac:dyDescent="0.25">
      <c r="A44" s="1"/>
      <c r="B44" s="271" t="str">
        <f>IF(Rates!D141='GS&lt;50 BRT'!$A$37,Rates!B141," ")</f>
        <v>Rate Rider for Disposition of GA DV</v>
      </c>
      <c r="C44" s="79"/>
      <c r="D44" s="271" t="str">
        <f>IF(Rates!D141='GS&lt;50 BRT'!$A$37,Rates!E141," ")</f>
        <v>kWh</v>
      </c>
      <c r="E44" s="79"/>
      <c r="F44" s="235">
        <f>IF(Rates!$J$1="BRT 2018",Rates!J141," ")</f>
        <v>1.4200000000000001E-2</v>
      </c>
      <c r="G44" s="81">
        <f t="shared" si="17"/>
        <v>2000</v>
      </c>
      <c r="H44" s="126">
        <f>G44*F44</f>
        <v>28.400000000000002</v>
      </c>
      <c r="I44" s="83"/>
      <c r="J44" s="235">
        <f>IF(Rates!$L$1="E+ 2019",Rates!L141," ")</f>
        <v>3.8449181889326276E-4</v>
      </c>
      <c r="K44" s="97">
        <f t="shared" si="14"/>
        <v>2000</v>
      </c>
      <c r="L44" s="126">
        <f t="shared" si="15"/>
        <v>0.76898363778652556</v>
      </c>
      <c r="M44" s="91"/>
      <c r="N44" s="123">
        <f t="shared" si="1"/>
        <v>-27.631016362213476</v>
      </c>
      <c r="O44" s="93">
        <f t="shared" si="16"/>
        <v>-0.97292311134554488</v>
      </c>
      <c r="Q44" s="131"/>
      <c r="R44" s="87"/>
      <c r="S44" s="88"/>
      <c r="T44" s="87"/>
      <c r="U44" s="89"/>
      <c r="V44" s="90"/>
      <c r="W44" s="69"/>
      <c r="X44" s="131"/>
      <c r="Y44" s="87"/>
      <c r="Z44" s="88"/>
      <c r="AA44" s="87"/>
      <c r="AB44" s="89"/>
      <c r="AC44" s="90"/>
      <c r="AD44" s="69"/>
      <c r="AE44" s="131"/>
      <c r="AF44" s="87"/>
      <c r="AG44" s="88"/>
      <c r="AH44" s="87"/>
      <c r="AI44" s="89"/>
      <c r="AJ44" s="90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</row>
    <row r="45" spans="1:60" x14ac:dyDescent="0.25">
      <c r="A45" s="1"/>
      <c r="B45" s="271" t="str">
        <f>IF(Rates!D142='GS&lt;50 BRT'!$A$37,Rates!B142," ")</f>
        <v>Rate Rider for Disposition of Capacity Based Recovery Account (2018) - Applicable only for Class B Customers</v>
      </c>
      <c r="C45" s="79"/>
      <c r="D45" s="271" t="str">
        <f>IF(Rates!D142='GS&lt;50 BRT'!$A$37,Rates!E142," ")</f>
        <v>kWh</v>
      </c>
      <c r="E45" s="79"/>
      <c r="F45" s="80">
        <f>IF(Rates!$J$1="BRT 2018",Rates!J142," ")</f>
        <v>0</v>
      </c>
      <c r="G45" s="81">
        <f t="shared" si="17"/>
        <v>2000</v>
      </c>
      <c r="H45" s="126">
        <f>G45*F45</f>
        <v>0</v>
      </c>
      <c r="I45" s="83"/>
      <c r="J45" s="235">
        <f>IF(Rates!$L$1="E+ 2019",Rates!L142," ")</f>
        <v>4.9568533837617705E-6</v>
      </c>
      <c r="K45" s="97">
        <f t="shared" si="14"/>
        <v>2000</v>
      </c>
      <c r="L45" s="126">
        <f t="shared" ref="L45" si="18">K45*J45</f>
        <v>9.9137067675235408E-3</v>
      </c>
      <c r="M45" s="91"/>
      <c r="N45" s="123">
        <f t="shared" ref="N45" si="19">L45-H45</f>
        <v>9.9137067675235408E-3</v>
      </c>
      <c r="O45" s="93" t="str">
        <f t="shared" ref="O45" si="20">IF(OR(H45=0,L45=0),"",(N45/H45))</f>
        <v/>
      </c>
      <c r="Q45" s="131"/>
      <c r="R45" s="87"/>
      <c r="S45" s="88"/>
      <c r="T45" s="87"/>
      <c r="U45" s="89"/>
      <c r="V45" s="90"/>
      <c r="W45" s="69"/>
      <c r="X45" s="131"/>
      <c r="Y45" s="87"/>
      <c r="Z45" s="88"/>
      <c r="AA45" s="87"/>
      <c r="AB45" s="89"/>
      <c r="AC45" s="90"/>
      <c r="AD45" s="69"/>
      <c r="AE45" s="131"/>
      <c r="AF45" s="87"/>
      <c r="AG45" s="88"/>
      <c r="AH45" s="87"/>
      <c r="AI45" s="89"/>
      <c r="AJ45" s="90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</row>
    <row r="46" spans="1:60" hidden="1" x14ac:dyDescent="0.25">
      <c r="A46" s="1"/>
      <c r="B46" s="271"/>
      <c r="C46" s="79"/>
      <c r="D46" s="271"/>
      <c r="E46" s="79"/>
      <c r="F46" s="80"/>
      <c r="G46" s="81"/>
      <c r="H46" s="126"/>
      <c r="I46" s="83"/>
      <c r="J46" s="337"/>
      <c r="K46" s="97"/>
      <c r="L46" s="126"/>
      <c r="M46" s="91"/>
      <c r="N46" s="123"/>
      <c r="O46" s="93"/>
      <c r="Q46" s="131"/>
      <c r="R46" s="87"/>
      <c r="S46" s="88"/>
      <c r="T46" s="87"/>
      <c r="U46" s="89"/>
      <c r="V46" s="90"/>
      <c r="W46" s="69"/>
      <c r="X46" s="131"/>
      <c r="Y46" s="87"/>
      <c r="Z46" s="88"/>
      <c r="AA46" s="87"/>
      <c r="AB46" s="89"/>
      <c r="AC46" s="90"/>
      <c r="AD46" s="69"/>
      <c r="AE46" s="131"/>
      <c r="AF46" s="87"/>
      <c r="AG46" s="88"/>
      <c r="AH46" s="87"/>
      <c r="AI46" s="89"/>
      <c r="AJ46" s="90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</row>
    <row r="47" spans="1:60" x14ac:dyDescent="0.25">
      <c r="A47" s="1"/>
      <c r="B47" s="132" t="s">
        <v>80</v>
      </c>
      <c r="C47" s="133"/>
      <c r="D47" s="133"/>
      <c r="E47" s="133"/>
      <c r="F47" s="134"/>
      <c r="G47" s="135"/>
      <c r="H47" s="136">
        <f>SUM(H37:H43)+H36+H45+H46</f>
        <v>58.424959062505089</v>
      </c>
      <c r="I47" s="91"/>
      <c r="J47" s="135"/>
      <c r="K47" s="137"/>
      <c r="L47" s="136">
        <f>SUM(L37:L43)+L36+L45+L46</f>
        <v>51.203149387960984</v>
      </c>
      <c r="M47" s="91"/>
      <c r="N47" s="117">
        <f>L47-H47</f>
        <v>-7.2218096745441045</v>
      </c>
      <c r="O47" s="138">
        <f>IF(OR(H47=0,L47=0),"",(N47/H47))</f>
        <v>-0.1236082967010376</v>
      </c>
      <c r="Q47" s="87"/>
      <c r="R47" s="87"/>
      <c r="S47" s="121"/>
      <c r="T47" s="87"/>
      <c r="U47" s="121"/>
      <c r="V47" s="139"/>
      <c r="W47" s="69"/>
      <c r="X47" s="87"/>
      <c r="Y47" s="87"/>
      <c r="Z47" s="121"/>
      <c r="AA47" s="87"/>
      <c r="AB47" s="121"/>
      <c r="AC47" s="139"/>
      <c r="AD47" s="69"/>
      <c r="AE47" s="87"/>
      <c r="AF47" s="87"/>
      <c r="AG47" s="121"/>
      <c r="AH47" s="87"/>
      <c r="AI47" s="121"/>
      <c r="AJ47" s="13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</row>
    <row r="48" spans="1:60" x14ac:dyDescent="0.25">
      <c r="A48" s="38" t="s">
        <v>16</v>
      </c>
      <c r="B48" s="271" t="str">
        <f>IF(Rates!D143='GS&lt;50 BRT'!$A$48,Rates!B143," ")</f>
        <v>Retail Transmission Rate – Network Service Rate</v>
      </c>
      <c r="C48" s="79"/>
      <c r="D48" s="271" t="str">
        <f>IF(Rates!D237='GS&lt;50 BRT'!$A$48,Rates!E143," ")</f>
        <v>kWh</v>
      </c>
      <c r="E48" s="91"/>
      <c r="F48" s="235">
        <f>IF(Rates!$J$1="BRT 2018",Rates!J143," ")</f>
        <v>5.5999999999999999E-3</v>
      </c>
      <c r="G48" s="140">
        <f>$F18*(1+$F69)</f>
        <v>2099</v>
      </c>
      <c r="H48" s="82">
        <f>G48*F48</f>
        <v>11.7544</v>
      </c>
      <c r="I48" s="91"/>
      <c r="J48" s="235">
        <f>IF(Rates!$L$1="E+ 2019",Rates!L143," ")</f>
        <v>4.9369576887273803E-3</v>
      </c>
      <c r="K48" s="140">
        <f>$F18*(1+$J$69)</f>
        <v>2061.3692998880538</v>
      </c>
      <c r="L48" s="82">
        <f>K48*J48</f>
        <v>10.176893014388904</v>
      </c>
      <c r="M48" s="91"/>
      <c r="N48" s="84">
        <f t="shared" si="1"/>
        <v>-1.5775069856110964</v>
      </c>
      <c r="O48" s="85">
        <f>IF(OR(H48=0,L48=0),"",(N48/H48))</f>
        <v>-0.13420565793329275</v>
      </c>
      <c r="Q48" s="98"/>
      <c r="R48" s="141"/>
      <c r="S48" s="294">
        <f>F48*K48</f>
        <v>11.5436680793731</v>
      </c>
      <c r="T48" s="87"/>
      <c r="U48" s="89"/>
      <c r="V48" s="90"/>
      <c r="W48" s="69"/>
      <c r="X48" s="98"/>
      <c r="Y48" s="141"/>
      <c r="Z48" s="88"/>
      <c r="AA48" s="87"/>
      <c r="AB48" s="89"/>
      <c r="AC48" s="90"/>
      <c r="AD48" s="69"/>
      <c r="AE48" s="98"/>
      <c r="AF48" s="141"/>
      <c r="AG48" s="88"/>
      <c r="AH48" s="87"/>
      <c r="AI48" s="89"/>
      <c r="AJ48" s="90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</row>
    <row r="49" spans="1:60" x14ac:dyDescent="0.25">
      <c r="A49" s="1"/>
      <c r="B49" s="271" t="str">
        <f>IF(Rates!D144='GS&lt;50 BRT'!$A$48,Rates!B144," ")</f>
        <v>Retail Transmission Rate – Line and Transformation Connection Service Rate</v>
      </c>
      <c r="C49" s="79"/>
      <c r="D49" s="271" t="str">
        <f>IF(Rates!D238='GS&lt;50 BRT'!$A$48,Rates!E144," ")</f>
        <v>kWh</v>
      </c>
      <c r="E49" s="91"/>
      <c r="F49" s="235">
        <f>IF(Rates!$J$1="BRT 2018",Rates!J144," ")</f>
        <v>2.8E-3</v>
      </c>
      <c r="G49" s="140">
        <f>$G48</f>
        <v>2099</v>
      </c>
      <c r="H49" s="82">
        <f>G49*F49</f>
        <v>5.8772000000000002</v>
      </c>
      <c r="I49" s="91"/>
      <c r="J49" s="235">
        <f>IF(Rates!$L$1="E+ 2019",Rates!L144," ")</f>
        <v>3.7651244729822726E-3</v>
      </c>
      <c r="K49" s="140">
        <f>$F$18*(1+$J$69)</f>
        <v>2061.3692998880538</v>
      </c>
      <c r="L49" s="82">
        <f>K49*J49</f>
        <v>7.761311998862845</v>
      </c>
      <c r="M49" s="91"/>
      <c r="N49" s="84">
        <f t="shared" si="1"/>
        <v>1.8841119988628448</v>
      </c>
      <c r="O49" s="85">
        <f>IF(OR(H49=0,L49=0),"",(N49/H49))</f>
        <v>0.32057986777085085</v>
      </c>
      <c r="Q49" s="98"/>
      <c r="R49" s="141"/>
      <c r="S49" s="295">
        <f>F49*K49</f>
        <v>5.7718340396865502</v>
      </c>
      <c r="T49" s="87"/>
      <c r="U49" s="89"/>
      <c r="V49" s="90"/>
      <c r="W49" s="69"/>
      <c r="X49" s="98"/>
      <c r="Y49" s="141"/>
      <c r="Z49" s="88"/>
      <c r="AA49" s="87"/>
      <c r="AB49" s="89"/>
      <c r="AC49" s="90"/>
      <c r="AD49" s="69"/>
      <c r="AE49" s="98"/>
      <c r="AF49" s="141"/>
      <c r="AG49" s="88"/>
      <c r="AH49" s="87"/>
      <c r="AI49" s="89"/>
      <c r="AJ49" s="90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</row>
    <row r="50" spans="1:60" x14ac:dyDescent="0.25">
      <c r="A50" s="1"/>
      <c r="B50" s="132" t="s">
        <v>81</v>
      </c>
      <c r="C50" s="110"/>
      <c r="D50" s="110"/>
      <c r="E50" s="110"/>
      <c r="F50" s="142"/>
      <c r="G50" s="135"/>
      <c r="H50" s="136">
        <f>SUM(H47:H49)</f>
        <v>76.056559062505087</v>
      </c>
      <c r="I50" s="277"/>
      <c r="J50" s="142"/>
      <c r="K50" s="145"/>
      <c r="L50" s="136">
        <f>SUM(L47:L49)</f>
        <v>69.141354401212737</v>
      </c>
      <c r="M50" s="277"/>
      <c r="N50" s="117">
        <f>L50-H50</f>
        <v>-6.9152046612923499</v>
      </c>
      <c r="O50" s="138">
        <f>IF(OR(H50=0,L50=0),"",(N50/H50))</f>
        <v>-9.0921871125004092E-2</v>
      </c>
      <c r="Q50" s="146"/>
      <c r="R50" s="146"/>
      <c r="S50" s="296">
        <f>S48+S49</f>
        <v>17.315502119059651</v>
      </c>
      <c r="T50" s="146"/>
      <c r="U50" s="121"/>
      <c r="V50" s="139"/>
      <c r="W50" s="69"/>
      <c r="X50" s="146"/>
      <c r="Y50" s="146"/>
      <c r="Z50" s="121"/>
      <c r="AA50" s="146"/>
      <c r="AB50" s="121"/>
      <c r="AC50" s="139"/>
      <c r="AD50" s="69"/>
      <c r="AE50" s="146"/>
      <c r="AF50" s="146"/>
      <c r="AG50" s="121"/>
      <c r="AH50" s="146"/>
      <c r="AI50" s="121"/>
      <c r="AJ50" s="13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</row>
    <row r="51" spans="1:60" x14ac:dyDescent="0.25">
      <c r="A51" s="4" t="s">
        <v>17</v>
      </c>
      <c r="B51" s="271" t="str">
        <f>IF(Rates!D8='GS&lt;50 BRT'!$A$51,Rates!B8," ")</f>
        <v>Standard Supply Service – Administrative Charge (if applicable)</v>
      </c>
      <c r="C51" s="79"/>
      <c r="D51" s="271" t="str">
        <f>IF(Rates!D8='GS&lt;50 BRT'!$A$51,Rates!E8," ")</f>
        <v>customer</v>
      </c>
      <c r="E51" s="79"/>
      <c r="F51" s="235">
        <f>IF(Rates!$J$1="BRT 2018",Rates!J8," ")</f>
        <v>0.25</v>
      </c>
      <c r="G51" s="81">
        <f t="shared" ref="G51" si="21">IF(D51="customer",1,IF(D51="kWh",$F$18,$F$19))</f>
        <v>1</v>
      </c>
      <c r="H51" s="148">
        <f t="shared" ref="H51:H60" si="22">G51*F51</f>
        <v>0.25</v>
      </c>
      <c r="I51" s="91"/>
      <c r="J51" s="80">
        <f>IF(Rates!$L$1="E+ 2019",Rates!L8," ")</f>
        <v>0.25</v>
      </c>
      <c r="K51" s="97">
        <f t="shared" ref="K51" si="23">IF(D51="customer",1,IF(D51="kWh",$F$18,$F$19))</f>
        <v>1</v>
      </c>
      <c r="L51" s="148">
        <f t="shared" ref="L51:L60" si="24">K51*J51</f>
        <v>0.25</v>
      </c>
      <c r="M51" s="91"/>
      <c r="N51" s="149">
        <f t="shared" si="1"/>
        <v>0</v>
      </c>
      <c r="O51" s="85">
        <f>IF(OR(H51=0,L51=0),"",(N51/H51))</f>
        <v>0</v>
      </c>
      <c r="Q51" s="150"/>
      <c r="R51" s="141"/>
      <c r="S51" s="151"/>
      <c r="T51" s="87"/>
      <c r="U51" s="89"/>
      <c r="V51" s="90"/>
      <c r="W51" s="69"/>
      <c r="X51" s="150"/>
      <c r="Y51" s="141"/>
      <c r="Z51" s="151"/>
      <c r="AA51" s="87"/>
      <c r="AB51" s="89"/>
      <c r="AC51" s="90"/>
      <c r="AD51" s="69"/>
      <c r="AE51" s="150"/>
      <c r="AF51" s="141"/>
      <c r="AG51" s="151"/>
      <c r="AH51" s="87"/>
      <c r="AI51" s="89"/>
      <c r="AJ51" s="90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</row>
    <row r="52" spans="1:60" x14ac:dyDescent="0.25">
      <c r="A52" s="1"/>
      <c r="B52" s="271" t="str">
        <f>IF(Rates!D9='GS&lt;50 BRT'!$A$51,Rates!B9," ")</f>
        <v xml:space="preserve">Wholesale Market Service Rate </v>
      </c>
      <c r="C52" s="79"/>
      <c r="D52" s="271" t="str">
        <f>IF(Rates!D9='GS&lt;50 BRT'!$A$51,Rates!E9," ")</f>
        <v>kWh</v>
      </c>
      <c r="E52" s="79"/>
      <c r="F52" s="235">
        <f>IF(Rates!$J$1="BRT 2018",Rates!J9," ")</f>
        <v>3.2000000000000002E-3</v>
      </c>
      <c r="G52" s="140">
        <f>G48</f>
        <v>2099</v>
      </c>
      <c r="H52" s="148">
        <f t="shared" si="22"/>
        <v>6.7168000000000001</v>
      </c>
      <c r="I52" s="91"/>
      <c r="J52" s="235">
        <f>IF(Rates!$L$1="E+ 2019",Rates!L9," ")</f>
        <v>3.2000000000000002E-3</v>
      </c>
      <c r="K52" s="140">
        <f t="shared" ref="K52:K54" si="25">$F$18*(1+$J$69)</f>
        <v>2061.3692998880538</v>
      </c>
      <c r="L52" s="148">
        <f t="shared" si="24"/>
        <v>6.5963817596417726</v>
      </c>
      <c r="M52" s="91"/>
      <c r="N52" s="84">
        <f t="shared" si="1"/>
        <v>-0.12041824035822746</v>
      </c>
      <c r="O52" s="85">
        <f t="shared" ref="O52:O66" si="26">IF(OR(H52=0,L52=0),"",(N52/H52))</f>
        <v>-1.79279181095503E-2</v>
      </c>
      <c r="Q52" s="150"/>
      <c r="R52" s="141"/>
      <c r="S52" s="151"/>
      <c r="T52" s="87"/>
      <c r="U52" s="89"/>
      <c r="V52" s="90"/>
      <c r="W52" s="69"/>
      <c r="X52" s="150"/>
      <c r="Y52" s="141"/>
      <c r="Z52" s="151"/>
      <c r="AA52" s="87"/>
      <c r="AB52" s="89"/>
      <c r="AC52" s="90"/>
      <c r="AD52" s="69"/>
      <c r="AE52" s="150"/>
      <c r="AF52" s="141"/>
      <c r="AG52" s="151"/>
      <c r="AH52" s="87"/>
      <c r="AI52" s="89"/>
      <c r="AJ52" s="90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</row>
    <row r="53" spans="1:60" x14ac:dyDescent="0.25">
      <c r="A53" s="1"/>
      <c r="B53" s="271" t="str">
        <f>IF(Rates!D10='GS&lt;50 BRT'!$A$51,Rates!B10," ")</f>
        <v>Capacity Based Rcovery(CBR) - Class B Customers</v>
      </c>
      <c r="C53" s="79"/>
      <c r="D53" s="271" t="str">
        <f>IF(Rates!D10='GS&lt;50 BRT'!$A$51,Rates!E10," ")</f>
        <v>kWh</v>
      </c>
      <c r="E53" s="79"/>
      <c r="F53" s="235">
        <f>IF(Rates!$J$1="BRT 2018",Rates!J10," ")</f>
        <v>4.0000000000000002E-4</v>
      </c>
      <c r="G53" s="140">
        <f>G48</f>
        <v>2099</v>
      </c>
      <c r="H53" s="148">
        <f t="shared" si="22"/>
        <v>0.83960000000000001</v>
      </c>
      <c r="I53" s="91"/>
      <c r="J53" s="235">
        <f>IF(Rates!$L$1="E+ 2019",Rates!L10," ")</f>
        <v>4.0000000000000002E-4</v>
      </c>
      <c r="K53" s="140">
        <f t="shared" si="25"/>
        <v>2061.3692998880538</v>
      </c>
      <c r="L53" s="148">
        <f t="shared" si="24"/>
        <v>0.82454771995522158</v>
      </c>
      <c r="M53" s="91"/>
      <c r="N53" s="84">
        <f t="shared" si="1"/>
        <v>-1.5052280044778432E-2</v>
      </c>
      <c r="O53" s="85">
        <f t="shared" si="26"/>
        <v>-1.79279181095503E-2</v>
      </c>
      <c r="Q53" s="150"/>
      <c r="R53" s="141"/>
      <c r="S53" s="151"/>
      <c r="T53" s="87"/>
      <c r="U53" s="89"/>
      <c r="V53" s="90"/>
      <c r="W53" s="69"/>
      <c r="X53" s="150"/>
      <c r="Y53" s="141"/>
      <c r="Z53" s="151"/>
      <c r="AA53" s="87"/>
      <c r="AB53" s="89"/>
      <c r="AC53" s="90"/>
      <c r="AD53" s="69"/>
      <c r="AE53" s="150"/>
      <c r="AF53" s="141"/>
      <c r="AG53" s="151"/>
      <c r="AH53" s="87"/>
      <c r="AI53" s="89"/>
      <c r="AJ53" s="90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</row>
    <row r="54" spans="1:60" x14ac:dyDescent="0.25">
      <c r="A54" s="1"/>
      <c r="B54" s="271" t="str">
        <f>IF(Rates!D11='GS&lt;50 BRT'!$A$51,Rates!B11," ")</f>
        <v xml:space="preserve">Rural Rate Protection Charge </v>
      </c>
      <c r="C54" s="79"/>
      <c r="D54" s="271" t="str">
        <f>IF(Rates!D11='GS&lt;50 BRT'!$A$51,Rates!E11," ")</f>
        <v>kWh</v>
      </c>
      <c r="E54" s="79"/>
      <c r="F54" s="235">
        <f>IF(Rates!$J$1="BRT 2018",Rates!J11," ")</f>
        <v>2.9999999999999997E-4</v>
      </c>
      <c r="G54" s="140">
        <f>G49</f>
        <v>2099</v>
      </c>
      <c r="H54" s="148">
        <f t="shared" si="22"/>
        <v>0.62969999999999993</v>
      </c>
      <c r="I54" s="91"/>
      <c r="J54" s="235">
        <f>IF(Rates!$L$1="E+ 2019",Rates!L11," ")</f>
        <v>2.9999999999999997E-4</v>
      </c>
      <c r="K54" s="140">
        <f t="shared" si="25"/>
        <v>2061.3692998880538</v>
      </c>
      <c r="L54" s="148">
        <f t="shared" si="24"/>
        <v>0.61841078996641607</v>
      </c>
      <c r="M54" s="91"/>
      <c r="N54" s="84">
        <f t="shared" si="1"/>
        <v>-1.1289210033583852E-2</v>
      </c>
      <c r="O54" s="85">
        <f t="shared" si="26"/>
        <v>-1.7927918109550346E-2</v>
      </c>
      <c r="Q54" s="153"/>
      <c r="R54" s="87"/>
      <c r="S54" s="151"/>
      <c r="T54" s="87"/>
      <c r="U54" s="89"/>
      <c r="V54" s="90"/>
      <c r="W54" s="69"/>
      <c r="X54" s="153"/>
      <c r="Y54" s="87"/>
      <c r="Z54" s="151"/>
      <c r="AA54" s="87"/>
      <c r="AB54" s="89"/>
      <c r="AC54" s="90"/>
      <c r="AD54" s="69"/>
      <c r="AE54" s="153"/>
      <c r="AF54" s="87"/>
      <c r="AG54" s="151"/>
      <c r="AH54" s="87"/>
      <c r="AI54" s="89"/>
      <c r="AJ54" s="90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</row>
    <row r="55" spans="1:60" x14ac:dyDescent="0.25">
      <c r="A55" s="1"/>
      <c r="B55" s="271" t="str">
        <f>IF(Rates!D12=$A$51,Rates!B12," ")</f>
        <v>Debt Retirement Charge</v>
      </c>
      <c r="C55" s="79"/>
      <c r="D55" s="271" t="str">
        <f>IF(Rates!D12='GS&lt;50 CND'!$A$51,Rates!E12," ")</f>
        <v>kWh</v>
      </c>
      <c r="E55" s="79"/>
      <c r="F55" s="235">
        <f>IF(Rates!$J$1="BRT 2018",Rates!J12," ")</f>
        <v>7.0000000000000001E-3</v>
      </c>
      <c r="G55" s="81">
        <f t="shared" ref="G55" si="27">IF(D55="customer",1,IF(D55="kWh",$F$18,$F$19))</f>
        <v>2000</v>
      </c>
      <c r="H55" s="148">
        <f t="shared" si="22"/>
        <v>14</v>
      </c>
      <c r="I55" s="91"/>
      <c r="J55" s="235">
        <f>IF(Rates!$J$1="BRT 2018",Rates!L12," ")</f>
        <v>7.0000000000000001E-3</v>
      </c>
      <c r="K55" s="97">
        <f t="shared" ref="K55" si="28">IF(D55="customer",1,IF(D55="kWh",$F$18,$F$19))</f>
        <v>2000</v>
      </c>
      <c r="L55" s="148">
        <f t="shared" si="24"/>
        <v>14</v>
      </c>
      <c r="M55" s="91"/>
      <c r="N55" s="84">
        <f t="shared" si="1"/>
        <v>0</v>
      </c>
      <c r="O55" s="85">
        <f t="shared" si="26"/>
        <v>0</v>
      </c>
      <c r="Q55" s="153"/>
      <c r="R55" s="87"/>
      <c r="S55" s="151"/>
      <c r="T55" s="87"/>
      <c r="U55" s="89"/>
      <c r="V55" s="90"/>
      <c r="W55" s="69"/>
      <c r="X55" s="153"/>
      <c r="Y55" s="87"/>
      <c r="Z55" s="151"/>
      <c r="AA55" s="87"/>
      <c r="AB55" s="89"/>
      <c r="AC55" s="90"/>
      <c r="AD55" s="69"/>
      <c r="AE55" s="153"/>
      <c r="AF55" s="87"/>
      <c r="AG55" s="151"/>
      <c r="AH55" s="87"/>
      <c r="AI55" s="89"/>
      <c r="AJ55" s="90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</row>
    <row r="56" spans="1:60" x14ac:dyDescent="0.25">
      <c r="A56" s="6" t="s">
        <v>14</v>
      </c>
      <c r="B56" s="271" t="str">
        <f>IF(Rates!D2='GS&lt;50 BRT'!$A$56,Rates!B2," ")</f>
        <v>TOU - Off Peak</v>
      </c>
      <c r="C56" s="79"/>
      <c r="D56" s="271" t="str">
        <f>IF(Rates!D2='GS&lt;50 BRT'!$A$56,Rates!E2," ")</f>
        <v>kWh</v>
      </c>
      <c r="E56" s="79"/>
      <c r="F56" s="235">
        <f>IF(Rates!$J$1="BRT 2018",Rates!J2," ")</f>
        <v>6.5000000000000002E-2</v>
      </c>
      <c r="G56" s="154">
        <f>IF($D$16="TOU",0.65*$F$18,0)</f>
        <v>1300</v>
      </c>
      <c r="H56" s="148">
        <f t="shared" si="22"/>
        <v>84.5</v>
      </c>
      <c r="I56" s="91"/>
      <c r="J56" s="235">
        <f>IF(Rates!$L$1="E+ 2019",Rates!L2," ")</f>
        <v>6.5000000000000002E-2</v>
      </c>
      <c r="K56" s="154">
        <f>$G56</f>
        <v>1300</v>
      </c>
      <c r="L56" s="155">
        <f t="shared" si="24"/>
        <v>84.5</v>
      </c>
      <c r="M56" s="91"/>
      <c r="N56" s="84">
        <f t="shared" si="1"/>
        <v>0</v>
      </c>
      <c r="O56" s="156">
        <f t="shared" si="26"/>
        <v>0</v>
      </c>
      <c r="Q56" s="157"/>
      <c r="R56" s="158"/>
      <c r="S56" s="151"/>
      <c r="T56" s="87"/>
      <c r="U56" s="89"/>
      <c r="V56" s="90"/>
      <c r="W56" s="69"/>
      <c r="X56" s="157"/>
      <c r="Y56" s="158"/>
      <c r="Z56" s="151"/>
      <c r="AA56" s="87"/>
      <c r="AB56" s="89"/>
      <c r="AC56" s="90"/>
      <c r="AD56" s="69"/>
      <c r="AE56" s="157"/>
      <c r="AF56" s="158"/>
      <c r="AG56" s="151"/>
      <c r="AH56" s="87"/>
      <c r="AI56" s="89"/>
      <c r="AJ56" s="90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</row>
    <row r="57" spans="1:60" x14ac:dyDescent="0.25">
      <c r="A57" s="1"/>
      <c r="B57" s="271" t="str">
        <f>IF(Rates!D3='GS&lt;50 BRT'!$A$56,Rates!B3," ")</f>
        <v>TOU - Mid Peak</v>
      </c>
      <c r="C57" s="79"/>
      <c r="D57" s="271" t="str">
        <f>IF(Rates!D3='GS&lt;50 BRT'!$A$56,Rates!E3," ")</f>
        <v>kWh</v>
      </c>
      <c r="E57" s="79"/>
      <c r="F57" s="235">
        <f>IF(Rates!$J$1="BRT 2018",Rates!J3," ")</f>
        <v>9.5000000000000001E-2</v>
      </c>
      <c r="G57" s="154">
        <f>IF($D$16="TOU",0.17*$F$18,0)</f>
        <v>340</v>
      </c>
      <c r="H57" s="155">
        <f t="shared" si="22"/>
        <v>32.299999999999997</v>
      </c>
      <c r="I57" s="91"/>
      <c r="J57" s="235">
        <f>IF(Rates!$L$1="E+ 2019",Rates!L3," ")</f>
        <v>9.5000000000000001E-2</v>
      </c>
      <c r="K57" s="154">
        <f>$G57</f>
        <v>340</v>
      </c>
      <c r="L57" s="155">
        <f t="shared" si="24"/>
        <v>32.299999999999997</v>
      </c>
      <c r="M57" s="91"/>
      <c r="N57" s="84">
        <f t="shared" si="1"/>
        <v>0</v>
      </c>
      <c r="O57" s="156">
        <f t="shared" si="26"/>
        <v>0</v>
      </c>
      <c r="Q57" s="157"/>
      <c r="R57" s="158"/>
      <c r="S57" s="151"/>
      <c r="T57" s="87"/>
      <c r="U57" s="89"/>
      <c r="V57" s="90"/>
      <c r="W57" s="69"/>
      <c r="X57" s="157"/>
      <c r="Y57" s="158"/>
      <c r="Z57" s="151"/>
      <c r="AA57" s="87"/>
      <c r="AB57" s="89"/>
      <c r="AC57" s="90"/>
      <c r="AD57" s="69"/>
      <c r="AE57" s="157"/>
      <c r="AF57" s="158"/>
      <c r="AG57" s="151"/>
      <c r="AH57" s="87"/>
      <c r="AI57" s="89"/>
      <c r="AJ57" s="90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</row>
    <row r="58" spans="1:60" x14ac:dyDescent="0.25">
      <c r="A58" s="1"/>
      <c r="B58" s="271" t="str">
        <f>IF(Rates!D4='GS&lt;50 BRT'!$A$56,Rates!B4," ")</f>
        <v>TOU - On Peak</v>
      </c>
      <c r="C58" s="79"/>
      <c r="D58" s="271" t="str">
        <f>IF(Rates!D4='GS&lt;50 BRT'!$A$56,Rates!E4," ")</f>
        <v>kWh</v>
      </c>
      <c r="E58" s="79"/>
      <c r="F58" s="235">
        <f>IF(Rates!$J$1="BRT 2018",Rates!J4," ")</f>
        <v>0.13200000000000001</v>
      </c>
      <c r="G58" s="154">
        <f>IF($D$16="TOU",0.18*$F$18,0)</f>
        <v>360</v>
      </c>
      <c r="H58" s="155">
        <f t="shared" si="22"/>
        <v>47.52</v>
      </c>
      <c r="I58" s="278"/>
      <c r="J58" s="235">
        <f>IF(Rates!$L$1="E+ 2019",Rates!L4," ")</f>
        <v>0.13200000000000001</v>
      </c>
      <c r="K58" s="154">
        <f>$G58</f>
        <v>360</v>
      </c>
      <c r="L58" s="155">
        <f t="shared" si="24"/>
        <v>47.52</v>
      </c>
      <c r="M58" s="278"/>
      <c r="N58" s="84">
        <f t="shared" si="1"/>
        <v>0</v>
      </c>
      <c r="O58" s="156">
        <f t="shared" si="26"/>
        <v>0</v>
      </c>
      <c r="Q58" s="157"/>
      <c r="R58" s="158"/>
      <c r="S58" s="151"/>
      <c r="T58" s="87"/>
      <c r="U58" s="89"/>
      <c r="V58" s="90"/>
      <c r="W58" s="69"/>
      <c r="X58" s="157"/>
      <c r="Y58" s="158"/>
      <c r="Z58" s="151"/>
      <c r="AA58" s="87"/>
      <c r="AB58" s="89"/>
      <c r="AC58" s="90"/>
      <c r="AD58" s="69"/>
      <c r="AE58" s="157"/>
      <c r="AF58" s="158"/>
      <c r="AG58" s="151"/>
      <c r="AH58" s="87"/>
      <c r="AI58" s="89"/>
      <c r="AJ58" s="90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</row>
    <row r="59" spans="1:60" x14ac:dyDescent="0.25">
      <c r="A59" s="159"/>
      <c r="B59" s="271" t="str">
        <f>IF(Rates!D5='GS&lt;50 BRT'!$A$56,Rates!B5," ")</f>
        <v>Commodity</v>
      </c>
      <c r="C59" s="79"/>
      <c r="D59" s="271" t="str">
        <f>IF(Rates!D5='GS&lt;50 BRT'!$A$56,Rates!E5," ")</f>
        <v>kWh</v>
      </c>
      <c r="E59" s="161"/>
      <c r="F59" s="235">
        <f>IF(Rates!$J$1="BRT 2018",Rates!J5," ")</f>
        <v>1.8855833333333332E-2</v>
      </c>
      <c r="G59" s="162">
        <f>IF($D$16="TOU", 0,$F$18)</f>
        <v>0</v>
      </c>
      <c r="H59" s="155">
        <f t="shared" si="22"/>
        <v>0</v>
      </c>
      <c r="I59" s="278"/>
      <c r="J59" s="235">
        <f>IF(Rates!$L$1="E+ 2019",Rates!L5," ")</f>
        <v>1.8855833333333332E-2</v>
      </c>
      <c r="K59" s="162">
        <f>G59</f>
        <v>0</v>
      </c>
      <c r="L59" s="155">
        <f t="shared" si="24"/>
        <v>0</v>
      </c>
      <c r="M59" s="278"/>
      <c r="N59" s="164">
        <f t="shared" si="1"/>
        <v>0</v>
      </c>
      <c r="O59" s="156" t="str">
        <f t="shared" si="26"/>
        <v/>
      </c>
      <c r="Q59" s="157"/>
      <c r="R59" s="165"/>
      <c r="S59" s="151"/>
      <c r="T59" s="166"/>
      <c r="U59" s="89"/>
      <c r="V59" s="90"/>
      <c r="W59" s="69"/>
      <c r="X59" s="157"/>
      <c r="Y59" s="165"/>
      <c r="Z59" s="151"/>
      <c r="AA59" s="166"/>
      <c r="AB59" s="89"/>
      <c r="AC59" s="90"/>
      <c r="AD59" s="69"/>
      <c r="AE59" s="157"/>
      <c r="AF59" s="165"/>
      <c r="AG59" s="151"/>
      <c r="AH59" s="166"/>
      <c r="AI59" s="89"/>
      <c r="AJ59" s="90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</row>
    <row r="60" spans="1:60" x14ac:dyDescent="0.25">
      <c r="A60" s="159"/>
      <c r="B60" s="271" t="str">
        <f>IF(Rates!D6='GS&lt;50 BRT'!$A$56,Rates!B6," ")</f>
        <v>Global Adjustment</v>
      </c>
      <c r="C60" s="79"/>
      <c r="D60" s="271" t="str">
        <f>IF(Rates!D6='GS&lt;50 BRT'!$A$56,Rates!E6," ")</f>
        <v>kWh</v>
      </c>
      <c r="E60" s="161"/>
      <c r="F60" s="235">
        <f>IF(Rates!$J$1="BRT 2018",Rates!J6," ")</f>
        <v>0.10303000000000001</v>
      </c>
      <c r="G60" s="162">
        <f>IF($D$16="TOU", 0,$F$18)</f>
        <v>0</v>
      </c>
      <c r="H60" s="155">
        <f t="shared" si="22"/>
        <v>0</v>
      </c>
      <c r="I60" s="278"/>
      <c r="J60" s="235">
        <f>IF(Rates!$L$1="E+ 2019",Rates!L6," ")</f>
        <v>0.10303000000000001</v>
      </c>
      <c r="K60" s="162">
        <f>$G60</f>
        <v>0</v>
      </c>
      <c r="L60" s="155">
        <f t="shared" si="24"/>
        <v>0</v>
      </c>
      <c r="M60" s="278"/>
      <c r="N60" s="164">
        <f t="shared" si="1"/>
        <v>0</v>
      </c>
      <c r="O60" s="156" t="str">
        <f t="shared" si="26"/>
        <v/>
      </c>
      <c r="Q60" s="157"/>
      <c r="R60" s="165"/>
      <c r="S60" s="151"/>
      <c r="T60" s="166"/>
      <c r="U60" s="89"/>
      <c r="V60" s="90"/>
      <c r="W60" s="69"/>
      <c r="X60" s="157"/>
      <c r="Y60" s="165"/>
      <c r="Z60" s="151"/>
      <c r="AA60" s="166"/>
      <c r="AB60" s="89"/>
      <c r="AC60" s="90"/>
      <c r="AD60" s="69"/>
      <c r="AE60" s="157"/>
      <c r="AF60" s="165"/>
      <c r="AG60" s="151"/>
      <c r="AH60" s="166"/>
      <c r="AI60" s="89"/>
      <c r="AJ60" s="90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</row>
    <row r="61" spans="1:60" hidden="1" x14ac:dyDescent="0.25">
      <c r="A61" s="159"/>
      <c r="B61" s="167"/>
      <c r="C61" s="160"/>
      <c r="D61" s="160"/>
      <c r="E61" s="161"/>
      <c r="F61" s="147"/>
      <c r="G61" s="162"/>
      <c r="H61" s="155"/>
      <c r="I61" s="87"/>
      <c r="J61" s="169">
        <f t="shared" ref="J61" si="29">+F61</f>
        <v>0</v>
      </c>
      <c r="K61" s="168"/>
      <c r="L61" s="155"/>
      <c r="M61" s="87"/>
      <c r="N61" s="164">
        <f t="shared" si="1"/>
        <v>0</v>
      </c>
      <c r="O61" s="156" t="str">
        <f t="shared" si="26"/>
        <v/>
      </c>
      <c r="Q61" s="157"/>
      <c r="R61" s="165"/>
      <c r="S61" s="151"/>
      <c r="T61" s="166"/>
      <c r="U61" s="89"/>
      <c r="V61" s="90"/>
      <c r="W61" s="69"/>
      <c r="X61" s="157"/>
      <c r="Y61" s="165"/>
      <c r="Z61" s="151"/>
      <c r="AA61" s="166"/>
      <c r="AB61" s="89"/>
      <c r="AC61" s="90"/>
      <c r="AD61" s="69"/>
      <c r="AE61" s="157"/>
      <c r="AF61" s="165"/>
      <c r="AG61" s="151"/>
      <c r="AH61" s="166"/>
      <c r="AI61" s="89"/>
      <c r="AJ61" s="90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</row>
    <row r="62" spans="1:60" x14ac:dyDescent="0.25">
      <c r="A62" s="1"/>
      <c r="B62" s="170"/>
      <c r="C62" s="171"/>
      <c r="D62" s="171"/>
      <c r="E62" s="171"/>
      <c r="F62" s="387"/>
      <c r="G62" s="172"/>
      <c r="H62" s="388"/>
      <c r="I62" s="146"/>
      <c r="J62" s="387"/>
      <c r="K62" s="173"/>
      <c r="L62" s="388"/>
      <c r="M62" s="146"/>
      <c r="N62" s="394"/>
      <c r="O62" s="395"/>
      <c r="Q62" s="157"/>
      <c r="R62" s="120"/>
      <c r="S62" s="151"/>
      <c r="T62" s="87"/>
      <c r="U62" s="89"/>
      <c r="V62" s="174"/>
      <c r="W62" s="69"/>
      <c r="X62" s="157"/>
      <c r="Y62" s="120"/>
      <c r="Z62" s="151"/>
      <c r="AA62" s="87"/>
      <c r="AB62" s="89"/>
      <c r="AC62" s="174"/>
      <c r="AD62" s="69"/>
      <c r="AE62" s="157"/>
      <c r="AF62" s="120"/>
      <c r="AG62" s="151"/>
      <c r="AH62" s="87"/>
      <c r="AI62" s="89"/>
      <c r="AJ62" s="174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</row>
    <row r="63" spans="1:60" x14ac:dyDescent="0.25">
      <c r="A63" s="1"/>
      <c r="B63" s="175" t="s">
        <v>82</v>
      </c>
      <c r="C63" s="78"/>
      <c r="D63" s="78"/>
      <c r="E63" s="78"/>
      <c r="F63" s="176"/>
      <c r="G63" s="177"/>
      <c r="H63" s="179">
        <f>SUM(H51:H58,H50)</f>
        <v>262.81265906250508</v>
      </c>
      <c r="I63" s="187"/>
      <c r="J63" s="178"/>
      <c r="K63" s="178"/>
      <c r="L63" s="179">
        <f>SUM(L51:L58,L50)</f>
        <v>255.75069467077617</v>
      </c>
      <c r="M63" s="187"/>
      <c r="N63" s="179">
        <f>L63-H63</f>
        <v>-7.0619643917289068</v>
      </c>
      <c r="O63" s="180">
        <f t="shared" si="26"/>
        <v>-2.6870716261994634E-2</v>
      </c>
      <c r="Q63" s="181"/>
      <c r="R63" s="181"/>
      <c r="S63" s="121"/>
      <c r="T63" s="146"/>
      <c r="U63" s="89"/>
      <c r="V63" s="90"/>
      <c r="W63" s="69"/>
      <c r="X63" s="181"/>
      <c r="Y63" s="181"/>
      <c r="Z63" s="121"/>
      <c r="AA63" s="146"/>
      <c r="AB63" s="89"/>
      <c r="AC63" s="90"/>
      <c r="AD63" s="69"/>
      <c r="AE63" s="181"/>
      <c r="AF63" s="181"/>
      <c r="AG63" s="121"/>
      <c r="AH63" s="146"/>
      <c r="AI63" s="89"/>
      <c r="AJ63" s="90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</row>
    <row r="64" spans="1:60" x14ac:dyDescent="0.25">
      <c r="A64" s="1"/>
      <c r="B64" s="182" t="s">
        <v>9</v>
      </c>
      <c r="C64" s="78"/>
      <c r="D64" s="78"/>
      <c r="E64" s="78"/>
      <c r="F64" s="183">
        <v>0.13</v>
      </c>
      <c r="G64" s="87"/>
      <c r="H64" s="188">
        <f>$H$63*F64</f>
        <v>34.165645678125664</v>
      </c>
      <c r="I64" s="187"/>
      <c r="J64" s="185">
        <v>0.13</v>
      </c>
      <c r="K64" s="184"/>
      <c r="L64" s="186">
        <f>$L$63*J64</f>
        <v>33.247590307200902</v>
      </c>
      <c r="M64" s="187"/>
      <c r="N64" s="188">
        <f>L64-H64</f>
        <v>-0.91805537092476186</v>
      </c>
      <c r="O64" s="85">
        <f t="shared" si="26"/>
        <v>-2.6870716261994748E-2</v>
      </c>
      <c r="Q64" s="189"/>
      <c r="R64" s="187"/>
      <c r="S64" s="190"/>
      <c r="T64" s="187"/>
      <c r="U64" s="89"/>
      <c r="V64" s="90"/>
      <c r="W64" s="69"/>
      <c r="X64" s="189"/>
      <c r="Y64" s="187"/>
      <c r="Z64" s="190"/>
      <c r="AA64" s="187"/>
      <c r="AB64" s="89"/>
      <c r="AC64" s="90"/>
      <c r="AD64" s="69"/>
      <c r="AE64" s="189"/>
      <c r="AF64" s="187"/>
      <c r="AG64" s="190"/>
      <c r="AH64" s="187"/>
      <c r="AI64" s="89"/>
      <c r="AJ64" s="90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</row>
    <row r="65" spans="1:60" x14ac:dyDescent="0.25">
      <c r="A65" s="1"/>
      <c r="B65" s="182" t="s">
        <v>106</v>
      </c>
      <c r="C65" s="78"/>
      <c r="D65" s="78"/>
      <c r="E65" s="78"/>
      <c r="F65" s="183">
        <v>-0.05</v>
      </c>
      <c r="G65" s="87"/>
      <c r="H65" s="188">
        <f>$H$63*F65</f>
        <v>-13.140632953125255</v>
      </c>
      <c r="I65" s="187"/>
      <c r="J65" s="183">
        <v>-0.05</v>
      </c>
      <c r="K65" s="184"/>
      <c r="L65" s="186">
        <f>$L$63*J65</f>
        <v>-12.787534733538809</v>
      </c>
      <c r="M65" s="187"/>
      <c r="N65" s="188">
        <f>L65-H65</f>
        <v>0.35309821958644605</v>
      </c>
      <c r="O65" s="85">
        <f t="shared" si="26"/>
        <v>-2.6870716261994686E-2</v>
      </c>
      <c r="Q65" s="189"/>
      <c r="R65" s="187"/>
      <c r="S65" s="190"/>
      <c r="T65" s="187"/>
      <c r="U65" s="89"/>
      <c r="V65" s="90"/>
      <c r="W65" s="69"/>
      <c r="X65" s="189"/>
      <c r="Y65" s="187"/>
      <c r="Z65" s="190"/>
      <c r="AA65" s="187"/>
      <c r="AB65" s="89"/>
      <c r="AC65" s="90"/>
      <c r="AD65" s="69"/>
      <c r="AE65" s="189"/>
      <c r="AF65" s="187"/>
      <c r="AG65" s="190"/>
      <c r="AH65" s="187"/>
      <c r="AI65" s="89"/>
      <c r="AJ65" s="90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</row>
    <row r="66" spans="1:60" ht="15.75" thickBot="1" x14ac:dyDescent="0.3">
      <c r="A66" s="1"/>
      <c r="B66" s="191" t="s">
        <v>83</v>
      </c>
      <c r="C66" s="192"/>
      <c r="D66" s="192"/>
      <c r="E66" s="192"/>
      <c r="F66" s="193"/>
      <c r="G66" s="194"/>
      <c r="H66" s="389">
        <f>SUM(H63:H65)</f>
        <v>283.83767178750549</v>
      </c>
      <c r="I66" s="166"/>
      <c r="J66" s="195"/>
      <c r="K66" s="195"/>
      <c r="L66" s="389">
        <f>SUM(L63:L65)</f>
        <v>276.21075024443826</v>
      </c>
      <c r="M66" s="166"/>
      <c r="N66" s="196">
        <f>L66-H66</f>
        <v>-7.6269215430672261</v>
      </c>
      <c r="O66" s="197">
        <f t="shared" si="26"/>
        <v>-2.6870716261994658E-2</v>
      </c>
      <c r="Q66" s="187"/>
      <c r="R66" s="187"/>
      <c r="S66" s="190"/>
      <c r="T66" s="187"/>
      <c r="U66" s="89"/>
      <c r="V66" s="90"/>
      <c r="W66" s="69"/>
      <c r="X66" s="187"/>
      <c r="Y66" s="187"/>
      <c r="Z66" s="190"/>
      <c r="AA66" s="187"/>
      <c r="AB66" s="89"/>
      <c r="AC66" s="90"/>
      <c r="AD66" s="69"/>
      <c r="AE66" s="187"/>
      <c r="AF66" s="187"/>
      <c r="AG66" s="190"/>
      <c r="AH66" s="187"/>
      <c r="AI66" s="89"/>
      <c r="AJ66" s="90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</row>
    <row r="67" spans="1:60" ht="15.75" thickBot="1" x14ac:dyDescent="0.3">
      <c r="A67" s="159"/>
      <c r="B67" s="198" t="s">
        <v>67</v>
      </c>
      <c r="C67" s="199"/>
      <c r="D67" s="199"/>
      <c r="E67" s="199"/>
      <c r="F67" s="390"/>
      <c r="G67" s="391"/>
      <c r="H67" s="392"/>
      <c r="I67" s="91"/>
      <c r="J67" s="390"/>
      <c r="K67" s="393"/>
      <c r="L67" s="392"/>
      <c r="M67" s="91"/>
      <c r="N67" s="396"/>
      <c r="O67" s="397"/>
      <c r="Q67" s="157"/>
      <c r="R67" s="206"/>
      <c r="S67" s="151"/>
      <c r="T67" s="166"/>
      <c r="U67" s="207"/>
      <c r="V67" s="174"/>
      <c r="W67" s="69"/>
      <c r="X67" s="157"/>
      <c r="Y67" s="206"/>
      <c r="Z67" s="151"/>
      <c r="AA67" s="166"/>
      <c r="AB67" s="207"/>
      <c r="AC67" s="174"/>
      <c r="AD67" s="69"/>
      <c r="AE67" s="157"/>
      <c r="AF67" s="206"/>
      <c r="AG67" s="151"/>
      <c r="AH67" s="166"/>
      <c r="AI67" s="207"/>
      <c r="AJ67" s="174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</row>
    <row r="68" spans="1:6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67"/>
      <c r="M68" s="3"/>
      <c r="N68" s="1"/>
      <c r="O68" s="1"/>
      <c r="Q68" s="2"/>
      <c r="R68" s="2"/>
      <c r="S68" s="208"/>
      <c r="T68" s="2"/>
      <c r="U68" s="2"/>
      <c r="V68" s="2"/>
      <c r="W68" s="69"/>
      <c r="X68" s="2"/>
      <c r="Y68" s="2"/>
      <c r="Z68" s="208"/>
      <c r="AA68" s="2"/>
      <c r="AB68" s="2"/>
      <c r="AC68" s="2"/>
      <c r="AD68" s="69"/>
      <c r="AE68" s="2"/>
      <c r="AF68" s="2"/>
      <c r="AG68" s="208"/>
      <c r="AH68" s="2"/>
      <c r="AI68" s="2"/>
      <c r="AJ68" s="2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</row>
    <row r="69" spans="1:60" x14ac:dyDescent="0.25">
      <c r="A69" s="1"/>
      <c r="B69" s="65" t="s">
        <v>10</v>
      </c>
      <c r="C69" s="1"/>
      <c r="D69" s="1"/>
      <c r="E69" s="1"/>
      <c r="F69" s="209">
        <f>Rates!$S$2-1</f>
        <v>4.9500000000000099E-2</v>
      </c>
      <c r="G69" s="1"/>
      <c r="H69" s="1"/>
      <c r="I69" s="1"/>
      <c r="J69" s="209">
        <f>Rates!$T$2-1</f>
        <v>3.0684649944026976E-2</v>
      </c>
      <c r="K69" s="1"/>
      <c r="L69" s="1"/>
      <c r="M69" s="3"/>
      <c r="N69" s="1"/>
      <c r="O69" s="1"/>
      <c r="Q69" s="210"/>
      <c r="R69" s="2"/>
      <c r="S69" s="2"/>
      <c r="T69" s="2"/>
      <c r="U69" s="2"/>
      <c r="V69" s="2"/>
      <c r="W69" s="69"/>
      <c r="X69" s="210"/>
      <c r="Y69" s="2"/>
      <c r="Z69" s="2"/>
      <c r="AA69" s="2"/>
      <c r="AB69" s="2"/>
      <c r="AC69" s="2"/>
      <c r="AD69" s="69"/>
      <c r="AE69" s="210"/>
      <c r="AF69" s="2"/>
      <c r="AG69" s="2"/>
      <c r="AH69" s="2"/>
      <c r="AI69" s="2"/>
      <c r="AJ69" s="2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</row>
    <row r="70" spans="1:6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3"/>
      <c r="N70" s="1"/>
      <c r="O70" s="1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</row>
    <row r="71" spans="1:60" x14ac:dyDescent="0.25">
      <c r="A71" s="1" t="s">
        <v>84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3"/>
      <c r="N71" s="1"/>
      <c r="O71" s="1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</row>
    <row r="72" spans="1:60" x14ac:dyDescent="0.25">
      <c r="A72" s="1" t="s">
        <v>85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3"/>
      <c r="N72" s="1"/>
      <c r="O72" s="1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</row>
    <row r="73" spans="1:6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3"/>
      <c r="N73" s="1"/>
      <c r="O73" s="1"/>
    </row>
    <row r="74" spans="1:60" x14ac:dyDescent="0.25">
      <c r="A74" s="64" t="s">
        <v>86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3"/>
      <c r="N74" s="1"/>
      <c r="O74" s="1"/>
    </row>
    <row r="75" spans="1:60" x14ac:dyDescent="0.25">
      <c r="A75" s="64" t="s">
        <v>87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3"/>
      <c r="N75" s="1"/>
      <c r="O75" s="1"/>
    </row>
    <row r="76" spans="1:6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3"/>
      <c r="N76" s="1"/>
      <c r="O76" s="1"/>
    </row>
    <row r="77" spans="1:60" x14ac:dyDescent="0.25">
      <c r="A77" s="1" t="s">
        <v>88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3"/>
      <c r="N77" s="1"/>
      <c r="O77" s="1"/>
    </row>
    <row r="78" spans="1:60" x14ac:dyDescent="0.25">
      <c r="A78" s="1" t="s">
        <v>89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3"/>
      <c r="N78" s="1"/>
      <c r="O78" s="1"/>
    </row>
    <row r="79" spans="1:60" x14ac:dyDescent="0.25">
      <c r="A79" s="1" t="s">
        <v>90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3"/>
      <c r="N79" s="1"/>
      <c r="O79" s="1"/>
    </row>
    <row r="80" spans="1:60" x14ac:dyDescent="0.25">
      <c r="A80" s="1" t="s">
        <v>91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3"/>
      <c r="N80" s="1"/>
      <c r="O80" s="1"/>
    </row>
    <row r="81" spans="1:15" x14ac:dyDescent="0.25">
      <c r="A81" s="1" t="s">
        <v>92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3"/>
      <c r="N81" s="1"/>
      <c r="O81" s="1"/>
    </row>
    <row r="84" spans="1:15" x14ac:dyDescent="0.25">
      <c r="A84" t="s">
        <v>226</v>
      </c>
    </row>
    <row r="85" spans="1:15" x14ac:dyDescent="0.25">
      <c r="A85" t="s">
        <v>227</v>
      </c>
    </row>
  </sheetData>
  <sheetProtection selectLockedCells="1"/>
  <mergeCells count="21">
    <mergeCell ref="AI20:AJ20"/>
    <mergeCell ref="A3:K3"/>
    <mergeCell ref="B10:O10"/>
    <mergeCell ref="B11:O11"/>
    <mergeCell ref="D14:O14"/>
    <mergeCell ref="F20:H20"/>
    <mergeCell ref="J20:L20"/>
    <mergeCell ref="N20:O20"/>
    <mergeCell ref="Q20:S20"/>
    <mergeCell ref="U20:V20"/>
    <mergeCell ref="X20:Z20"/>
    <mergeCell ref="AB20:AC20"/>
    <mergeCell ref="AE20:AG20"/>
    <mergeCell ref="AI21:AI22"/>
    <mergeCell ref="AJ21:AJ22"/>
    <mergeCell ref="N21:N22"/>
    <mergeCell ref="O21:O22"/>
    <mergeCell ref="U21:U22"/>
    <mergeCell ref="V21:V22"/>
    <mergeCell ref="AB21:AB22"/>
    <mergeCell ref="AC21:AC22"/>
  </mergeCells>
  <dataValidations count="3">
    <dataValidation type="list" allowBlank="1" showInputMessage="1" showErrorMessage="1" sqref="E48:E49 E56:E62 E37:E46 E67 E51:E54 E23:E35">
      <formula1>#REF!</formula1>
    </dataValidation>
    <dataValidation type="list" allowBlank="1" showInputMessage="1" showErrorMessage="1" sqref="D16">
      <formula1>"TOU, non-TOU"</formula1>
    </dataValidation>
    <dataValidation type="list" allowBlank="1" showInputMessage="1" showErrorMessage="1" sqref="E55">
      <formula1>#REF!</formula1>
    </dataValidation>
  </dataValidations>
  <printOptions horizontalCentered="1"/>
  <pageMargins left="0.3" right="0.35" top="0.92" bottom="0.7" header="0.56999999999999995" footer="0.41"/>
  <pageSetup paperSize="256" scale="60" fitToHeight="0" orientation="landscape" r:id="rId1"/>
  <headerFoot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81" r:id="rId4" name="Option Button 1">
              <controlPr defaultSize="0" autoFill="0" autoLine="0" autoPict="0">
                <anchor moveWithCells="1">
                  <from>
                    <xdr:col>9</xdr:col>
                    <xdr:colOff>361950</xdr:colOff>
                    <xdr:row>82</xdr:row>
                    <xdr:rowOff>0</xdr:rowOff>
                  </from>
                  <to>
                    <xdr:col>17</xdr:col>
                    <xdr:colOff>171450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82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82</xdr:row>
                    <xdr:rowOff>0</xdr:rowOff>
                  </from>
                  <to>
                    <xdr:col>9</xdr:col>
                    <xdr:colOff>600075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83" r:id="rId6" name="Option Button 3">
              <controlPr defaultSize="0" autoFill="0" autoLine="0" autoPict="0">
                <anchor moveWithCells="1">
                  <from>
                    <xdr:col>9</xdr:col>
                    <xdr:colOff>361950</xdr:colOff>
                    <xdr:row>82</xdr:row>
                    <xdr:rowOff>0</xdr:rowOff>
                  </from>
                  <to>
                    <xdr:col>17</xdr:col>
                    <xdr:colOff>171450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84" r:id="rId7" name="Option Button 4">
              <controlPr defaultSize="0" autoFill="0" autoLine="0" autoPict="0">
                <anchor moveWithCells="1">
                  <from>
                    <xdr:col>6</xdr:col>
                    <xdr:colOff>381000</xdr:colOff>
                    <xdr:row>82</xdr:row>
                    <xdr:rowOff>0</xdr:rowOff>
                  </from>
                  <to>
                    <xdr:col>9</xdr:col>
                    <xdr:colOff>600075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85" r:id="rId8" name="Option Button 5">
              <controlPr defaultSize="0" autoFill="0" autoLine="0" autoPict="0">
                <anchor moveWithCells="1">
                  <from>
                    <xdr:col>9</xdr:col>
                    <xdr:colOff>361950</xdr:colOff>
                    <xdr:row>82</xdr:row>
                    <xdr:rowOff>0</xdr:rowOff>
                  </from>
                  <to>
                    <xdr:col>17</xdr:col>
                    <xdr:colOff>171450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86" r:id="rId9" name="Option Button 6">
              <controlPr defaultSize="0" autoFill="0" autoLine="0" autoPict="0">
                <anchor moveWithCells="1">
                  <from>
                    <xdr:col>6</xdr:col>
                    <xdr:colOff>381000</xdr:colOff>
                    <xdr:row>82</xdr:row>
                    <xdr:rowOff>0</xdr:rowOff>
                  </from>
                  <to>
                    <xdr:col>9</xdr:col>
                    <xdr:colOff>600075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87" r:id="rId10" name="Option Button 7">
              <controlPr defaultSize="0" autoFill="0" autoLine="0" autoPict="0">
                <anchor moveWithCells="1">
                  <from>
                    <xdr:col>9</xdr:col>
                    <xdr:colOff>361950</xdr:colOff>
                    <xdr:row>82</xdr:row>
                    <xdr:rowOff>0</xdr:rowOff>
                  </from>
                  <to>
                    <xdr:col>17</xdr:col>
                    <xdr:colOff>171450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88" r:id="rId11" name="Option Button 8">
              <controlPr defaultSize="0" autoFill="0" autoLine="0" autoPict="0">
                <anchor moveWithCells="1">
                  <from>
                    <xdr:col>6</xdr:col>
                    <xdr:colOff>381000</xdr:colOff>
                    <xdr:row>82</xdr:row>
                    <xdr:rowOff>0</xdr:rowOff>
                  </from>
                  <to>
                    <xdr:col>9</xdr:col>
                    <xdr:colOff>600075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89" r:id="rId12" name="Option Button 9">
              <controlPr defaultSize="0" autoFill="0" autoLine="0" autoPict="0">
                <anchor moveWithCells="1">
                  <from>
                    <xdr:col>9</xdr:col>
                    <xdr:colOff>361950</xdr:colOff>
                    <xdr:row>82</xdr:row>
                    <xdr:rowOff>0</xdr:rowOff>
                  </from>
                  <to>
                    <xdr:col>17</xdr:col>
                    <xdr:colOff>171450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90" r:id="rId13" name="Option Button 10">
              <controlPr defaultSize="0" autoFill="0" autoLine="0" autoPict="0">
                <anchor moveWithCells="1">
                  <from>
                    <xdr:col>6</xdr:col>
                    <xdr:colOff>381000</xdr:colOff>
                    <xdr:row>82</xdr:row>
                    <xdr:rowOff>0</xdr:rowOff>
                  </from>
                  <to>
                    <xdr:col>9</xdr:col>
                    <xdr:colOff>600075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91" r:id="rId14" name="Option Button 11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171450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92" r:id="rId15" name="Option Button 12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600075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93" r:id="rId16" name="Option Button 13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171450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94" r:id="rId17" name="Option Button 14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600075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95" r:id="rId18" name="Option Button 15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171450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96" r:id="rId19" name="Option Button 16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600075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97" r:id="rId20" name="Option Button 17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171450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98" r:id="rId21" name="Option Button 18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600075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99" r:id="rId22" name="Option Button 19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171450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0" r:id="rId23" name="Option Button 20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600075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1" r:id="rId24" name="Option Button 21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171450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2" r:id="rId25" name="Option Button 22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600075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3" r:id="rId26" name="Option Button 23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171450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4" r:id="rId27" name="Option Button 24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600075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5" r:id="rId28" name="Option Button 25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171450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6" r:id="rId29" name="Option Button 26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600075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7" r:id="rId30" name="Option Button 27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171450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8" r:id="rId31" name="Option Button 28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600075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9" r:id="rId32" name="Option Button 29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171450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0" r:id="rId33" name="Option Button 30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600075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1" r:id="rId34" name="Option Button 31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171450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2" r:id="rId35" name="Option Button 32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171450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3" r:id="rId36" name="Option Button 33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171450</xdr:colOff>
                    <xdr:row>83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8168889431442"/>
  </sheetPr>
  <dimension ref="A1:AW91"/>
  <sheetViews>
    <sheetView showGridLines="0" topLeftCell="A24" zoomScale="80" zoomScaleNormal="80" workbookViewId="0">
      <selection activeCell="H47" sqref="H47"/>
    </sheetView>
  </sheetViews>
  <sheetFormatPr defaultColWidth="9.140625" defaultRowHeight="15" x14ac:dyDescent="0.25"/>
  <cols>
    <col min="1" max="1" width="48.28515625" customWidth="1"/>
    <col min="2" max="2" width="94.42578125" customWidth="1"/>
    <col min="3" max="3" width="1.5703125" customWidth="1"/>
    <col min="4" max="4" width="12.42578125" customWidth="1"/>
    <col min="5" max="5" width="1.7109375" customWidth="1"/>
    <col min="6" max="6" width="12" customWidth="1"/>
    <col min="7" max="7" width="11.7109375" customWidth="1"/>
    <col min="8" max="8" width="16.42578125" customWidth="1"/>
    <col min="9" max="9" width="0.85546875" customWidth="1"/>
    <col min="10" max="10" width="12.28515625" customWidth="1"/>
    <col min="11" max="11" width="10.5703125" customWidth="1"/>
    <col min="12" max="12" width="16.28515625" customWidth="1"/>
    <col min="13" max="13" width="0.7109375" customWidth="1"/>
    <col min="14" max="14" width="14.7109375" customWidth="1"/>
    <col min="15" max="15" width="10.5703125" customWidth="1"/>
    <col min="16" max="16" width="1.42578125" customWidth="1"/>
    <col min="17" max="17" width="1.7109375" customWidth="1"/>
    <col min="18" max="18" width="9.42578125" customWidth="1"/>
    <col min="19" max="19" width="12.5703125" customWidth="1"/>
    <col min="20" max="20" width="1.28515625" customWidth="1"/>
    <col min="21" max="21" width="10.85546875" customWidth="1"/>
    <col min="22" max="22" width="10.140625" customWidth="1"/>
    <col min="23" max="23" width="1.28515625" customWidth="1"/>
    <col min="24" max="24" width="11" customWidth="1"/>
    <col min="25" max="25" width="9.5703125" customWidth="1"/>
    <col min="26" max="26" width="12.42578125" customWidth="1"/>
    <col min="27" max="27" width="1.28515625" customWidth="1"/>
    <col min="28" max="28" width="10" customWidth="1"/>
    <col min="30" max="30" width="0.85546875" customWidth="1"/>
    <col min="31" max="31" width="11.140625" customWidth="1"/>
    <col min="32" max="32" width="9.5703125" customWidth="1"/>
    <col min="33" max="33" width="12.42578125" customWidth="1"/>
    <col min="34" max="34" width="1.140625" customWidth="1"/>
    <col min="35" max="35" width="10.42578125" customWidth="1"/>
    <col min="37" max="37" width="0.85546875" customWidth="1"/>
  </cols>
  <sheetData>
    <row r="1" spans="1:21" ht="21.75" x14ac:dyDescent="0.25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0"/>
      <c r="M1" s="50"/>
      <c r="N1" s="52" t="s">
        <v>68</v>
      </c>
      <c r="O1" s="53">
        <v>0</v>
      </c>
      <c r="T1">
        <v>1</v>
      </c>
      <c r="U1">
        <v>0</v>
      </c>
    </row>
    <row r="2" spans="1:21" ht="18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0"/>
      <c r="M2" s="50"/>
      <c r="N2" s="52" t="s">
        <v>69</v>
      </c>
      <c r="O2" s="55"/>
    </row>
    <row r="3" spans="1:21" ht="18" x14ac:dyDescent="0.25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"/>
      <c r="M3" s="50"/>
      <c r="N3" s="52" t="s">
        <v>70</v>
      </c>
      <c r="O3" s="55"/>
    </row>
    <row r="4" spans="1:21" ht="18" x14ac:dyDescent="0.25">
      <c r="A4" s="54"/>
      <c r="B4" s="54"/>
      <c r="C4" s="54"/>
      <c r="D4" s="54"/>
      <c r="E4" s="54"/>
      <c r="F4" s="54"/>
      <c r="G4" s="54"/>
      <c r="H4" s="54"/>
      <c r="I4" s="56"/>
      <c r="J4" s="56"/>
      <c r="K4" s="56"/>
      <c r="L4" s="50"/>
      <c r="M4" s="50"/>
      <c r="N4" s="52" t="s">
        <v>71</v>
      </c>
      <c r="O4" s="55"/>
    </row>
    <row r="5" spans="1:21" ht="15.75" x14ac:dyDescent="0.25">
      <c r="A5" s="50"/>
      <c r="B5" s="50"/>
      <c r="C5" s="57"/>
      <c r="D5" s="57"/>
      <c r="E5" s="57"/>
      <c r="F5" s="50"/>
      <c r="G5" s="50"/>
      <c r="H5" s="50"/>
      <c r="I5" s="50"/>
      <c r="J5" s="50"/>
      <c r="K5" s="50"/>
      <c r="L5" s="50"/>
      <c r="M5" s="50"/>
      <c r="N5" s="52" t="s">
        <v>72</v>
      </c>
      <c r="O5" s="58"/>
    </row>
    <row r="6" spans="1:2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2"/>
      <c r="O6" s="53"/>
    </row>
    <row r="7" spans="1:2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2" t="s">
        <v>73</v>
      </c>
      <c r="O7" s="58"/>
    </row>
    <row r="8" spans="1:21" x14ac:dyDescent="0.25">
      <c r="A8" s="5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1" ht="18" x14ac:dyDescent="0.25">
      <c r="A10" s="1"/>
      <c r="B10" s="508" t="s">
        <v>74</v>
      </c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508"/>
      <c r="N10" s="508"/>
      <c r="O10" s="508"/>
    </row>
    <row r="11" spans="1:21" ht="18" x14ac:dyDescent="0.25">
      <c r="A11" s="1"/>
      <c r="B11" s="508" t="s">
        <v>75</v>
      </c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1" ht="15.75" x14ac:dyDescent="0.25">
      <c r="A14" s="1"/>
      <c r="B14" s="60" t="s">
        <v>0</v>
      </c>
      <c r="C14" s="1"/>
      <c r="D14" s="509" t="s">
        <v>117</v>
      </c>
      <c r="E14" s="509"/>
      <c r="F14" s="509"/>
      <c r="G14" s="509"/>
      <c r="H14" s="509"/>
      <c r="I14" s="509"/>
      <c r="J14" s="509"/>
      <c r="K14" s="509"/>
      <c r="L14" s="509"/>
      <c r="M14" s="509"/>
      <c r="N14" s="509"/>
      <c r="O14" s="509"/>
    </row>
    <row r="15" spans="1:21" ht="15.75" x14ac:dyDescent="0.25">
      <c r="A15" s="1"/>
      <c r="B15" s="61"/>
      <c r="C15" s="1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pans="1:21" ht="15.75" x14ac:dyDescent="0.25">
      <c r="A16" s="1"/>
      <c r="B16" s="60" t="s">
        <v>76</v>
      </c>
      <c r="C16" s="1"/>
      <c r="D16" s="63" t="s">
        <v>94</v>
      </c>
      <c r="E16" s="62"/>
      <c r="F16" s="228" t="s">
        <v>95</v>
      </c>
      <c r="G16" s="62"/>
      <c r="H16" s="62"/>
      <c r="I16" s="62"/>
      <c r="J16" s="62"/>
      <c r="K16" s="62"/>
      <c r="L16" s="62"/>
      <c r="M16" s="62"/>
      <c r="N16" s="62"/>
      <c r="O16" s="62"/>
    </row>
    <row r="17" spans="1:49" ht="15.75" x14ac:dyDescent="0.25">
      <c r="A17" s="1"/>
      <c r="B17" s="61"/>
      <c r="C17" s="1"/>
      <c r="D17" s="62"/>
      <c r="E17" s="62"/>
      <c r="F17" s="229">
        <f>ROUND(+F18*0.9,0)</f>
        <v>60</v>
      </c>
      <c r="G17" s="230" t="s">
        <v>96</v>
      </c>
      <c r="H17" s="231"/>
      <c r="I17" s="62"/>
      <c r="J17" s="62"/>
      <c r="K17" s="62"/>
      <c r="L17" s="62"/>
      <c r="M17" s="62"/>
      <c r="N17" s="62"/>
      <c r="O17" s="62"/>
    </row>
    <row r="18" spans="1:49" x14ac:dyDescent="0.25">
      <c r="A18" s="1"/>
      <c r="B18" s="64"/>
      <c r="C18" s="1"/>
      <c r="D18" s="65"/>
      <c r="E18" s="65"/>
      <c r="F18" s="229">
        <f>ROUND(60/0.9,0)</f>
        <v>67</v>
      </c>
      <c r="G18" s="65" t="s">
        <v>113</v>
      </c>
      <c r="H18" s="1"/>
      <c r="I18" s="1"/>
      <c r="J18" s="1"/>
      <c r="K18" s="1"/>
      <c r="L18" s="1"/>
      <c r="M18" s="1"/>
      <c r="N18" s="1"/>
      <c r="O18" s="1"/>
    </row>
    <row r="19" spans="1:49" x14ac:dyDescent="0.25">
      <c r="A19" s="1"/>
      <c r="B19" s="64"/>
      <c r="C19" s="1"/>
      <c r="D19" s="65" t="s">
        <v>1</v>
      </c>
      <c r="E19" s="1"/>
      <c r="F19" s="232">
        <v>20000</v>
      </c>
      <c r="G19" s="230" t="s">
        <v>78</v>
      </c>
      <c r="H19" s="67"/>
      <c r="I19" s="1"/>
      <c r="J19" s="67"/>
      <c r="K19" s="233"/>
      <c r="L19" s="67"/>
      <c r="M19" s="1"/>
      <c r="N19" s="233"/>
      <c r="O19" s="1"/>
      <c r="S19" s="234"/>
    </row>
    <row r="20" spans="1:49" x14ac:dyDescent="0.25">
      <c r="A20" s="1"/>
      <c r="B20" s="64"/>
      <c r="C20" s="1"/>
      <c r="D20" s="68"/>
      <c r="E20" s="68"/>
      <c r="F20" s="510" t="s">
        <v>105</v>
      </c>
      <c r="G20" s="511"/>
      <c r="H20" s="512"/>
      <c r="I20" s="1"/>
      <c r="J20" s="510" t="s">
        <v>104</v>
      </c>
      <c r="K20" s="511"/>
      <c r="L20" s="512"/>
      <c r="M20" s="1"/>
      <c r="N20" s="510" t="s">
        <v>61</v>
      </c>
      <c r="O20" s="512"/>
      <c r="Q20" s="506"/>
      <c r="R20" s="506"/>
      <c r="S20" s="506"/>
      <c r="T20" s="2"/>
      <c r="U20" s="506"/>
      <c r="V20" s="506"/>
      <c r="W20" s="69"/>
      <c r="X20" s="506"/>
      <c r="Y20" s="506"/>
      <c r="Z20" s="506"/>
      <c r="AA20" s="2"/>
      <c r="AB20" s="506"/>
      <c r="AC20" s="506"/>
      <c r="AD20" s="69"/>
      <c r="AE20" s="506"/>
      <c r="AF20" s="506"/>
      <c r="AG20" s="506"/>
      <c r="AH20" s="2"/>
      <c r="AI20" s="506"/>
      <c r="AJ20" s="506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</row>
    <row r="21" spans="1:49" ht="15" customHeight="1" x14ac:dyDescent="0.25">
      <c r="A21" s="1"/>
      <c r="B21" s="64"/>
      <c r="C21" s="1"/>
      <c r="D21" s="1"/>
      <c r="E21" s="70"/>
      <c r="F21" s="71" t="s">
        <v>2</v>
      </c>
      <c r="G21" s="71" t="s">
        <v>3</v>
      </c>
      <c r="H21" s="72" t="s">
        <v>4</v>
      </c>
      <c r="I21" s="1"/>
      <c r="J21" s="71" t="s">
        <v>2</v>
      </c>
      <c r="K21" s="73" t="s">
        <v>3</v>
      </c>
      <c r="L21" s="72" t="s">
        <v>4</v>
      </c>
      <c r="M21" s="1"/>
      <c r="N21" s="502" t="s">
        <v>62</v>
      </c>
      <c r="O21" s="504" t="s">
        <v>63</v>
      </c>
      <c r="Q21" s="74"/>
      <c r="R21" s="74"/>
      <c r="S21" s="74"/>
      <c r="T21" s="2"/>
      <c r="U21" s="501"/>
      <c r="V21" s="501"/>
      <c r="W21" s="69"/>
      <c r="X21" s="74"/>
      <c r="Y21" s="74"/>
      <c r="Z21" s="74"/>
      <c r="AA21" s="2"/>
      <c r="AB21" s="501"/>
      <c r="AC21" s="501"/>
      <c r="AD21" s="69"/>
      <c r="AE21" s="74"/>
      <c r="AF21" s="74"/>
      <c r="AG21" s="74"/>
      <c r="AH21" s="2"/>
      <c r="AI21" s="501"/>
      <c r="AJ21" s="501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</row>
    <row r="22" spans="1:49" x14ac:dyDescent="0.25">
      <c r="A22" s="1"/>
      <c r="B22" s="64"/>
      <c r="C22" s="1"/>
      <c r="D22" s="1"/>
      <c r="E22" s="70"/>
      <c r="F22" s="75" t="s">
        <v>79</v>
      </c>
      <c r="G22" s="75"/>
      <c r="H22" s="76" t="s">
        <v>79</v>
      </c>
      <c r="I22" s="1"/>
      <c r="J22" s="75" t="s">
        <v>79</v>
      </c>
      <c r="K22" s="76"/>
      <c r="L22" s="76" t="s">
        <v>79</v>
      </c>
      <c r="M22" s="1"/>
      <c r="N22" s="503"/>
      <c r="O22" s="505"/>
      <c r="Q22" s="77"/>
      <c r="R22" s="77"/>
      <c r="S22" s="77"/>
      <c r="T22" s="2"/>
      <c r="U22" s="514"/>
      <c r="V22" s="514"/>
      <c r="W22" s="69"/>
      <c r="X22" s="77"/>
      <c r="Y22" s="77"/>
      <c r="Z22" s="77"/>
      <c r="AA22" s="2"/>
      <c r="AB22" s="514"/>
      <c r="AC22" s="514"/>
      <c r="AD22" s="69"/>
      <c r="AE22" s="77"/>
      <c r="AF22" s="77"/>
      <c r="AG22" s="77"/>
      <c r="AH22" s="2"/>
      <c r="AI22" s="514"/>
      <c r="AJ22" s="514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</row>
    <row r="23" spans="1:49" x14ac:dyDescent="0.25">
      <c r="A23" s="7" t="s">
        <v>15</v>
      </c>
      <c r="B23" s="271" t="str">
        <f>IF(Rates!D145=$A$23,Rates!B145," ")</f>
        <v>Service Charge</v>
      </c>
      <c r="C23" s="78"/>
      <c r="D23" s="271" t="str">
        <f>IF(Rates!D122=$A$23,Rates!E145," ")</f>
        <v>customer</v>
      </c>
      <c r="E23" s="79"/>
      <c r="F23" s="80">
        <f>IF(Rates!$G$1="CND 2018",Rates!G145," ")</f>
        <v>115.59103999999999</v>
      </c>
      <c r="G23" s="81">
        <f>IF(D23="customer",1,IF(D23="kWh",$F$19,$F$17))</f>
        <v>1</v>
      </c>
      <c r="H23" s="82">
        <f t="shared" ref="H23:H34" si="0">G23*F23</f>
        <v>115.59103999999999</v>
      </c>
      <c r="I23" s="83"/>
      <c r="J23" s="80">
        <f>IF(Rates!$L$1="E+ 2019",Rates!L145," ")</f>
        <v>111.18</v>
      </c>
      <c r="K23" s="108">
        <f>IF(D23="customer",1,IF(D23="kWh",$F$19,$F$17))</f>
        <v>1</v>
      </c>
      <c r="L23" s="82">
        <f t="shared" ref="L23:L44" si="1">K23*J23</f>
        <v>111.18</v>
      </c>
      <c r="M23" s="83"/>
      <c r="N23" s="84">
        <f t="shared" ref="N23:N56" si="2">L23-H23</f>
        <v>-4.4110399999999856</v>
      </c>
      <c r="O23" s="85">
        <f>IF(OR(H23=0,L23=0),"",(N23/H23))</f>
        <v>-3.8160743254840389E-2</v>
      </c>
      <c r="Q23" s="86"/>
      <c r="R23" s="87"/>
      <c r="S23" s="88"/>
      <c r="T23" s="87"/>
      <c r="U23" s="89"/>
      <c r="V23" s="90"/>
      <c r="W23" s="69"/>
      <c r="X23" s="86"/>
      <c r="Y23" s="87"/>
      <c r="Z23" s="88"/>
      <c r="AA23" s="87"/>
      <c r="AB23" s="89"/>
      <c r="AC23" s="90"/>
      <c r="AD23" s="69"/>
      <c r="AE23" s="86"/>
      <c r="AF23" s="87"/>
      <c r="AG23" s="88"/>
      <c r="AH23" s="87"/>
      <c r="AI23" s="89"/>
      <c r="AJ23" s="90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</row>
    <row r="24" spans="1:49" x14ac:dyDescent="0.25">
      <c r="A24" s="1"/>
      <c r="B24" s="271" t="str">
        <f>IF(Rates!D146=$A$23,Rates!B146," ")</f>
        <v>Rate Rider ACM</v>
      </c>
      <c r="C24" s="78"/>
      <c r="D24" s="271" t="str">
        <f>IF(Rates!D123=$A$23,Rates!E146," ")</f>
        <v>customer</v>
      </c>
      <c r="E24" s="79"/>
      <c r="F24" s="80">
        <f>IF(Rates!$G$1="CND 2018",Rates!G146," ")</f>
        <v>0</v>
      </c>
      <c r="G24" s="81">
        <f t="shared" ref="G24:G34" si="3">IF(D24="customer",1,IF(D24="kWh",$F$19,$F$17))</f>
        <v>1</v>
      </c>
      <c r="H24" s="82">
        <f t="shared" si="0"/>
        <v>0</v>
      </c>
      <c r="I24" s="83"/>
      <c r="J24" s="80">
        <f>IF(Rates!$L$1="E+ 2019",Rates!L146," ")</f>
        <v>0</v>
      </c>
      <c r="K24" s="108">
        <f t="shared" ref="K24:K34" si="4">IF(D24="customer",1,IF(D24="kWh",$F$19,$F$17))</f>
        <v>1</v>
      </c>
      <c r="L24" s="82">
        <f t="shared" si="1"/>
        <v>0</v>
      </c>
      <c r="M24" s="83"/>
      <c r="N24" s="84">
        <f t="shared" ref="N24:N34" si="5">L24-H24</f>
        <v>0</v>
      </c>
      <c r="O24" s="85" t="str">
        <f t="shared" ref="O24:O34" si="6">IF(OR(H24=0,L24=0),"",(N24/H24))</f>
        <v/>
      </c>
      <c r="Q24" s="86"/>
      <c r="R24" s="87"/>
      <c r="S24" s="88"/>
      <c r="T24" s="87"/>
      <c r="U24" s="89"/>
      <c r="V24" s="90"/>
      <c r="W24" s="69"/>
      <c r="X24" s="86"/>
      <c r="Y24" s="87"/>
      <c r="Z24" s="88"/>
      <c r="AA24" s="87"/>
      <c r="AB24" s="89"/>
      <c r="AC24" s="90"/>
      <c r="AD24" s="69"/>
      <c r="AE24" s="86"/>
      <c r="AF24" s="87"/>
      <c r="AG24" s="88"/>
      <c r="AH24" s="87"/>
      <c r="AI24" s="89"/>
      <c r="AJ24" s="90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</row>
    <row r="25" spans="1:49" s="94" customFormat="1" x14ac:dyDescent="0.25">
      <c r="A25" s="3"/>
      <c r="B25" s="271" t="str">
        <f>IF(Rates!D147=$A$23,Rates!B147," ")</f>
        <v>Distribution Volumetric Rate</v>
      </c>
      <c r="C25" s="78"/>
      <c r="D25" s="271" t="str">
        <f>IF(Rates!D124=$A$23,Rates!E147," ")</f>
        <v>kW</v>
      </c>
      <c r="E25" s="79"/>
      <c r="F25" s="235">
        <f>IF(Rates!$G$1="CND 2018",Rates!G147," ")</f>
        <v>4.207630899999999</v>
      </c>
      <c r="G25" s="81">
        <f t="shared" si="3"/>
        <v>60</v>
      </c>
      <c r="H25" s="82">
        <f t="shared" si="0"/>
        <v>252.45785399999994</v>
      </c>
      <c r="I25" s="91"/>
      <c r="J25" s="235">
        <f>IF(Rates!$L$1="E+ 2019",Rates!L147," ")</f>
        <v>4.1018999999999997</v>
      </c>
      <c r="K25" s="108">
        <f t="shared" si="4"/>
        <v>60</v>
      </c>
      <c r="L25" s="82">
        <f t="shared" si="1"/>
        <v>246.11399999999998</v>
      </c>
      <c r="M25" s="91"/>
      <c r="N25" s="84">
        <f t="shared" si="5"/>
        <v>-6.3438539999999648</v>
      </c>
      <c r="O25" s="85">
        <f t="shared" si="6"/>
        <v>-2.5128368555331085E-2</v>
      </c>
      <c r="Q25" s="95"/>
      <c r="R25" s="87"/>
      <c r="S25" s="88"/>
      <c r="T25" s="87"/>
      <c r="U25" s="89"/>
      <c r="V25" s="90"/>
      <c r="W25" s="69"/>
      <c r="X25" s="95"/>
      <c r="Y25" s="87"/>
      <c r="Z25" s="88"/>
      <c r="AA25" s="87"/>
      <c r="AB25" s="89"/>
      <c r="AC25" s="90"/>
      <c r="AD25" s="69"/>
      <c r="AE25" s="95"/>
      <c r="AF25" s="87"/>
      <c r="AG25" s="88"/>
      <c r="AH25" s="87"/>
      <c r="AI25" s="89"/>
      <c r="AJ25" s="90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</row>
    <row r="26" spans="1:49" s="94" customFormat="1" x14ac:dyDescent="0.25">
      <c r="A26" s="3"/>
      <c r="B26" s="271" t="str">
        <f>IF(Rates!D148=$A$23,Rates!B148," ")</f>
        <v>Rate Rider ACM</v>
      </c>
      <c r="C26" s="78"/>
      <c r="D26" s="271" t="str">
        <f>IF(Rates!D125=$A$23,Rates!E148," ")</f>
        <v>kW</v>
      </c>
      <c r="E26" s="79"/>
      <c r="F26" s="80">
        <f>IF(Rates!$G$1="CND 2018",Rates!G148," ")</f>
        <v>0</v>
      </c>
      <c r="G26" s="81">
        <f t="shared" si="3"/>
        <v>60</v>
      </c>
      <c r="H26" s="82">
        <f t="shared" si="0"/>
        <v>0</v>
      </c>
      <c r="I26" s="91"/>
      <c r="J26" s="80">
        <f>IF(Rates!$L$1="E+ 2019",Rates!L148," ")</f>
        <v>0</v>
      </c>
      <c r="K26" s="108">
        <f t="shared" si="4"/>
        <v>60</v>
      </c>
      <c r="L26" s="82">
        <f t="shared" si="1"/>
        <v>0</v>
      </c>
      <c r="M26" s="91"/>
      <c r="N26" s="84">
        <f t="shared" si="5"/>
        <v>0</v>
      </c>
      <c r="O26" s="85" t="str">
        <f t="shared" si="6"/>
        <v/>
      </c>
      <c r="Q26" s="95"/>
      <c r="R26" s="87"/>
      <c r="S26" s="88"/>
      <c r="T26" s="87"/>
      <c r="U26" s="89"/>
      <c r="V26" s="90"/>
      <c r="W26" s="69"/>
      <c r="X26" s="95"/>
      <c r="Y26" s="87"/>
      <c r="Z26" s="88"/>
      <c r="AA26" s="87"/>
      <c r="AB26" s="89"/>
      <c r="AC26" s="90"/>
      <c r="AD26" s="69"/>
      <c r="AE26" s="95"/>
      <c r="AF26" s="87"/>
      <c r="AG26" s="88"/>
      <c r="AH26" s="87"/>
      <c r="AI26" s="89"/>
      <c r="AJ26" s="90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</row>
    <row r="27" spans="1:49" x14ac:dyDescent="0.25">
      <c r="A27" s="3"/>
      <c r="B27" s="271" t="str">
        <f>IF(Rates!D149=$A$23,Rates!B149," ")</f>
        <v>Rate Rider for Disposition of Account 1575 and 1576</v>
      </c>
      <c r="C27" s="78"/>
      <c r="D27" s="271" t="str">
        <f>IF(Rates!D126=$A$23,Rates!E149," ")</f>
        <v>kW</v>
      </c>
      <c r="E27" s="79"/>
      <c r="F27" s="80">
        <f>IF(Rates!$G$1="CND 2018",Rates!G149," ")</f>
        <v>0</v>
      </c>
      <c r="G27" s="81">
        <f t="shared" si="3"/>
        <v>60</v>
      </c>
      <c r="H27" s="82">
        <f t="shared" si="0"/>
        <v>0</v>
      </c>
      <c r="I27" s="83"/>
      <c r="J27" s="337">
        <f>IF(Rates!$L$1="E+ 2019",Rates!L149," ")</f>
        <v>-0.10277596422689866</v>
      </c>
      <c r="K27" s="108">
        <f t="shared" si="4"/>
        <v>60</v>
      </c>
      <c r="L27" s="82">
        <f t="shared" si="1"/>
        <v>-6.1665578536139201</v>
      </c>
      <c r="M27" s="83"/>
      <c r="N27" s="84">
        <f t="shared" si="5"/>
        <v>-6.1665578536139201</v>
      </c>
      <c r="O27" s="85" t="str">
        <f t="shared" si="6"/>
        <v/>
      </c>
      <c r="Q27" s="86"/>
      <c r="R27" s="87"/>
      <c r="S27" s="88"/>
      <c r="T27" s="87"/>
      <c r="U27" s="89"/>
      <c r="V27" s="90"/>
      <c r="W27" s="69"/>
      <c r="X27" s="86"/>
      <c r="Y27" s="87"/>
      <c r="Z27" s="88"/>
      <c r="AA27" s="87"/>
      <c r="AB27" s="89"/>
      <c r="AC27" s="90"/>
      <c r="AD27" s="69"/>
      <c r="AE27" s="86"/>
      <c r="AF27" s="87"/>
      <c r="AG27" s="88"/>
      <c r="AH27" s="87"/>
      <c r="AI27" s="89"/>
      <c r="AJ27" s="90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</row>
    <row r="28" spans="1:49" x14ac:dyDescent="0.25">
      <c r="A28" s="3"/>
      <c r="B28" s="271" t="str">
        <f>IF(Rates!D150=$A$23,Rates!B150," ")</f>
        <v>Rate Rider for Disposition of Account 1575 and 1576</v>
      </c>
      <c r="C28" s="78"/>
      <c r="D28" s="271" t="str">
        <f>IF(Rates!D127=$A$23,Rates!E150," ")</f>
        <v>customer</v>
      </c>
      <c r="E28" s="79"/>
      <c r="F28" s="80">
        <f>IF(Rates!$G$1="CND 2018",Rates!G150," ")</f>
        <v>0</v>
      </c>
      <c r="G28" s="81">
        <f t="shared" si="3"/>
        <v>1</v>
      </c>
      <c r="H28" s="82">
        <f t="shared" si="0"/>
        <v>0</v>
      </c>
      <c r="I28" s="83"/>
      <c r="J28" s="80">
        <f>IF(Rates!$L$1="E+ 2019",Rates!L150," ")</f>
        <v>0</v>
      </c>
      <c r="K28" s="108">
        <f t="shared" si="4"/>
        <v>1</v>
      </c>
      <c r="L28" s="82">
        <f t="shared" si="1"/>
        <v>0</v>
      </c>
      <c r="M28" s="83"/>
      <c r="N28" s="84">
        <f t="shared" si="5"/>
        <v>0</v>
      </c>
      <c r="O28" s="85" t="str">
        <f t="shared" si="6"/>
        <v/>
      </c>
      <c r="Q28" s="119"/>
      <c r="R28" s="87"/>
      <c r="S28" s="88"/>
      <c r="T28" s="87"/>
      <c r="U28" s="89"/>
      <c r="V28" s="90"/>
      <c r="W28" s="69"/>
      <c r="X28" s="119"/>
      <c r="Y28" s="87"/>
      <c r="Z28" s="88"/>
      <c r="AA28" s="87"/>
      <c r="AB28" s="89"/>
      <c r="AC28" s="90"/>
      <c r="AD28" s="69"/>
      <c r="AE28" s="119"/>
      <c r="AF28" s="87"/>
      <c r="AG28" s="88"/>
      <c r="AH28" s="87"/>
      <c r="AI28" s="89"/>
      <c r="AJ28" s="90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</row>
    <row r="29" spans="1:49" x14ac:dyDescent="0.25">
      <c r="A29" s="3"/>
      <c r="B29" s="271" t="str">
        <f>IF(Rates!D151=$A$23,Rates!B151," ")</f>
        <v>Rate Rider for Disposition of Account 1575 and 1576</v>
      </c>
      <c r="C29" s="78"/>
      <c r="D29" s="271" t="str">
        <f>IF(Rates!D128=$A$23,Rates!E151," ")</f>
        <v>kW</v>
      </c>
      <c r="E29" s="79"/>
      <c r="F29" s="80">
        <f>IF(Rates!$G$1="CND 2018",Rates!G151," ")</f>
        <v>0</v>
      </c>
      <c r="G29" s="81">
        <f t="shared" si="3"/>
        <v>60</v>
      </c>
      <c r="H29" s="82">
        <f t="shared" si="0"/>
        <v>0</v>
      </c>
      <c r="I29" s="83"/>
      <c r="J29" s="80">
        <f>IF(Rates!$L$1="E+ 2019",Rates!L151," ")</f>
        <v>0</v>
      </c>
      <c r="K29" s="108">
        <f t="shared" si="4"/>
        <v>60</v>
      </c>
      <c r="L29" s="82">
        <f t="shared" si="1"/>
        <v>0</v>
      </c>
      <c r="M29" s="83"/>
      <c r="N29" s="84">
        <f t="shared" si="5"/>
        <v>0</v>
      </c>
      <c r="O29" s="85" t="str">
        <f t="shared" si="6"/>
        <v/>
      </c>
      <c r="Q29" s="119"/>
      <c r="R29" s="87"/>
      <c r="S29" s="88"/>
      <c r="T29" s="87"/>
      <c r="U29" s="89"/>
      <c r="V29" s="90"/>
      <c r="W29" s="69"/>
      <c r="X29" s="119"/>
      <c r="Y29" s="87"/>
      <c r="Z29" s="88"/>
      <c r="AA29" s="87"/>
      <c r="AB29" s="89"/>
      <c r="AC29" s="90"/>
      <c r="AD29" s="69"/>
      <c r="AE29" s="119"/>
      <c r="AF29" s="87"/>
      <c r="AG29" s="88"/>
      <c r="AH29" s="87"/>
      <c r="AI29" s="89"/>
      <c r="AJ29" s="90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</row>
    <row r="30" spans="1:49" s="94" customFormat="1" x14ac:dyDescent="0.25">
      <c r="A30" s="99"/>
      <c r="B30" s="271" t="str">
        <f>IF(Rates!D152=$A$23,Rates!B152," ")</f>
        <v>Rate Rider for Disposition of Account 1575 and 1576</v>
      </c>
      <c r="C30" s="78"/>
      <c r="D30" s="271" t="str">
        <f>IF(Rates!D129=$A$23,Rates!E152," ")</f>
        <v>customer</v>
      </c>
      <c r="E30" s="79"/>
      <c r="F30" s="80">
        <f>IF(Rates!$G$1="CND 2018",Rates!G152," ")</f>
        <v>0</v>
      </c>
      <c r="G30" s="81">
        <f t="shared" si="3"/>
        <v>1</v>
      </c>
      <c r="H30" s="82">
        <f t="shared" si="0"/>
        <v>0</v>
      </c>
      <c r="I30" s="91"/>
      <c r="J30" s="80">
        <f>IF(Rates!$L$1="E+ 2019",Rates!L152," ")</f>
        <v>0</v>
      </c>
      <c r="K30" s="108">
        <f t="shared" si="4"/>
        <v>1</v>
      </c>
      <c r="L30" s="82">
        <f t="shared" si="1"/>
        <v>0</v>
      </c>
      <c r="M30" s="91"/>
      <c r="N30" s="84">
        <f t="shared" si="5"/>
        <v>0</v>
      </c>
      <c r="O30" s="85" t="str">
        <f t="shared" si="6"/>
        <v/>
      </c>
      <c r="Q30" s="119"/>
      <c r="R30" s="87"/>
      <c r="S30" s="88"/>
      <c r="T30" s="87"/>
      <c r="U30" s="89"/>
      <c r="V30" s="90"/>
      <c r="W30" s="69"/>
      <c r="X30" s="119"/>
      <c r="Y30" s="87"/>
      <c r="Z30" s="88"/>
      <c r="AA30" s="87"/>
      <c r="AB30" s="89"/>
      <c r="AC30" s="90"/>
      <c r="AD30" s="69"/>
      <c r="AE30" s="119"/>
      <c r="AF30" s="87"/>
      <c r="AG30" s="88"/>
      <c r="AH30" s="87"/>
      <c r="AI30" s="89"/>
      <c r="AJ30" s="90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</row>
    <row r="31" spans="1:49" s="94" customFormat="1" x14ac:dyDescent="0.25">
      <c r="A31" s="3"/>
      <c r="B31" s="271" t="str">
        <f>IF(Rates!D153=$A$23,Rates!B153," ")</f>
        <v>Rate Rider for LRAMVA</v>
      </c>
      <c r="C31" s="78"/>
      <c r="D31" s="271" t="str">
        <f>IF(Rates!D130=$A$23,Rates!E153," ")</f>
        <v>kW</v>
      </c>
      <c r="E31" s="79"/>
      <c r="F31" s="80">
        <f>IF(Rates!$G$1="CND 2018",Rates!G153," ")</f>
        <v>0</v>
      </c>
      <c r="G31" s="81">
        <f t="shared" si="3"/>
        <v>60</v>
      </c>
      <c r="H31" s="82">
        <f t="shared" si="0"/>
        <v>0</v>
      </c>
      <c r="I31" s="91"/>
      <c r="J31" s="235">
        <f>IF(Rates!$L$1="E+ 2019",Rates!L153," ")</f>
        <v>0.4554727233494929</v>
      </c>
      <c r="K31" s="108">
        <f t="shared" si="4"/>
        <v>60</v>
      </c>
      <c r="L31" s="82">
        <f t="shared" si="1"/>
        <v>27.328363400969575</v>
      </c>
      <c r="M31" s="91"/>
      <c r="N31" s="84">
        <f t="shared" si="5"/>
        <v>27.328363400969575</v>
      </c>
      <c r="O31" s="85" t="str">
        <f t="shared" si="6"/>
        <v/>
      </c>
      <c r="Q31" s="119"/>
      <c r="R31" s="87"/>
      <c r="S31" s="88"/>
      <c r="T31" s="87"/>
      <c r="U31" s="89"/>
      <c r="V31" s="90"/>
      <c r="W31" s="69"/>
      <c r="X31" s="119"/>
      <c r="Y31" s="87"/>
      <c r="Z31" s="88"/>
      <c r="AA31" s="87"/>
      <c r="AB31" s="89"/>
      <c r="AC31" s="90"/>
      <c r="AD31" s="69"/>
      <c r="AE31" s="119"/>
      <c r="AF31" s="87"/>
      <c r="AG31" s="88"/>
      <c r="AH31" s="87"/>
      <c r="AI31" s="89"/>
      <c r="AJ31" s="90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</row>
    <row r="32" spans="1:49" x14ac:dyDescent="0.25">
      <c r="A32" s="3"/>
      <c r="B32" s="271" t="str">
        <f>IF(Rates!D154=$A$23,Rates!B154," ")</f>
        <v>Rate Rider MIST</v>
      </c>
      <c r="C32" s="78"/>
      <c r="D32" s="271" t="str">
        <f>IF(Rates!D131=$A$23,Rates!E154," ")</f>
        <v>customer</v>
      </c>
      <c r="E32" s="79"/>
      <c r="F32" s="80">
        <f>IF(Rates!$G$1="CND 2018",Rates!G154," ")</f>
        <v>0</v>
      </c>
      <c r="G32" s="81">
        <f t="shared" si="3"/>
        <v>1</v>
      </c>
      <c r="H32" s="82">
        <f t="shared" si="0"/>
        <v>0</v>
      </c>
      <c r="I32" s="83"/>
      <c r="J32" s="80">
        <f>IF(Rates!$L$1="E+ 2019",Rates!L154," ")</f>
        <v>18.578982363534003</v>
      </c>
      <c r="K32" s="108">
        <f t="shared" si="4"/>
        <v>1</v>
      </c>
      <c r="L32" s="82">
        <f t="shared" si="1"/>
        <v>18.578982363534003</v>
      </c>
      <c r="M32" s="83"/>
      <c r="N32" s="84">
        <f t="shared" si="5"/>
        <v>18.578982363534003</v>
      </c>
      <c r="O32" s="85" t="str">
        <f t="shared" si="6"/>
        <v/>
      </c>
      <c r="Q32" s="98"/>
      <c r="R32" s="87"/>
      <c r="S32" s="88"/>
      <c r="T32" s="87"/>
      <c r="U32" s="89"/>
      <c r="V32" s="90"/>
      <c r="W32" s="69"/>
      <c r="X32" s="98"/>
      <c r="Y32" s="87"/>
      <c r="Z32" s="88"/>
      <c r="AA32" s="87"/>
      <c r="AB32" s="89"/>
      <c r="AC32" s="90"/>
      <c r="AD32" s="69"/>
      <c r="AE32" s="98"/>
      <c r="AF32" s="87"/>
      <c r="AG32" s="88"/>
      <c r="AH32" s="87"/>
      <c r="AI32" s="89"/>
      <c r="AJ32" s="90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</row>
    <row r="33" spans="1:49" x14ac:dyDescent="0.25">
      <c r="A33" s="3"/>
      <c r="B33" s="271" t="str">
        <f>IF(Rates!D155=$A$23,Rates!B155," ")</f>
        <v>Other Fixed</v>
      </c>
      <c r="C33" s="78"/>
      <c r="D33" s="271" t="str">
        <f>IF(Rates!D132=$A$23,Rates!E155," ")</f>
        <v>customer</v>
      </c>
      <c r="E33" s="79"/>
      <c r="F33" s="80">
        <f>IF(Rates!$G$1="CND 2018",Rates!G155," ")</f>
        <v>0</v>
      </c>
      <c r="G33" s="81">
        <f t="shared" si="3"/>
        <v>1</v>
      </c>
      <c r="H33" s="82">
        <f t="shared" si="0"/>
        <v>0</v>
      </c>
      <c r="I33" s="83"/>
      <c r="J33" s="80">
        <f>IF(Rates!$L$1="E+ 2019",Rates!L155," ")</f>
        <v>0</v>
      </c>
      <c r="K33" s="108">
        <f t="shared" si="4"/>
        <v>1</v>
      </c>
      <c r="L33" s="82">
        <f t="shared" si="1"/>
        <v>0</v>
      </c>
      <c r="M33" s="83"/>
      <c r="N33" s="84">
        <f t="shared" si="5"/>
        <v>0</v>
      </c>
      <c r="O33" s="85" t="str">
        <f t="shared" si="6"/>
        <v/>
      </c>
      <c r="Q33" s="98"/>
      <c r="R33" s="87"/>
      <c r="S33" s="88"/>
      <c r="T33" s="87"/>
      <c r="U33" s="89"/>
      <c r="V33" s="90"/>
      <c r="W33" s="69"/>
      <c r="X33" s="98"/>
      <c r="Y33" s="87"/>
      <c r="Z33" s="88"/>
      <c r="AA33" s="87"/>
      <c r="AB33" s="89"/>
      <c r="AC33" s="90"/>
      <c r="AD33" s="69"/>
      <c r="AE33" s="98"/>
      <c r="AF33" s="87"/>
      <c r="AG33" s="88"/>
      <c r="AH33" s="87"/>
      <c r="AI33" s="89"/>
      <c r="AJ33" s="90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</row>
    <row r="34" spans="1:49" x14ac:dyDescent="0.25">
      <c r="A34" s="3"/>
      <c r="B34" s="271" t="str">
        <f>IF(Rates!D156=$A$23,Rates!B156," ")</f>
        <v>Other Volumetric</v>
      </c>
      <c r="C34" s="78"/>
      <c r="D34" s="271" t="str">
        <f>IF(Rates!D133=$A$23,Rates!E156," ")</f>
        <v>kW</v>
      </c>
      <c r="E34" s="79"/>
      <c r="F34" s="80">
        <f>IF(Rates!$G$1="CND 2018",Rates!G156," ")</f>
        <v>0</v>
      </c>
      <c r="G34" s="81">
        <f t="shared" si="3"/>
        <v>60</v>
      </c>
      <c r="H34" s="82">
        <f t="shared" si="0"/>
        <v>0</v>
      </c>
      <c r="I34" s="83"/>
      <c r="J34" s="80">
        <f>IF(Rates!$L$1="E+ 2019",Rates!L156," ")</f>
        <v>0</v>
      </c>
      <c r="K34" s="108">
        <f t="shared" si="4"/>
        <v>60</v>
      </c>
      <c r="L34" s="82">
        <f t="shared" si="1"/>
        <v>0</v>
      </c>
      <c r="M34" s="83"/>
      <c r="N34" s="84">
        <f t="shared" si="5"/>
        <v>0</v>
      </c>
      <c r="O34" s="85" t="str">
        <f t="shared" si="6"/>
        <v/>
      </c>
      <c r="Q34" s="98"/>
      <c r="R34" s="87"/>
      <c r="S34" s="88"/>
      <c r="T34" s="87"/>
      <c r="U34" s="89"/>
      <c r="V34" s="90"/>
      <c r="W34" s="69"/>
      <c r="X34" s="98"/>
      <c r="Y34" s="87"/>
      <c r="Z34" s="88"/>
      <c r="AA34" s="87"/>
      <c r="AB34" s="89"/>
      <c r="AC34" s="90"/>
      <c r="AD34" s="69"/>
      <c r="AE34" s="98"/>
      <c r="AF34" s="87"/>
      <c r="AG34" s="88"/>
      <c r="AH34" s="87"/>
      <c r="AI34" s="89"/>
      <c r="AJ34" s="90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</row>
    <row r="35" spans="1:49" x14ac:dyDescent="0.25">
      <c r="A35" s="3"/>
      <c r="B35" s="271" t="str">
        <f>IF(Rates!D157=$A$23,Rates!B157," ")</f>
        <v>Rate Rider for gain on Sale of Property</v>
      </c>
      <c r="C35" s="78"/>
      <c r="D35" s="271" t="str">
        <f>IF(Rates!D134=$A$23,Rates!E157," ")</f>
        <v>kW</v>
      </c>
      <c r="E35" s="79"/>
      <c r="F35" s="80">
        <f>IF(Rates!$G$1="CND 2018",Rates!G157," ")</f>
        <v>0</v>
      </c>
      <c r="G35" s="81">
        <f t="shared" ref="G35" si="7">IF(D35="customer",1,IF(D35="kWh",$F$19,$F$17))</f>
        <v>60</v>
      </c>
      <c r="H35" s="82">
        <f t="shared" ref="H35" si="8">G35*F35</f>
        <v>0</v>
      </c>
      <c r="I35" s="83"/>
      <c r="J35" s="80">
        <f>IF(Rates!$L$1="E+ 2019",Rates!L157," ")</f>
        <v>-7.8892779815913319E-2</v>
      </c>
      <c r="K35" s="108">
        <f t="shared" ref="K35" si="9">IF(D35="customer",1,IF(D35="kWh",$F$19,$F$17))</f>
        <v>60</v>
      </c>
      <c r="L35" s="82">
        <f t="shared" ref="L35" si="10">K35*J35</f>
        <v>-4.733566788954799</v>
      </c>
      <c r="M35" s="83"/>
      <c r="N35" s="84">
        <f t="shared" ref="N35" si="11">L35-H35</f>
        <v>-4.733566788954799</v>
      </c>
      <c r="O35" s="85" t="str">
        <f t="shared" ref="O35" si="12">IF(OR(H35=0,L35=0),"",(N35/H35))</f>
        <v/>
      </c>
      <c r="Q35" s="98"/>
      <c r="R35" s="87"/>
      <c r="S35" s="88"/>
      <c r="T35" s="87"/>
      <c r="U35" s="89"/>
      <c r="V35" s="90"/>
      <c r="W35" s="69"/>
      <c r="X35" s="98"/>
      <c r="Y35" s="87"/>
      <c r="Z35" s="88"/>
      <c r="AA35" s="87"/>
      <c r="AB35" s="89"/>
      <c r="AC35" s="90"/>
      <c r="AD35" s="69"/>
      <c r="AE35" s="98"/>
      <c r="AF35" s="87"/>
      <c r="AG35" s="88"/>
      <c r="AH35" s="87"/>
      <c r="AI35" s="89"/>
      <c r="AJ35" s="90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</row>
    <row r="36" spans="1:49" x14ac:dyDescent="0.25">
      <c r="A36" s="3"/>
      <c r="B36" s="109" t="s">
        <v>64</v>
      </c>
      <c r="C36" s="110"/>
      <c r="D36" s="110"/>
      <c r="E36" s="110"/>
      <c r="F36" s="111"/>
      <c r="G36" s="112"/>
      <c r="H36" s="113">
        <f>SUM(H23:H35)</f>
        <v>368.0488939999999</v>
      </c>
      <c r="I36" s="91"/>
      <c r="J36" s="115"/>
      <c r="K36" s="116"/>
      <c r="L36" s="113">
        <f>SUM(L23:L35)</f>
        <v>392.30122112193482</v>
      </c>
      <c r="M36" s="91"/>
      <c r="N36" s="117">
        <f t="shared" si="2"/>
        <v>24.252327121934911</v>
      </c>
      <c r="O36" s="118">
        <f>IF(OR(H36=0, L36=0),"",(N36/H36))</f>
        <v>6.5894307841432936E-2</v>
      </c>
      <c r="Q36" s="119"/>
      <c r="R36" s="120"/>
      <c r="S36" s="88"/>
      <c r="T36" s="87"/>
      <c r="U36" s="121"/>
      <c r="V36" s="122"/>
      <c r="W36" s="69"/>
      <c r="X36" s="119"/>
      <c r="Y36" s="120"/>
      <c r="Z36" s="88"/>
      <c r="AA36" s="87"/>
      <c r="AB36" s="121"/>
      <c r="AC36" s="122"/>
      <c r="AD36" s="69"/>
      <c r="AE36" s="119"/>
      <c r="AF36" s="120"/>
      <c r="AG36" s="88"/>
      <c r="AH36" s="87"/>
      <c r="AI36" s="121"/>
      <c r="AJ36" s="122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</row>
    <row r="37" spans="1:49" x14ac:dyDescent="0.25">
      <c r="A37" s="5" t="s">
        <v>18</v>
      </c>
      <c r="B37" s="271" t="str">
        <f>IF(Rates!D158=$A$37,Rates!B158," ")</f>
        <v>Low Voltage Service Rate</v>
      </c>
      <c r="C37" s="78"/>
      <c r="D37" s="271" t="str">
        <f>IF(Rates!D158=$A$37,Rates!E158," ")</f>
        <v>kW</v>
      </c>
      <c r="E37" s="79"/>
      <c r="F37" s="235">
        <f>IF(Rates!$G$1="CND 2018",Rates!G158," ")</f>
        <v>5.3699999999999998E-2</v>
      </c>
      <c r="G37" s="81">
        <f t="shared" ref="G37:G53" si="13">IF(D37="customer",1,IF(D37="kWh",$F$19,$F$17))</f>
        <v>60</v>
      </c>
      <c r="H37" s="126">
        <f>G37*F37</f>
        <v>3.222</v>
      </c>
      <c r="I37" s="399"/>
      <c r="J37" s="235">
        <f>IF(Rates!$L$1="E+ 2019",Rates!L158," ")</f>
        <v>0.23050000000000001</v>
      </c>
      <c r="K37" s="81">
        <f t="shared" ref="K37:K53" si="14">IF(D37="customer",1,IF(D37="kWh",$F$19,$F$17))</f>
        <v>60</v>
      </c>
      <c r="L37" s="82">
        <f t="shared" si="1"/>
        <v>13.83</v>
      </c>
      <c r="M37" s="399"/>
      <c r="N37" s="84">
        <f t="shared" si="2"/>
        <v>10.608000000000001</v>
      </c>
      <c r="O37" s="338">
        <f t="shared" ref="O37:O44" si="15">IF(OR(H37=0,L37=0),"",(N37/H37))</f>
        <v>3.2923649906890131</v>
      </c>
      <c r="Q37" s="119"/>
      <c r="R37" s="87"/>
      <c r="S37" s="88"/>
      <c r="T37" s="87"/>
      <c r="U37" s="89"/>
      <c r="V37" s="90"/>
      <c r="W37" s="69"/>
      <c r="X37" s="119"/>
      <c r="Y37" s="87"/>
      <c r="Z37" s="88"/>
      <c r="AA37" s="87"/>
      <c r="AB37" s="89"/>
      <c r="AC37" s="90"/>
      <c r="AD37" s="69"/>
      <c r="AE37" s="119"/>
      <c r="AF37" s="87"/>
      <c r="AG37" s="88"/>
      <c r="AH37" s="87"/>
      <c r="AI37" s="89"/>
      <c r="AJ37" s="90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</row>
    <row r="38" spans="1:49" x14ac:dyDescent="0.25">
      <c r="A38" s="1"/>
      <c r="B38" s="124" t="s">
        <v>116</v>
      </c>
      <c r="C38" s="78"/>
      <c r="D38" s="271" t="s">
        <v>13</v>
      </c>
      <c r="E38" s="79"/>
      <c r="F38" s="127">
        <v>0</v>
      </c>
      <c r="G38" s="125"/>
      <c r="H38" s="126">
        <f t="shared" ref="H38:H44" si="16">G38*F38</f>
        <v>0</v>
      </c>
      <c r="I38" s="83"/>
      <c r="J38" s="80"/>
      <c r="K38" s="125"/>
      <c r="L38" s="82">
        <f t="shared" si="1"/>
        <v>0</v>
      </c>
      <c r="M38" s="83"/>
      <c r="N38" s="84">
        <f t="shared" si="2"/>
        <v>0</v>
      </c>
      <c r="O38" s="85" t="str">
        <f t="shared" si="15"/>
        <v/>
      </c>
      <c r="Q38" s="128"/>
      <c r="R38" s="129"/>
      <c r="S38" s="88"/>
      <c r="T38" s="87"/>
      <c r="U38" s="89"/>
      <c r="V38" s="90"/>
      <c r="W38" s="69"/>
      <c r="X38" s="128"/>
      <c r="Y38" s="129"/>
      <c r="Z38" s="88"/>
      <c r="AA38" s="87"/>
      <c r="AB38" s="89"/>
      <c r="AC38" s="90"/>
      <c r="AD38" s="69"/>
      <c r="AE38" s="128"/>
      <c r="AF38" s="129"/>
      <c r="AG38" s="88"/>
      <c r="AH38" s="87"/>
      <c r="AI38" s="89"/>
      <c r="AJ38" s="90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</row>
    <row r="39" spans="1:49" x14ac:dyDescent="0.25">
      <c r="A39" s="130"/>
      <c r="B39" s="271" t="str">
        <f>IF(Rates!D159=$A$37,Rates!B159," ")</f>
        <v>Rate Rider Other Fixed</v>
      </c>
      <c r="C39" s="78"/>
      <c r="D39" s="271" t="str">
        <f>IF(Rates!D159=$A$37,Rates!E159," ")</f>
        <v>customer</v>
      </c>
      <c r="E39" s="79"/>
      <c r="F39" s="235">
        <f>IF(Rates!$G$1="CND 2018",Rates!G159," ")</f>
        <v>0</v>
      </c>
      <c r="G39" s="81">
        <f t="shared" si="13"/>
        <v>1</v>
      </c>
      <c r="H39" s="126">
        <f t="shared" si="16"/>
        <v>0</v>
      </c>
      <c r="I39" s="83"/>
      <c r="J39" s="80">
        <f>IF(Rates!$L$1="E+ 2019",Rates!L159," ")</f>
        <v>0</v>
      </c>
      <c r="K39" s="81">
        <f t="shared" si="14"/>
        <v>1</v>
      </c>
      <c r="L39" s="82">
        <f t="shared" si="1"/>
        <v>0</v>
      </c>
      <c r="M39" s="83"/>
      <c r="N39" s="84">
        <f t="shared" si="2"/>
        <v>0</v>
      </c>
      <c r="O39" s="85" t="str">
        <f t="shared" si="15"/>
        <v/>
      </c>
      <c r="Q39" s="119"/>
      <c r="R39" s="87"/>
      <c r="S39" s="88"/>
      <c r="T39" s="87"/>
      <c r="U39" s="89"/>
      <c r="V39" s="90"/>
      <c r="W39" s="69"/>
      <c r="X39" s="119"/>
      <c r="Y39" s="87"/>
      <c r="Z39" s="88"/>
      <c r="AA39" s="87"/>
      <c r="AB39" s="89"/>
      <c r="AC39" s="90"/>
      <c r="AD39" s="69"/>
      <c r="AE39" s="119"/>
      <c r="AF39" s="87"/>
      <c r="AG39" s="88"/>
      <c r="AH39" s="87"/>
      <c r="AI39" s="89"/>
      <c r="AJ39" s="90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</row>
    <row r="40" spans="1:49" x14ac:dyDescent="0.25">
      <c r="A40" s="130"/>
      <c r="B40" s="271" t="str">
        <f>IF(Rates!D160=$A$37,Rates!B160," ")</f>
        <v>Rate Rider Other Volumetric</v>
      </c>
      <c r="C40" s="78"/>
      <c r="D40" s="271" t="str">
        <f>IF(Rates!D160=$A$37,Rates!E160," ")</f>
        <v>kW</v>
      </c>
      <c r="E40" s="79"/>
      <c r="F40" s="235">
        <f>IF(Rates!$G$1="CND 2018",Rates!G160," ")</f>
        <v>0</v>
      </c>
      <c r="G40" s="81">
        <f t="shared" si="13"/>
        <v>60</v>
      </c>
      <c r="H40" s="126">
        <f t="shared" si="16"/>
        <v>0</v>
      </c>
      <c r="I40" s="83"/>
      <c r="J40" s="235">
        <f>IF(Rates!$L$1="E+ 2019",Rates!L160," ")</f>
        <v>9.5483921157550861E-2</v>
      </c>
      <c r="K40" s="81">
        <f t="shared" si="14"/>
        <v>60</v>
      </c>
      <c r="L40" s="82">
        <f t="shared" si="1"/>
        <v>5.7290352694530515</v>
      </c>
      <c r="M40" s="83"/>
      <c r="N40" s="84">
        <f t="shared" si="2"/>
        <v>5.7290352694530515</v>
      </c>
      <c r="O40" s="85" t="str">
        <f t="shared" si="15"/>
        <v/>
      </c>
      <c r="Q40" s="119"/>
      <c r="R40" s="87"/>
      <c r="S40" s="88"/>
      <c r="T40" s="87"/>
      <c r="U40" s="89"/>
      <c r="V40" s="90"/>
      <c r="W40" s="69"/>
      <c r="X40" s="119"/>
      <c r="Y40" s="87"/>
      <c r="Z40" s="88"/>
      <c r="AA40" s="87"/>
      <c r="AB40" s="89"/>
      <c r="AC40" s="90"/>
      <c r="AD40" s="69"/>
      <c r="AE40" s="119"/>
      <c r="AF40" s="87"/>
      <c r="AG40" s="88"/>
      <c r="AH40" s="87"/>
      <c r="AI40" s="89"/>
      <c r="AJ40" s="90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</row>
    <row r="41" spans="1:49" x14ac:dyDescent="0.25">
      <c r="A41" s="130"/>
      <c r="B41" s="271" t="str">
        <f>IF(Rates!D161=$A$37,Rates!B161," ")</f>
        <v>Rate Rider Other Volumetric</v>
      </c>
      <c r="C41" s="78"/>
      <c r="D41" s="271" t="str">
        <f>IF(Rates!D161=$A$37,Rates!E161," ")</f>
        <v>kW</v>
      </c>
      <c r="E41" s="79"/>
      <c r="F41" s="235">
        <f>IF(Rates!$G$1="CND 2018",Rates!G161," ")</f>
        <v>0</v>
      </c>
      <c r="G41" s="81">
        <f t="shared" si="13"/>
        <v>60</v>
      </c>
      <c r="H41" s="126">
        <f t="shared" si="16"/>
        <v>0</v>
      </c>
      <c r="I41" s="83"/>
      <c r="J41" s="235">
        <f>IF(Rates!$L$1="E+ 2019",Rates!L161," ")</f>
        <v>0</v>
      </c>
      <c r="K41" s="81">
        <f t="shared" si="14"/>
        <v>60</v>
      </c>
      <c r="L41" s="82">
        <f t="shared" si="1"/>
        <v>0</v>
      </c>
      <c r="M41" s="83"/>
      <c r="N41" s="84">
        <f t="shared" si="2"/>
        <v>0</v>
      </c>
      <c r="O41" s="85" t="str">
        <f t="shared" si="15"/>
        <v/>
      </c>
      <c r="Q41" s="119"/>
      <c r="R41" s="87"/>
      <c r="S41" s="88"/>
      <c r="T41" s="87"/>
      <c r="U41" s="89"/>
      <c r="V41" s="90"/>
      <c r="W41" s="69"/>
      <c r="X41" s="119"/>
      <c r="Y41" s="87"/>
      <c r="Z41" s="88"/>
      <c r="AA41" s="87"/>
      <c r="AB41" s="89"/>
      <c r="AC41" s="90"/>
      <c r="AD41" s="69"/>
      <c r="AE41" s="119"/>
      <c r="AF41" s="87"/>
      <c r="AG41" s="88"/>
      <c r="AH41" s="87"/>
      <c r="AI41" s="89"/>
      <c r="AJ41" s="90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</row>
    <row r="42" spans="1:49" x14ac:dyDescent="0.25">
      <c r="A42" s="1"/>
      <c r="B42" s="271" t="str">
        <f>IF(Rates!D162=$A$37,Rates!B162," ")</f>
        <v xml:space="preserve">Rate Rider for Disposition of Deferral/Variance Accounts </v>
      </c>
      <c r="C42" s="78"/>
      <c r="D42" s="271" t="str">
        <f>IF(Rates!D162=$A$37,Rates!E162," ")</f>
        <v>kW</v>
      </c>
      <c r="E42" s="79"/>
      <c r="F42" s="337">
        <f>IF(Rates!$G$1="CND 2018",Rates!G162," ")</f>
        <v>-0.29754431886348609</v>
      </c>
      <c r="G42" s="81">
        <f t="shared" si="13"/>
        <v>60</v>
      </c>
      <c r="H42" s="126">
        <f t="shared" si="16"/>
        <v>-17.852659131809165</v>
      </c>
      <c r="I42" s="83"/>
      <c r="J42" s="337">
        <f>IF(Rates!$L$1="E+ 2019",Rates!L162," ")</f>
        <v>-0.44588513494045856</v>
      </c>
      <c r="K42" s="81">
        <f t="shared" si="14"/>
        <v>60</v>
      </c>
      <c r="L42" s="82">
        <f t="shared" si="1"/>
        <v>-26.753108096427514</v>
      </c>
      <c r="M42" s="83"/>
      <c r="N42" s="84">
        <f t="shared" si="2"/>
        <v>-8.9004489646183487</v>
      </c>
      <c r="O42" s="85">
        <f t="shared" si="15"/>
        <v>0.4985503223304073</v>
      </c>
      <c r="Q42" s="128"/>
      <c r="R42" s="129"/>
      <c r="S42" s="88"/>
      <c r="T42" s="87"/>
      <c r="U42" s="89"/>
      <c r="V42" s="90"/>
      <c r="W42" s="69"/>
      <c r="X42" s="128"/>
      <c r="Y42" s="129"/>
      <c r="Z42" s="88"/>
      <c r="AA42" s="87"/>
      <c r="AB42" s="89"/>
      <c r="AC42" s="90"/>
      <c r="AD42" s="69"/>
      <c r="AE42" s="128"/>
      <c r="AF42" s="129"/>
      <c r="AG42" s="88"/>
      <c r="AH42" s="87"/>
      <c r="AI42" s="89"/>
      <c r="AJ42" s="90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</row>
    <row r="43" spans="1:49" x14ac:dyDescent="0.25">
      <c r="A43" s="1"/>
      <c r="B43" s="271" t="str">
        <f>IF(Rates!D163=$A$37,Rates!B163," ")</f>
        <v>Rate Rider for Disposition of Deferral/Variance Accounts Non-WMP Customers</v>
      </c>
      <c r="C43" s="78"/>
      <c r="D43" s="271" t="str">
        <f>IF(Rates!D163=$A$37,Rates!E163," ")</f>
        <v>kW</v>
      </c>
      <c r="E43" s="79"/>
      <c r="F43" s="337">
        <f>IF(Rates!$G$1="CND 2018",Rates!G163," ")</f>
        <v>-1.7176948178630711</v>
      </c>
      <c r="G43" s="81">
        <f t="shared" si="13"/>
        <v>60</v>
      </c>
      <c r="H43" s="126">
        <f t="shared" si="16"/>
        <v>-103.06168907178427</v>
      </c>
      <c r="I43" s="83"/>
      <c r="J43" s="337">
        <f>IF(Rates!$L$1="E+ 2019",Rates!L163," ")</f>
        <v>-8.6780676279522614E-2</v>
      </c>
      <c r="K43" s="81">
        <f t="shared" si="14"/>
        <v>60</v>
      </c>
      <c r="L43" s="82">
        <f t="shared" si="1"/>
        <v>-5.2068405767713566</v>
      </c>
      <c r="M43" s="83"/>
      <c r="N43" s="84">
        <f t="shared" si="2"/>
        <v>97.854848495012916</v>
      </c>
      <c r="O43" s="85">
        <f t="shared" si="15"/>
        <v>-0.94947840828472452</v>
      </c>
      <c r="Q43" s="128"/>
      <c r="R43" s="129"/>
      <c r="S43" s="88"/>
      <c r="T43" s="87"/>
      <c r="U43" s="89"/>
      <c r="V43" s="90"/>
      <c r="W43" s="69"/>
      <c r="X43" s="128"/>
      <c r="Y43" s="129"/>
      <c r="Z43" s="88"/>
      <c r="AA43" s="87"/>
      <c r="AB43" s="89"/>
      <c r="AC43" s="90"/>
      <c r="AD43" s="69"/>
      <c r="AE43" s="128"/>
      <c r="AF43" s="129"/>
      <c r="AG43" s="88"/>
      <c r="AH43" s="87"/>
      <c r="AI43" s="89"/>
      <c r="AJ43" s="90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</row>
    <row r="44" spans="1:49" x14ac:dyDescent="0.25">
      <c r="A44" s="1"/>
      <c r="B44" s="271" t="str">
        <f>IF(Rates!D164=$A$37,Rates!B164," ")</f>
        <v>Rate Rider for Disposition of GA DV</v>
      </c>
      <c r="C44" s="78"/>
      <c r="D44" s="271" t="str">
        <f>IF(Rates!D164=$A$37,Rates!E164," ")</f>
        <v>kWh</v>
      </c>
      <c r="E44" s="79"/>
      <c r="F44" s="235">
        <f>IF(Rates!$G$1="CND 2018",Rates!G164," ")</f>
        <v>3.3E-3</v>
      </c>
      <c r="G44" s="225">
        <f t="shared" si="13"/>
        <v>20000</v>
      </c>
      <c r="H44" s="126">
        <f t="shared" si="16"/>
        <v>66</v>
      </c>
      <c r="I44" s="83"/>
      <c r="J44" s="312">
        <f>IF(Rates!$L$1="E+ 2019",Rates!L164," ")</f>
        <v>3.8449181889326276E-4</v>
      </c>
      <c r="K44" s="225">
        <f t="shared" si="14"/>
        <v>20000</v>
      </c>
      <c r="L44" s="82">
        <f t="shared" si="1"/>
        <v>7.6898363778652552</v>
      </c>
      <c r="M44" s="83"/>
      <c r="N44" s="84">
        <f t="shared" si="2"/>
        <v>-58.310163622134745</v>
      </c>
      <c r="O44" s="85">
        <f t="shared" si="15"/>
        <v>-0.88348732760810222</v>
      </c>
      <c r="Q44" s="128"/>
      <c r="R44" s="129"/>
      <c r="S44" s="88"/>
      <c r="T44" s="87"/>
      <c r="U44" s="89"/>
      <c r="V44" s="90"/>
      <c r="W44" s="69"/>
      <c r="X44" s="128"/>
      <c r="Y44" s="129"/>
      <c r="Z44" s="88"/>
      <c r="AA44" s="87"/>
      <c r="AB44" s="89"/>
      <c r="AC44" s="90"/>
      <c r="AD44" s="69"/>
      <c r="AE44" s="128"/>
      <c r="AF44" s="129"/>
      <c r="AG44" s="88"/>
      <c r="AH44" s="87"/>
      <c r="AI44" s="89"/>
      <c r="AJ44" s="90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</row>
    <row r="45" spans="1:49" ht="28.5" x14ac:dyDescent="0.25">
      <c r="A45" s="1"/>
      <c r="B45" s="271" t="str">
        <f>IF(Rates!D165=$A$37,Rates!B165," ")</f>
        <v>Rate Rider for Disposition of Capacity Based Recovery Account (2018) - Applicable only for Class B Customers</v>
      </c>
      <c r="C45" s="78"/>
      <c r="D45" s="271" t="str">
        <f>IF(Rates!D165=$A$37,Rates!E165," ")</f>
        <v>kW</v>
      </c>
      <c r="E45" s="79"/>
      <c r="F45" s="235">
        <f>IF(Rates!$G$1="CND 2018",Rates!G165," ")</f>
        <v>0.13750000000000001</v>
      </c>
      <c r="G45" s="81">
        <f t="shared" si="13"/>
        <v>60</v>
      </c>
      <c r="H45" s="126">
        <f>G45*F45</f>
        <v>8.25</v>
      </c>
      <c r="I45" s="83"/>
      <c r="J45" s="235">
        <f>IF(Rates!$L$1="E+ 2019",Rates!L165," ")</f>
        <v>1.5625881795421066E-3</v>
      </c>
      <c r="K45" s="81">
        <f t="shared" si="14"/>
        <v>60</v>
      </c>
      <c r="L45" s="82">
        <f t="shared" ref="L45" si="17">K45*J45</f>
        <v>9.3755290772526395E-2</v>
      </c>
      <c r="M45" s="83"/>
      <c r="N45" s="84">
        <f t="shared" ref="N45" si="18">L45-H45</f>
        <v>-8.1562447092274741</v>
      </c>
      <c r="O45" s="85">
        <f t="shared" ref="O45" si="19">IF(OR(H45=0,L45=0),"",(N45/H45))</f>
        <v>-0.98863572233060293</v>
      </c>
      <c r="Q45" s="128"/>
      <c r="R45" s="129"/>
      <c r="S45" s="88"/>
      <c r="T45" s="87"/>
      <c r="U45" s="89"/>
      <c r="V45" s="90"/>
      <c r="W45" s="69"/>
      <c r="X45" s="128"/>
      <c r="Y45" s="129"/>
      <c r="Z45" s="88"/>
      <c r="AA45" s="87"/>
      <c r="AB45" s="89"/>
      <c r="AC45" s="90"/>
      <c r="AD45" s="69"/>
      <c r="AE45" s="128"/>
      <c r="AF45" s="129"/>
      <c r="AG45" s="88"/>
      <c r="AH45" s="87"/>
      <c r="AI45" s="89"/>
      <c r="AJ45" s="90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</row>
    <row r="46" spans="1:49" hidden="1" x14ac:dyDescent="0.25">
      <c r="A46" s="1"/>
      <c r="B46" s="271"/>
      <c r="C46" s="78"/>
      <c r="D46" s="271"/>
      <c r="E46" s="79"/>
      <c r="F46" s="235"/>
      <c r="G46" s="81"/>
      <c r="H46" s="126"/>
      <c r="I46" s="83"/>
      <c r="J46" s="337"/>
      <c r="K46" s="81"/>
      <c r="L46" s="82"/>
      <c r="M46" s="83"/>
      <c r="N46" s="84"/>
      <c r="O46" s="85"/>
      <c r="Q46" s="128"/>
      <c r="R46" s="129"/>
      <c r="S46" s="88"/>
      <c r="T46" s="87"/>
      <c r="U46" s="89"/>
      <c r="V46" s="90"/>
      <c r="W46" s="69"/>
      <c r="X46" s="128"/>
      <c r="Y46" s="129"/>
      <c r="Z46" s="88"/>
      <c r="AA46" s="87"/>
      <c r="AB46" s="89"/>
      <c r="AC46" s="90"/>
      <c r="AD46" s="69"/>
      <c r="AE46" s="128"/>
      <c r="AF46" s="129"/>
      <c r="AG46" s="88"/>
      <c r="AH46" s="87"/>
      <c r="AI46" s="89"/>
      <c r="AJ46" s="90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</row>
    <row r="47" spans="1:49" x14ac:dyDescent="0.25">
      <c r="A47" s="1"/>
      <c r="B47" s="132" t="s">
        <v>80</v>
      </c>
      <c r="C47" s="133"/>
      <c r="D47" s="133"/>
      <c r="E47" s="133"/>
      <c r="F47" s="134"/>
      <c r="G47" s="135"/>
      <c r="H47" s="136">
        <f>SUM(H37:H46)+H36</f>
        <v>324.60654579640646</v>
      </c>
      <c r="I47" s="91"/>
      <c r="J47" s="135"/>
      <c r="K47" s="137"/>
      <c r="L47" s="136">
        <f>SUM(L37:L46)+L36</f>
        <v>387.68389938682679</v>
      </c>
      <c r="M47" s="91"/>
      <c r="N47" s="117">
        <f>SUM(N37:N45)+N36</f>
        <v>63.077353590420316</v>
      </c>
      <c r="O47" s="138">
        <f>IF(OR(H47=0,L47=0),"",(N47/H47))</f>
        <v>0.19431941347844073</v>
      </c>
      <c r="Q47" s="87"/>
      <c r="R47" s="87"/>
      <c r="S47" s="121"/>
      <c r="T47" s="87"/>
      <c r="U47" s="121"/>
      <c r="V47" s="139"/>
      <c r="W47" s="69"/>
      <c r="X47" s="87"/>
      <c r="Y47" s="87"/>
      <c r="Z47" s="121"/>
      <c r="AA47" s="87"/>
      <c r="AB47" s="121"/>
      <c r="AC47" s="139"/>
      <c r="AD47" s="69"/>
      <c r="AE47" s="87"/>
      <c r="AF47" s="87"/>
      <c r="AG47" s="121"/>
      <c r="AH47" s="87"/>
      <c r="AI47" s="121"/>
      <c r="AJ47" s="13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</row>
    <row r="48" spans="1:49" x14ac:dyDescent="0.25">
      <c r="A48" s="38" t="s">
        <v>16</v>
      </c>
      <c r="B48" s="271" t="str">
        <f>IF(Rates!D166=$A$48,Rates!B166," ")</f>
        <v>Retail Transmission Rate – Network Service Rate</v>
      </c>
      <c r="C48" s="83"/>
      <c r="D48" s="271" t="str">
        <f>IF(Rates!D166= $A$48,Rates!E166," ")</f>
        <v>kW</v>
      </c>
      <c r="E48" s="91"/>
      <c r="F48" s="235">
        <f>IF(Rates!$G$1="CND 2018",Rates!G166," ")</f>
        <v>3.3563000000000001</v>
      </c>
      <c r="G48" s="81">
        <f t="shared" si="13"/>
        <v>60</v>
      </c>
      <c r="H48" s="82">
        <f>G48*F48</f>
        <v>201.37800000000001</v>
      </c>
      <c r="I48" s="87"/>
      <c r="J48" s="235">
        <f>IF(Rates!$L$1="E+ 2019",Rates!L166," ")</f>
        <v>3.039109007035127</v>
      </c>
      <c r="K48" s="81">
        <f t="shared" si="14"/>
        <v>60</v>
      </c>
      <c r="L48" s="82">
        <f>K48*J48</f>
        <v>182.34654042210761</v>
      </c>
      <c r="M48" s="87"/>
      <c r="N48" s="84">
        <f t="shared" si="2"/>
        <v>-19.031459577892406</v>
      </c>
      <c r="O48" s="85">
        <f>IF(OR(H48=0,L48=0),"",(N48/H48))</f>
        <v>-9.4506150512431372E-2</v>
      </c>
      <c r="Q48" s="119"/>
      <c r="R48" s="141"/>
      <c r="S48" s="294">
        <f>F48*K48</f>
        <v>201.37800000000001</v>
      </c>
      <c r="T48" s="87"/>
      <c r="U48" s="89"/>
      <c r="V48" s="90"/>
      <c r="W48" s="69"/>
      <c r="X48" s="119"/>
      <c r="Y48" s="141"/>
      <c r="Z48" s="88"/>
      <c r="AA48" s="87"/>
      <c r="AB48" s="89"/>
      <c r="AC48" s="90"/>
      <c r="AD48" s="69"/>
      <c r="AE48" s="119"/>
      <c r="AF48" s="141"/>
      <c r="AG48" s="88"/>
      <c r="AH48" s="87"/>
      <c r="AI48" s="89"/>
      <c r="AJ48" s="90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</row>
    <row r="49" spans="1:49" x14ac:dyDescent="0.25">
      <c r="A49" s="1"/>
      <c r="B49" s="271" t="str">
        <f>IF(Rates!D167=$A$48,Rates!B167," ")</f>
        <v>Retail Transmission Rate – Network Service Rate Interval Metered &lt;1,000 kW</v>
      </c>
      <c r="C49" s="83"/>
      <c r="D49" s="271" t="str">
        <f>IF(Rates!D167= $A$48,Rates!E167," ")</f>
        <v>kW</v>
      </c>
      <c r="E49" s="91"/>
      <c r="F49" s="235">
        <f>IF(Rates!$G$1="CND 2018",Rates!G167," ")</f>
        <v>3.3563000000000001</v>
      </c>
      <c r="G49" s="81">
        <v>0</v>
      </c>
      <c r="H49" s="82">
        <f t="shared" ref="H49:H51" si="20">G49*F49</f>
        <v>0</v>
      </c>
      <c r="I49" s="83"/>
      <c r="J49" s="235">
        <f>IF(Rates!$L$1="E+ 2019",Rates!L167," ")</f>
        <v>3.0547851757037856</v>
      </c>
      <c r="K49" s="81">
        <v>0</v>
      </c>
      <c r="L49" s="82">
        <f t="shared" ref="L49:L51" si="21">K49*J49</f>
        <v>0</v>
      </c>
      <c r="M49" s="83"/>
      <c r="N49" s="84">
        <f t="shared" ref="N49:N51" si="22">L49-H49</f>
        <v>0</v>
      </c>
      <c r="O49" s="85" t="str">
        <f>IF(OR(H49=0,L49=0),"",(N49/H49))</f>
        <v/>
      </c>
      <c r="Q49" s="119"/>
      <c r="R49" s="141"/>
      <c r="S49" s="295">
        <f>F49*K49</f>
        <v>0</v>
      </c>
      <c r="T49" s="87"/>
      <c r="U49" s="89"/>
      <c r="V49" s="90"/>
      <c r="W49" s="69"/>
      <c r="X49" s="119"/>
      <c r="Y49" s="141"/>
      <c r="Z49" s="88"/>
      <c r="AA49" s="87"/>
      <c r="AB49" s="89"/>
      <c r="AC49" s="90"/>
      <c r="AD49" s="69"/>
      <c r="AE49" s="119"/>
      <c r="AF49" s="141"/>
      <c r="AG49" s="88"/>
      <c r="AH49" s="87"/>
      <c r="AI49" s="89"/>
      <c r="AJ49" s="90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</row>
    <row r="50" spans="1:49" x14ac:dyDescent="0.25">
      <c r="A50" s="1"/>
      <c r="B50" s="271" t="str">
        <f>IF(Rates!D168=$A$48,Rates!B168," ")</f>
        <v>Retail Transmission Rate – Line and Transformation Connection Service Rate</v>
      </c>
      <c r="C50" s="83"/>
      <c r="D50" s="271" t="str">
        <f>IF(Rates!D168= $A$48,Rates!E168," ")</f>
        <v>kW</v>
      </c>
      <c r="E50" s="91"/>
      <c r="F50" s="235">
        <f>IF(Rates!$G$1="CND 2018",Rates!G168," ")</f>
        <v>2.4847000000000001</v>
      </c>
      <c r="G50" s="81">
        <f t="shared" si="13"/>
        <v>60</v>
      </c>
      <c r="H50" s="82">
        <f t="shared" si="20"/>
        <v>149.08199999999999</v>
      </c>
      <c r="I50" s="91"/>
      <c r="J50" s="235">
        <f>IF(Rates!$L$1="E+ 2019",Rates!L168," ")</f>
        <v>2.2794726540731611</v>
      </c>
      <c r="K50" s="81">
        <f t="shared" si="14"/>
        <v>60</v>
      </c>
      <c r="L50" s="82">
        <f t="shared" si="21"/>
        <v>136.76835924438967</v>
      </c>
      <c r="M50" s="91"/>
      <c r="N50" s="84">
        <f t="shared" si="22"/>
        <v>-12.313640755610322</v>
      </c>
      <c r="O50" s="85">
        <f t="shared" ref="O50:O51" si="23">IF(OR(H50=0,L50=0),"",(N50/H50))</f>
        <v>-8.2596428513236494E-2</v>
      </c>
      <c r="Q50" s="119"/>
      <c r="R50" s="141"/>
      <c r="S50" s="295">
        <f t="shared" ref="S50:S51" si="24">F50*K50</f>
        <v>149.08199999999999</v>
      </c>
      <c r="T50" s="87"/>
      <c r="U50" s="89"/>
      <c r="V50" s="90"/>
      <c r="W50" s="69"/>
      <c r="X50" s="119"/>
      <c r="Y50" s="141"/>
      <c r="Z50" s="88"/>
      <c r="AA50" s="87"/>
      <c r="AB50" s="89"/>
      <c r="AC50" s="90"/>
      <c r="AD50" s="69"/>
      <c r="AE50" s="119"/>
      <c r="AF50" s="141"/>
      <c r="AG50" s="88"/>
      <c r="AH50" s="87"/>
      <c r="AI50" s="89"/>
      <c r="AJ50" s="90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</row>
    <row r="51" spans="1:49" ht="28.5" x14ac:dyDescent="0.25">
      <c r="A51" s="1"/>
      <c r="B51" s="271" t="str">
        <f>IF(Rates!D169=$A$48,Rates!B169," ")</f>
        <v>Retail Transmission Rate – Line and Transformation Connection Service Rate - Interval Metered &lt; 1,000 kW</v>
      </c>
      <c r="C51" s="83"/>
      <c r="D51" s="271" t="str">
        <f>IF(Rates!D169= $A$48,Rates!E169," ")</f>
        <v>kW</v>
      </c>
      <c r="E51" s="91"/>
      <c r="F51" s="235">
        <f>IF(Rates!$G$1="CND 2018",Rates!G169," ")</f>
        <v>2.4847000000000001</v>
      </c>
      <c r="G51" s="81">
        <v>0</v>
      </c>
      <c r="H51" s="82">
        <f t="shared" si="20"/>
        <v>0</v>
      </c>
      <c r="I51" s="91"/>
      <c r="J51" s="235">
        <f>IF(Rates!$L$1="E+ 2019",Rates!L169," ")</f>
        <v>2.2957713829409307</v>
      </c>
      <c r="K51" s="81">
        <v>0</v>
      </c>
      <c r="L51" s="82">
        <f t="shared" si="21"/>
        <v>0</v>
      </c>
      <c r="M51" s="91"/>
      <c r="N51" s="84">
        <f t="shared" si="22"/>
        <v>0</v>
      </c>
      <c r="O51" s="85" t="str">
        <f t="shared" si="23"/>
        <v/>
      </c>
      <c r="Q51" s="119"/>
      <c r="R51" s="141"/>
      <c r="S51" s="295">
        <f t="shared" si="24"/>
        <v>0</v>
      </c>
      <c r="T51" s="87"/>
      <c r="U51" s="89"/>
      <c r="V51" s="90"/>
      <c r="W51" s="69"/>
      <c r="X51" s="119"/>
      <c r="Y51" s="141"/>
      <c r="Z51" s="88"/>
      <c r="AA51" s="87"/>
      <c r="AB51" s="89"/>
      <c r="AC51" s="90"/>
      <c r="AD51" s="69"/>
      <c r="AE51" s="119"/>
      <c r="AF51" s="141"/>
      <c r="AG51" s="88"/>
      <c r="AH51" s="87"/>
      <c r="AI51" s="89"/>
      <c r="AJ51" s="90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</row>
    <row r="52" spans="1:49" x14ac:dyDescent="0.25">
      <c r="A52" s="1"/>
      <c r="B52" s="132" t="s">
        <v>81</v>
      </c>
      <c r="C52" s="110"/>
      <c r="D52" s="110"/>
      <c r="E52" s="110"/>
      <c r="F52" s="142"/>
      <c r="G52" s="135"/>
      <c r="H52" s="136">
        <f>SUM(H47:H51)</f>
        <v>675.06654579640644</v>
      </c>
      <c r="I52" s="91"/>
      <c r="J52" s="144"/>
      <c r="K52" s="145"/>
      <c r="L52" s="136">
        <f>SUM(L47:L51)</f>
        <v>706.79879905332405</v>
      </c>
      <c r="M52" s="91"/>
      <c r="N52" s="117">
        <f>L52-H52</f>
        <v>31.732253256917602</v>
      </c>
      <c r="O52" s="138">
        <f>IF(OR(H52=0,L52=0),"",(N52/H52))</f>
        <v>4.7006111404145547E-2</v>
      </c>
      <c r="Q52" s="146"/>
      <c r="R52" s="146"/>
      <c r="S52" s="296">
        <f>SUM(S48:S51)</f>
        <v>350.46000000000004</v>
      </c>
      <c r="T52" s="146"/>
      <c r="U52" s="121"/>
      <c r="V52" s="139"/>
      <c r="W52" s="69"/>
      <c r="X52" s="146"/>
      <c r="Y52" s="146"/>
      <c r="Z52" s="121"/>
      <c r="AA52" s="146"/>
      <c r="AB52" s="121"/>
      <c r="AC52" s="139"/>
      <c r="AD52" s="69"/>
      <c r="AE52" s="146"/>
      <c r="AF52" s="146"/>
      <c r="AG52" s="121"/>
      <c r="AH52" s="146"/>
      <c r="AI52" s="121"/>
      <c r="AJ52" s="13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</row>
    <row r="53" spans="1:49" x14ac:dyDescent="0.25">
      <c r="A53" s="4" t="s">
        <v>17</v>
      </c>
      <c r="B53" s="271" t="str">
        <f>IF(Rates!D8=$A$53,Rates!B8," ")</f>
        <v>Standard Supply Service – Administrative Charge (if applicable)</v>
      </c>
      <c r="C53" s="78"/>
      <c r="D53" s="271" t="str">
        <f>IF(Rates!D8=$A$53,Rates!E8," ")</f>
        <v>customer</v>
      </c>
      <c r="E53" s="79"/>
      <c r="F53" s="235">
        <f>IF(Rates!$G$1="CND 2018",Rates!G8," ")</f>
        <v>0.25</v>
      </c>
      <c r="G53" s="81">
        <f t="shared" si="13"/>
        <v>1</v>
      </c>
      <c r="H53" s="148">
        <f t="shared" ref="H53:H62" si="25">G53*F53</f>
        <v>0.25</v>
      </c>
      <c r="I53" s="91"/>
      <c r="J53" s="80">
        <f>IF(Rates!$L$1="E+ 2019",Rates!L8," ")</f>
        <v>0.25</v>
      </c>
      <c r="K53" s="81">
        <f t="shared" si="14"/>
        <v>1</v>
      </c>
      <c r="L53" s="148">
        <f t="shared" ref="L53:L62" si="26">K53*J53</f>
        <v>0.25</v>
      </c>
      <c r="M53" s="91"/>
      <c r="N53" s="84">
        <f t="shared" si="2"/>
        <v>0</v>
      </c>
      <c r="O53" s="85">
        <f>IF(OR(H53=0,L53=0),"",(N53/H53))</f>
        <v>0</v>
      </c>
      <c r="Q53" s="150"/>
      <c r="R53" s="224"/>
      <c r="S53" s="151"/>
      <c r="T53" s="87"/>
      <c r="U53" s="89"/>
      <c r="V53" s="90"/>
      <c r="W53" s="69"/>
      <c r="X53" s="150"/>
      <c r="Y53" s="224"/>
      <c r="Z53" s="151"/>
      <c r="AA53" s="87"/>
      <c r="AB53" s="89"/>
      <c r="AC53" s="90"/>
      <c r="AD53" s="69"/>
      <c r="AE53" s="150"/>
      <c r="AF53" s="224"/>
      <c r="AG53" s="151"/>
      <c r="AH53" s="87"/>
      <c r="AI53" s="89"/>
      <c r="AJ53" s="90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</row>
    <row r="54" spans="1:49" x14ac:dyDescent="0.25">
      <c r="A54" s="1"/>
      <c r="B54" s="271" t="str">
        <f>IF(Rates!D9=$A$53,Rates!B9," ")</f>
        <v xml:space="preserve">Wholesale Market Service Rate </v>
      </c>
      <c r="C54" s="78"/>
      <c r="D54" s="271" t="str">
        <f>IF(Rates!D9=$A$53,Rates!E9," ")</f>
        <v>kWh</v>
      </c>
      <c r="E54" s="79"/>
      <c r="F54" s="235">
        <f>IF(Rates!$G$1="CND 2018",Rates!G9," ")</f>
        <v>3.2000000000000002E-3</v>
      </c>
      <c r="G54" s="225">
        <f>$F$19*(1+$F$76)</f>
        <v>20670</v>
      </c>
      <c r="H54" s="148">
        <f t="shared" si="25"/>
        <v>66.144000000000005</v>
      </c>
      <c r="I54" s="91"/>
      <c r="J54" s="235">
        <f>IF(Rates!$L$1="E+ 2019",Rates!L9," ")</f>
        <v>3.2000000000000002E-3</v>
      </c>
      <c r="K54" s="225">
        <f>$F$19*(1+$J$76)</f>
        <v>20613.692998880539</v>
      </c>
      <c r="L54" s="148">
        <f t="shared" si="26"/>
        <v>65.963817596417726</v>
      </c>
      <c r="M54" s="91"/>
      <c r="N54" s="84">
        <f t="shared" si="2"/>
        <v>-0.18018240358227899</v>
      </c>
      <c r="O54" s="85">
        <f t="shared" ref="O54:O73" si="27">IF(OR(H54=0,L54=0),"",(N54/H54))</f>
        <v>-2.7240929424026212E-3</v>
      </c>
      <c r="Q54" s="150"/>
      <c r="R54" s="224"/>
      <c r="S54" s="151"/>
      <c r="T54" s="87"/>
      <c r="U54" s="89"/>
      <c r="V54" s="90"/>
      <c r="W54" s="69"/>
      <c r="X54" s="150"/>
      <c r="Y54" s="224"/>
      <c r="Z54" s="151"/>
      <c r="AA54" s="87"/>
      <c r="AB54" s="89"/>
      <c r="AC54" s="90"/>
      <c r="AD54" s="69"/>
      <c r="AE54" s="150"/>
      <c r="AF54" s="224"/>
      <c r="AG54" s="151"/>
      <c r="AH54" s="87"/>
      <c r="AI54" s="89"/>
      <c r="AJ54" s="90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</row>
    <row r="55" spans="1:49" x14ac:dyDescent="0.25">
      <c r="A55" s="1"/>
      <c r="B55" s="271" t="str">
        <f>IF(Rates!D10=$A$53,Rates!B10," ")</f>
        <v>Capacity Based Rcovery(CBR) - Class B Customers</v>
      </c>
      <c r="C55" s="78"/>
      <c r="D55" s="271" t="str">
        <f>IF(Rates!D10=$A$53,Rates!E10," ")</f>
        <v>kWh</v>
      </c>
      <c r="E55" s="79"/>
      <c r="F55" s="235">
        <f>IF(Rates!$G$1="CND 2018",Rates!G10," ")</f>
        <v>4.0000000000000002E-4</v>
      </c>
      <c r="G55" s="225">
        <f t="shared" ref="G55:G56" si="28">$F$19*(1+$F$76)</f>
        <v>20670</v>
      </c>
      <c r="H55" s="148">
        <f t="shared" si="25"/>
        <v>8.2680000000000007</v>
      </c>
      <c r="I55" s="83"/>
      <c r="J55" s="235">
        <f>IF(Rates!$L$1="E+ 2019",Rates!L10," ")</f>
        <v>4.0000000000000002E-4</v>
      </c>
      <c r="K55" s="225">
        <f t="shared" ref="K55:K56" si="29">$F$19*(1+$J$76)</f>
        <v>20613.692998880539</v>
      </c>
      <c r="L55" s="148">
        <f t="shared" si="26"/>
        <v>8.2454771995522158</v>
      </c>
      <c r="M55" s="83"/>
      <c r="N55" s="84">
        <f t="shared" si="2"/>
        <v>-2.2522800447784874E-2</v>
      </c>
      <c r="O55" s="85">
        <f t="shared" si="27"/>
        <v>-2.7240929424026212E-3</v>
      </c>
      <c r="Q55" s="150"/>
      <c r="R55" s="224"/>
      <c r="S55" s="151" t="s">
        <v>203</v>
      </c>
      <c r="T55" s="87"/>
      <c r="U55" s="89"/>
      <c r="V55" s="90"/>
      <c r="W55" s="69"/>
      <c r="X55" s="150"/>
      <c r="Y55" s="224"/>
      <c r="Z55" s="151"/>
      <c r="AA55" s="87"/>
      <c r="AB55" s="89"/>
      <c r="AC55" s="90"/>
      <c r="AD55" s="69"/>
      <c r="AE55" s="150"/>
      <c r="AF55" s="224"/>
      <c r="AG55" s="151"/>
      <c r="AH55" s="87"/>
      <c r="AI55" s="89"/>
      <c r="AJ55" s="90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</row>
    <row r="56" spans="1:49" x14ac:dyDescent="0.25">
      <c r="A56" s="1"/>
      <c r="B56" s="271" t="str">
        <f>IF(Rates!D11=$A$53,Rates!B11," ")</f>
        <v xml:space="preserve">Rural Rate Protection Charge </v>
      </c>
      <c r="C56" s="78"/>
      <c r="D56" s="271" t="str">
        <f>IF(Rates!D11=$A$53,Rates!E11," ")</f>
        <v>kWh</v>
      </c>
      <c r="E56" s="79"/>
      <c r="F56" s="235">
        <f>IF(Rates!$G$1="CND 2018",Rates!G11," ")</f>
        <v>2.9999999999999997E-4</v>
      </c>
      <c r="G56" s="225">
        <f t="shared" si="28"/>
        <v>20670</v>
      </c>
      <c r="H56" s="148">
        <f t="shared" si="25"/>
        <v>6.2009999999999996</v>
      </c>
      <c r="I56" s="83"/>
      <c r="J56" s="235">
        <f>IF(Rates!$L$1="E+ 2019",Rates!L11," ")</f>
        <v>2.9999999999999997E-4</v>
      </c>
      <c r="K56" s="225">
        <f t="shared" si="29"/>
        <v>20613.692998880539</v>
      </c>
      <c r="L56" s="148">
        <f t="shared" si="26"/>
        <v>6.184107899664161</v>
      </c>
      <c r="M56" s="83"/>
      <c r="N56" s="84">
        <f t="shared" si="2"/>
        <v>-1.6892100335838656E-2</v>
      </c>
      <c r="O56" s="85">
        <f t="shared" si="27"/>
        <v>-2.7240929424026217E-3</v>
      </c>
      <c r="Q56" s="153"/>
      <c r="R56" s="87"/>
      <c r="S56" s="151"/>
      <c r="T56" s="87"/>
      <c r="U56" s="89"/>
      <c r="V56" s="90"/>
      <c r="W56" s="69"/>
      <c r="X56" s="153"/>
      <c r="Y56" s="87"/>
      <c r="Z56" s="151"/>
      <c r="AA56" s="87"/>
      <c r="AB56" s="89"/>
      <c r="AC56" s="90"/>
      <c r="AD56" s="69"/>
      <c r="AE56" s="153"/>
      <c r="AF56" s="87"/>
      <c r="AG56" s="151"/>
      <c r="AH56" s="87"/>
      <c r="AI56" s="89"/>
      <c r="AJ56" s="90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</row>
    <row r="57" spans="1:49" x14ac:dyDescent="0.25">
      <c r="A57" s="1"/>
      <c r="B57" s="271" t="str">
        <f>IF(Rates!D12=$A$53,Rates!B12," ")</f>
        <v>Debt Retirement Charge</v>
      </c>
      <c r="C57" s="78"/>
      <c r="D57" s="271" t="str">
        <f>IF(Rates!D12=$A$53,Rates!E12," ")</f>
        <v>kWh</v>
      </c>
      <c r="E57" s="79"/>
      <c r="F57" s="235">
        <f>IF(Rates!$G$1="CND 2018",Rates!G12," ")</f>
        <v>7.0000000000000001E-3</v>
      </c>
      <c r="G57" s="225">
        <f t="shared" ref="G57" si="30">IF(D57="customer",1,IF(D57="kWh",$F$19,$F$17))</f>
        <v>20000</v>
      </c>
      <c r="H57" s="148">
        <f>G57*F57</f>
        <v>140</v>
      </c>
      <c r="I57" s="91"/>
      <c r="J57" s="235">
        <f>IF(Rates!$L$1="E+ 2019",Rates!L12," ")</f>
        <v>7.0000000000000001E-3</v>
      </c>
      <c r="K57" s="225">
        <f t="shared" ref="K57" si="31">IF(D57="customer",1,IF(D57="kWh",$F$19,$F$17))</f>
        <v>20000</v>
      </c>
      <c r="L57" s="148">
        <f t="shared" si="26"/>
        <v>140</v>
      </c>
      <c r="M57" s="91"/>
      <c r="N57" s="84">
        <f t="shared" ref="N57:N62" si="32">L57-H57</f>
        <v>0</v>
      </c>
      <c r="O57" s="85">
        <f t="shared" ref="O57:O62" si="33">IF(OR(H57=0,L57=0),"",(N57/H57))</f>
        <v>0</v>
      </c>
      <c r="Q57" s="153"/>
      <c r="R57" s="87"/>
      <c r="S57" s="151" t="s">
        <v>204</v>
      </c>
      <c r="T57" s="87"/>
      <c r="U57" s="89"/>
      <c r="V57" s="90"/>
      <c r="W57" s="69"/>
      <c r="X57" s="153"/>
      <c r="Y57" s="87"/>
      <c r="Z57" s="151"/>
      <c r="AA57" s="87"/>
      <c r="AB57" s="89"/>
      <c r="AC57" s="90"/>
      <c r="AD57" s="69"/>
      <c r="AE57" s="153"/>
      <c r="AF57" s="87"/>
      <c r="AG57" s="151"/>
      <c r="AH57" s="87"/>
      <c r="AI57" s="89"/>
      <c r="AJ57" s="90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</row>
    <row r="58" spans="1:49" x14ac:dyDescent="0.25">
      <c r="A58" s="6" t="s">
        <v>14</v>
      </c>
      <c r="B58" s="271" t="str">
        <f>IF(Rates!D2=$A$58,Rates!B2," ")</f>
        <v>TOU - Off Peak</v>
      </c>
      <c r="C58" s="78"/>
      <c r="D58" s="271" t="str">
        <f>IF(Rates!D2=$A$58,Rates!E2," ")</f>
        <v>kWh</v>
      </c>
      <c r="E58" s="79"/>
      <c r="F58" s="235">
        <f>IF(Rates!$G$1="CND 2018",Rates!G2," ")</f>
        <v>6.5000000000000002E-2</v>
      </c>
      <c r="G58" s="226">
        <f>IF($G$61=0,0.65*($F$19*(1+$F$76)),0)</f>
        <v>0</v>
      </c>
      <c r="H58" s="148">
        <f t="shared" si="25"/>
        <v>0</v>
      </c>
      <c r="I58" s="91"/>
      <c r="J58" s="152">
        <f>IF(Rates!$L$1="E+ 2019",Rates!L2," ")</f>
        <v>6.5000000000000002E-2</v>
      </c>
      <c r="K58" s="226">
        <f>IF($K$61=0,0.65*$F$19,0)</f>
        <v>0</v>
      </c>
      <c r="L58" s="148">
        <f t="shared" si="26"/>
        <v>0</v>
      </c>
      <c r="M58" s="91"/>
      <c r="N58" s="84">
        <f t="shared" si="32"/>
        <v>0</v>
      </c>
      <c r="O58" s="85" t="str">
        <f t="shared" si="33"/>
        <v/>
      </c>
      <c r="Q58" s="150"/>
      <c r="R58" s="224"/>
      <c r="S58" s="151"/>
      <c r="T58" s="87"/>
      <c r="U58" s="89"/>
      <c r="V58" s="90"/>
      <c r="W58" s="69"/>
      <c r="X58" s="150"/>
      <c r="Y58" s="224"/>
      <c r="Z58" s="151"/>
      <c r="AA58" s="87"/>
      <c r="AB58" s="89"/>
      <c r="AC58" s="90"/>
      <c r="AD58" s="69"/>
      <c r="AE58" s="150"/>
      <c r="AF58" s="224"/>
      <c r="AG58" s="151"/>
      <c r="AH58" s="87"/>
      <c r="AI58" s="89"/>
      <c r="AJ58" s="90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</row>
    <row r="59" spans="1:49" x14ac:dyDescent="0.25">
      <c r="A59" s="1"/>
      <c r="B59" s="271" t="str">
        <f>IF(Rates!D3=$A$58,Rates!B3," ")</f>
        <v>TOU - Mid Peak</v>
      </c>
      <c r="C59" s="78"/>
      <c r="D59" s="271" t="str">
        <f>IF(Rates!D3=$A$58,Rates!E3," ")</f>
        <v>kWh</v>
      </c>
      <c r="E59" s="79"/>
      <c r="F59" s="235">
        <f>IF(Rates!$G$1="CND 2018",Rates!G3," ")</f>
        <v>9.5000000000000001E-2</v>
      </c>
      <c r="G59" s="226">
        <f>IF($G$61=0,0.17*($F$19*(1+$F$76)),0)</f>
        <v>0</v>
      </c>
      <c r="H59" s="148">
        <f t="shared" si="25"/>
        <v>0</v>
      </c>
      <c r="I59" s="91"/>
      <c r="J59" s="147">
        <f t="shared" ref="J59:J62" si="34">+F59</f>
        <v>9.5000000000000001E-2</v>
      </c>
      <c r="K59" s="226">
        <f>IF($K$61=0,0.17*$F$19,0)</f>
        <v>0</v>
      </c>
      <c r="L59" s="148">
        <f t="shared" si="26"/>
        <v>0</v>
      </c>
      <c r="M59" s="91"/>
      <c r="N59" s="84">
        <f t="shared" si="32"/>
        <v>0</v>
      </c>
      <c r="O59" s="85" t="str">
        <f t="shared" si="33"/>
        <v/>
      </c>
      <c r="Q59" s="157"/>
      <c r="R59" s="227"/>
      <c r="S59" s="151"/>
      <c r="T59" s="87"/>
      <c r="U59" s="89"/>
      <c r="V59" s="90"/>
      <c r="W59" s="69"/>
      <c r="X59" s="157"/>
      <c r="Y59" s="227"/>
      <c r="Z59" s="151"/>
      <c r="AA59" s="87"/>
      <c r="AB59" s="89"/>
      <c r="AC59" s="90"/>
      <c r="AD59" s="69"/>
      <c r="AE59" s="157"/>
      <c r="AF59" s="227"/>
      <c r="AG59" s="151"/>
      <c r="AH59" s="87"/>
      <c r="AI59" s="89"/>
      <c r="AJ59" s="90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</row>
    <row r="60" spans="1:49" x14ac:dyDescent="0.25">
      <c r="A60" s="1"/>
      <c r="B60" s="271" t="str">
        <f>IF(Rates!D4=$A$58,Rates!B4," ")</f>
        <v>TOU - On Peak</v>
      </c>
      <c r="C60" s="78"/>
      <c r="D60" s="271" t="str">
        <f>IF(Rates!D4=$A$58,Rates!E4," ")</f>
        <v>kWh</v>
      </c>
      <c r="E60" s="79"/>
      <c r="F60" s="235">
        <f>IF(Rates!$G$1="CND 2018",Rates!G4," ")</f>
        <v>0.13200000000000001</v>
      </c>
      <c r="G60" s="226">
        <f>IF($G$61=0,0.18*($F$19*(1+$F$76)),0)</f>
        <v>0</v>
      </c>
      <c r="H60" s="148">
        <f t="shared" si="25"/>
        <v>0</v>
      </c>
      <c r="I60" s="277"/>
      <c r="J60" s="147">
        <f t="shared" si="34"/>
        <v>0.13200000000000001</v>
      </c>
      <c r="K60" s="226">
        <f>IF($K$61=0,0.18*$F$19,0)</f>
        <v>0</v>
      </c>
      <c r="L60" s="148">
        <f t="shared" si="26"/>
        <v>0</v>
      </c>
      <c r="M60" s="277"/>
      <c r="N60" s="84">
        <f t="shared" si="32"/>
        <v>0</v>
      </c>
      <c r="O60" s="85" t="str">
        <f t="shared" si="33"/>
        <v/>
      </c>
      <c r="Q60" s="157"/>
      <c r="R60" s="227"/>
      <c r="S60" s="151"/>
      <c r="T60" s="87"/>
      <c r="U60" s="89"/>
      <c r="V60" s="90"/>
      <c r="W60" s="69"/>
      <c r="X60" s="157"/>
      <c r="Y60" s="227"/>
      <c r="Z60" s="151"/>
      <c r="AA60" s="87"/>
      <c r="AB60" s="89"/>
      <c r="AC60" s="90"/>
      <c r="AD60" s="69"/>
      <c r="AE60" s="157"/>
      <c r="AF60" s="227"/>
      <c r="AG60" s="151"/>
      <c r="AH60" s="87"/>
      <c r="AI60" s="89"/>
      <c r="AJ60" s="90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</row>
    <row r="61" spans="1:49" x14ac:dyDescent="0.25">
      <c r="A61" s="1"/>
      <c r="B61" s="271" t="str">
        <f>IF(Rates!D5=$A$58,Rates!B5," ")</f>
        <v>Commodity</v>
      </c>
      <c r="C61" s="160"/>
      <c r="D61" s="271" t="str">
        <f>IF(Rates!D5=$A$58,Rates!E5," ")</f>
        <v>kWh</v>
      </c>
      <c r="E61" s="161"/>
      <c r="F61" s="235">
        <f>IF(Rates!$G$1="CND 2018",Rates!G5," ")</f>
        <v>1.8855833333333332E-2</v>
      </c>
      <c r="G61" s="225">
        <f t="shared" ref="G61:G62" si="35">$F$19*(1+$F$76)</f>
        <v>20670</v>
      </c>
      <c r="H61" s="148">
        <f t="shared" si="25"/>
        <v>389.75007499999998</v>
      </c>
      <c r="I61" s="91"/>
      <c r="J61" s="147">
        <f t="shared" si="34"/>
        <v>1.8855833333333332E-2</v>
      </c>
      <c r="K61" s="225">
        <f t="shared" ref="K61:K62" si="36">$F$19*(1+$J$76)</f>
        <v>20613.692998880539</v>
      </c>
      <c r="L61" s="148">
        <f t="shared" si="26"/>
        <v>388.68835957139157</v>
      </c>
      <c r="M61" s="91"/>
      <c r="N61" s="84">
        <f t="shared" si="32"/>
        <v>-1.0617154286084087</v>
      </c>
      <c r="O61" s="85">
        <f t="shared" si="33"/>
        <v>-2.7240929424026633E-3</v>
      </c>
      <c r="Q61" s="157"/>
      <c r="R61" s="227"/>
      <c r="S61" s="151"/>
      <c r="T61" s="166"/>
      <c r="U61" s="89"/>
      <c r="V61" s="90"/>
      <c r="W61" s="69"/>
      <c r="X61" s="157"/>
      <c r="Y61" s="227"/>
      <c r="Z61" s="151"/>
      <c r="AA61" s="166"/>
      <c r="AB61" s="89"/>
      <c r="AC61" s="90"/>
      <c r="AD61" s="69"/>
      <c r="AE61" s="157"/>
      <c r="AF61" s="227"/>
      <c r="AG61" s="151"/>
      <c r="AH61" s="166"/>
      <c r="AI61" s="89"/>
      <c r="AJ61" s="90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</row>
    <row r="62" spans="1:49" ht="15.75" thickBot="1" x14ac:dyDescent="0.3">
      <c r="A62" s="159"/>
      <c r="B62" s="271" t="str">
        <f>IF(Rates!D6=$A$58,Rates!B6," ")</f>
        <v>Global Adjustment</v>
      </c>
      <c r="C62" s="160"/>
      <c r="D62" s="271" t="str">
        <f>IF(Rates!D6=$A$58,Rates!E6," ")</f>
        <v>kWh</v>
      </c>
      <c r="E62" s="161"/>
      <c r="F62" s="235">
        <f>IF(Rates!$G$1="CND 2018",Rates!G6," ")</f>
        <v>0.10303000000000001</v>
      </c>
      <c r="G62" s="225">
        <f t="shared" si="35"/>
        <v>20670</v>
      </c>
      <c r="H62" s="148">
        <f t="shared" si="25"/>
        <v>2129.6301000000003</v>
      </c>
      <c r="I62" s="91"/>
      <c r="J62" s="169">
        <f t="shared" si="34"/>
        <v>0.10303000000000001</v>
      </c>
      <c r="K62" s="225">
        <f t="shared" si="36"/>
        <v>20613.692998880539</v>
      </c>
      <c r="L62" s="148">
        <f t="shared" si="26"/>
        <v>2123.8287896746619</v>
      </c>
      <c r="M62" s="91"/>
      <c r="N62" s="84">
        <f t="shared" si="32"/>
        <v>-5.8013103253383633</v>
      </c>
      <c r="O62" s="85">
        <f t="shared" si="33"/>
        <v>-2.7240929424027028E-3</v>
      </c>
      <c r="Q62" s="157"/>
      <c r="R62" s="227"/>
      <c r="S62" s="151"/>
      <c r="T62" s="166"/>
      <c r="U62" s="89"/>
      <c r="V62" s="90"/>
      <c r="W62" s="69"/>
      <c r="X62" s="157"/>
      <c r="Y62" s="227"/>
      <c r="Z62" s="151"/>
      <c r="AA62" s="166"/>
      <c r="AB62" s="89"/>
      <c r="AC62" s="90"/>
      <c r="AD62" s="69"/>
      <c r="AE62" s="157"/>
      <c r="AF62" s="227"/>
      <c r="AG62" s="151"/>
      <c r="AH62" s="166"/>
      <c r="AI62" s="89"/>
      <c r="AJ62" s="90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</row>
    <row r="63" spans="1:49" ht="15.75" thickBot="1" x14ac:dyDescent="0.3">
      <c r="A63" s="159"/>
      <c r="B63" s="211"/>
      <c r="C63" s="212"/>
      <c r="D63" s="213"/>
      <c r="E63" s="212"/>
      <c r="F63" s="266"/>
      <c r="G63" s="214"/>
      <c r="H63" s="267"/>
      <c r="I63" s="91"/>
      <c r="J63" s="266"/>
      <c r="K63" s="216"/>
      <c r="L63" s="267"/>
      <c r="M63" s="91"/>
      <c r="N63" s="402"/>
      <c r="O63" s="403"/>
      <c r="Q63" s="157"/>
      <c r="R63" s="120"/>
      <c r="S63" s="151"/>
      <c r="T63" s="87"/>
      <c r="U63" s="89"/>
      <c r="V63" s="174"/>
      <c r="W63" s="69"/>
      <c r="X63" s="157"/>
      <c r="Y63" s="120"/>
      <c r="Z63" s="151"/>
      <c r="AA63" s="87"/>
      <c r="AB63" s="89"/>
      <c r="AC63" s="174"/>
      <c r="AD63" s="69"/>
      <c r="AE63" s="157"/>
      <c r="AF63" s="120"/>
      <c r="AG63" s="151"/>
      <c r="AH63" s="87"/>
      <c r="AI63" s="89"/>
      <c r="AJ63" s="174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</row>
    <row r="64" spans="1:49" x14ac:dyDescent="0.25">
      <c r="A64" s="159"/>
      <c r="B64" s="175" t="s">
        <v>97</v>
      </c>
      <c r="C64" s="78"/>
      <c r="D64" s="78"/>
      <c r="E64" s="78"/>
      <c r="F64" s="176"/>
      <c r="G64" s="177"/>
      <c r="H64" s="179">
        <f>SUM(H53:H57,H52,H61,,H62,)</f>
        <v>3415.3097207964065</v>
      </c>
      <c r="I64" s="91"/>
      <c r="J64" s="178"/>
      <c r="K64" s="178"/>
      <c r="L64" s="179">
        <f>SUM(L53:L57,L52,L61,,L62,)</f>
        <v>3439.9593509950118</v>
      </c>
      <c r="M64" s="91"/>
      <c r="N64" s="179">
        <f>L64-H64</f>
        <v>24.649630198605337</v>
      </c>
      <c r="O64" s="180">
        <f t="shared" si="27"/>
        <v>7.2173923344373463E-3</v>
      </c>
      <c r="Q64" s="181"/>
      <c r="R64" s="181"/>
      <c r="S64" s="121"/>
      <c r="T64" s="146"/>
      <c r="U64" s="89"/>
      <c r="V64" s="90"/>
      <c r="W64" s="69"/>
      <c r="X64" s="181"/>
      <c r="Y64" s="181"/>
      <c r="Z64" s="121"/>
      <c r="AA64" s="146"/>
      <c r="AB64" s="89"/>
      <c r="AC64" s="90"/>
      <c r="AD64" s="69"/>
      <c r="AE64" s="181"/>
      <c r="AF64" s="181"/>
      <c r="AG64" s="121"/>
      <c r="AH64" s="146"/>
      <c r="AI64" s="89"/>
      <c r="AJ64" s="90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</row>
    <row r="65" spans="1:49" x14ac:dyDescent="0.25">
      <c r="A65" s="159"/>
      <c r="B65" s="182" t="s">
        <v>9</v>
      </c>
      <c r="C65" s="78"/>
      <c r="D65" s="78"/>
      <c r="E65" s="78"/>
      <c r="F65" s="183">
        <v>0.13</v>
      </c>
      <c r="G65" s="87"/>
      <c r="H65" s="188">
        <f>H64*F65</f>
        <v>443.99026370353289</v>
      </c>
      <c r="I65" s="91"/>
      <c r="J65" s="185">
        <v>0.13</v>
      </c>
      <c r="K65" s="184"/>
      <c r="L65" s="188">
        <f>L64*J65</f>
        <v>447.19471562935155</v>
      </c>
      <c r="M65" s="91"/>
      <c r="N65" s="188">
        <f>L65-H65</f>
        <v>3.2044519258186597</v>
      </c>
      <c r="O65" s="85">
        <f t="shared" si="27"/>
        <v>7.2173923344372682E-3</v>
      </c>
      <c r="Q65" s="189"/>
      <c r="R65" s="187"/>
      <c r="S65" s="190"/>
      <c r="T65" s="187"/>
      <c r="U65" s="89"/>
      <c r="V65" s="90"/>
      <c r="W65" s="69"/>
      <c r="X65" s="189"/>
      <c r="Y65" s="187"/>
      <c r="Z65" s="190"/>
      <c r="AA65" s="187"/>
      <c r="AB65" s="89"/>
      <c r="AC65" s="90"/>
      <c r="AD65" s="69"/>
      <c r="AE65" s="189"/>
      <c r="AF65" s="187"/>
      <c r="AG65" s="190"/>
      <c r="AH65" s="187"/>
      <c r="AI65" s="89"/>
      <c r="AJ65" s="90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</row>
    <row r="66" spans="1:49" ht="15.75" thickBot="1" x14ac:dyDescent="0.3">
      <c r="A66" s="1"/>
      <c r="B66" s="515" t="s">
        <v>98</v>
      </c>
      <c r="C66" s="515"/>
      <c r="D66" s="515"/>
      <c r="E66" s="192"/>
      <c r="F66" s="218"/>
      <c r="G66" s="219"/>
      <c r="H66" s="222">
        <f>SUM(H64:H65)</f>
        <v>3859.2999844999395</v>
      </c>
      <c r="I66" s="91"/>
      <c r="J66" s="220"/>
      <c r="K66" s="220"/>
      <c r="L66" s="222">
        <f>SUM(L64:L65)</f>
        <v>3887.1540666243636</v>
      </c>
      <c r="M66" s="91"/>
      <c r="N66" s="222">
        <f>L66-H66</f>
        <v>27.854082124424167</v>
      </c>
      <c r="O66" s="197">
        <f t="shared" si="27"/>
        <v>7.217392334437381E-3</v>
      </c>
      <c r="Q66" s="146"/>
      <c r="R66" s="146"/>
      <c r="S66" s="121"/>
      <c r="T66" s="146"/>
      <c r="U66" s="121"/>
      <c r="V66" s="223"/>
      <c r="W66" s="69"/>
      <c r="X66" s="146"/>
      <c r="Y66" s="146"/>
      <c r="Z66" s="121"/>
      <c r="AA66" s="146"/>
      <c r="AB66" s="121"/>
      <c r="AC66" s="223"/>
      <c r="AD66" s="69"/>
      <c r="AE66" s="146"/>
      <c r="AF66" s="146"/>
      <c r="AG66" s="121"/>
      <c r="AH66" s="146"/>
      <c r="AI66" s="121"/>
      <c r="AJ66" s="223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</row>
    <row r="67" spans="1:49" ht="15.75" thickBot="1" x14ac:dyDescent="0.3">
      <c r="A67" s="1"/>
      <c r="B67" s="198"/>
      <c r="C67" s="199"/>
      <c r="D67" s="200"/>
      <c r="E67" s="199"/>
      <c r="F67" s="266"/>
      <c r="G67" s="201"/>
      <c r="H67" s="267"/>
      <c r="I67" s="91"/>
      <c r="J67" s="266"/>
      <c r="K67" s="203"/>
      <c r="L67" s="267"/>
      <c r="M67" s="91"/>
      <c r="N67" s="268"/>
      <c r="O67" s="403"/>
      <c r="Q67" s="157"/>
      <c r="R67" s="206"/>
      <c r="S67" s="151"/>
      <c r="T67" s="166"/>
      <c r="U67" s="207"/>
      <c r="V67" s="174"/>
      <c r="W67" s="69"/>
      <c r="X67" s="157"/>
      <c r="Y67" s="206"/>
      <c r="Z67" s="151"/>
      <c r="AA67" s="166"/>
      <c r="AB67" s="207"/>
      <c r="AC67" s="174"/>
      <c r="AD67" s="69"/>
      <c r="AE67" s="157"/>
      <c r="AF67" s="206"/>
      <c r="AG67" s="151"/>
      <c r="AH67" s="166"/>
      <c r="AI67" s="207"/>
      <c r="AJ67" s="174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</row>
    <row r="68" spans="1:49" x14ac:dyDescent="0.25">
      <c r="A68" s="1"/>
      <c r="B68" s="236" t="s">
        <v>99</v>
      </c>
      <c r="C68" s="160"/>
      <c r="D68" s="160"/>
      <c r="E68" s="160"/>
      <c r="F68" s="237"/>
      <c r="G68" s="238"/>
      <c r="H68" s="241">
        <f>IF($G$58&gt;0,SUM(H52,H53:H60),0)</f>
        <v>0</v>
      </c>
      <c r="I68" s="278"/>
      <c r="J68" s="239"/>
      <c r="K68" s="239"/>
      <c r="L68" s="241">
        <f>IF($K$58&gt;0,SUM(L52,L53:L60),0)</f>
        <v>0</v>
      </c>
      <c r="M68" s="278"/>
      <c r="N68" s="241">
        <f t="shared" ref="N68:N73" si="37">L68-H68</f>
        <v>0</v>
      </c>
      <c r="O68" s="180" t="str">
        <f t="shared" si="27"/>
        <v/>
      </c>
      <c r="Q68" s="242"/>
      <c r="R68" s="242"/>
      <c r="S68" s="243"/>
      <c r="T68" s="240"/>
      <c r="U68" s="89"/>
      <c r="V68" s="90"/>
      <c r="W68" s="69"/>
      <c r="X68" s="242"/>
      <c r="Y68" s="242"/>
      <c r="Z68" s="243"/>
      <c r="AA68" s="240"/>
      <c r="AB68" s="89"/>
      <c r="AC68" s="90"/>
      <c r="AD68" s="69"/>
      <c r="AE68" s="242"/>
      <c r="AF68" s="242"/>
      <c r="AG68" s="243"/>
      <c r="AH68" s="240"/>
      <c r="AI68" s="89"/>
      <c r="AJ68" s="90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</row>
    <row r="69" spans="1:49" x14ac:dyDescent="0.25">
      <c r="A69" s="1"/>
      <c r="B69" s="244" t="s">
        <v>9</v>
      </c>
      <c r="C69" s="160"/>
      <c r="D69" s="160"/>
      <c r="E69" s="160"/>
      <c r="F69" s="245">
        <v>0.13</v>
      </c>
      <c r="G69" s="238"/>
      <c r="H69" s="250">
        <f>$H$68*F69</f>
        <v>0</v>
      </c>
      <c r="I69" s="278"/>
      <c r="J69" s="247">
        <v>0.13</v>
      </c>
      <c r="K69" s="248"/>
      <c r="L69" s="250">
        <f>$L$68*J69</f>
        <v>0</v>
      </c>
      <c r="M69" s="278"/>
      <c r="N69" s="250">
        <f t="shared" si="37"/>
        <v>0</v>
      </c>
      <c r="O69" s="85" t="str">
        <f t="shared" si="27"/>
        <v/>
      </c>
      <c r="Q69" s="251"/>
      <c r="R69" s="252"/>
      <c r="S69" s="253"/>
      <c r="T69" s="249"/>
      <c r="U69" s="89"/>
      <c r="V69" s="90"/>
      <c r="W69" s="69"/>
      <c r="X69" s="251"/>
      <c r="Y69" s="252"/>
      <c r="Z69" s="253"/>
      <c r="AA69" s="249"/>
      <c r="AB69" s="89"/>
      <c r="AC69" s="90"/>
      <c r="AD69" s="69"/>
      <c r="AE69" s="251"/>
      <c r="AF69" s="252"/>
      <c r="AG69" s="253"/>
      <c r="AH69" s="249"/>
      <c r="AI69" s="89"/>
      <c r="AJ69" s="90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</row>
    <row r="70" spans="1:49" x14ac:dyDescent="0.25">
      <c r="A70" s="1"/>
      <c r="B70" s="182" t="s">
        <v>106</v>
      </c>
      <c r="C70" s="78"/>
      <c r="D70" s="78"/>
      <c r="E70" s="78"/>
      <c r="F70" s="183">
        <v>-0.05</v>
      </c>
      <c r="G70" s="87"/>
      <c r="H70" s="188">
        <f>$H$68*F70</f>
        <v>0</v>
      </c>
      <c r="I70" s="278"/>
      <c r="J70" s="183">
        <v>-0.05</v>
      </c>
      <c r="K70" s="184"/>
      <c r="L70" s="188">
        <f>$L$68*J70</f>
        <v>0</v>
      </c>
      <c r="M70" s="278"/>
      <c r="N70" s="188">
        <f t="shared" si="37"/>
        <v>0</v>
      </c>
      <c r="O70" s="85" t="str">
        <f t="shared" si="27"/>
        <v/>
      </c>
      <c r="Q70" s="189"/>
      <c r="R70" s="187"/>
      <c r="S70" s="190"/>
      <c r="T70" s="187"/>
      <c r="U70" s="89"/>
      <c r="V70" s="90"/>
      <c r="W70" s="69"/>
      <c r="X70" s="189"/>
      <c r="Y70" s="187"/>
      <c r="Z70" s="253"/>
      <c r="AA70" s="249"/>
      <c r="AB70" s="89"/>
      <c r="AC70" s="90"/>
      <c r="AD70" s="69"/>
      <c r="AE70" s="251"/>
      <c r="AF70" s="252"/>
      <c r="AG70" s="253"/>
      <c r="AH70" s="249"/>
      <c r="AI70" s="89"/>
      <c r="AJ70" s="90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</row>
    <row r="71" spans="1:49" x14ac:dyDescent="0.25">
      <c r="A71" s="159"/>
      <c r="B71" s="254" t="s">
        <v>100</v>
      </c>
      <c r="C71" s="160"/>
      <c r="D71" s="160"/>
      <c r="E71" s="160"/>
      <c r="F71" s="255"/>
      <c r="G71" s="166"/>
      <c r="H71" s="250">
        <f>SUM(H68:H70)</f>
        <v>0</v>
      </c>
      <c r="I71" s="87"/>
      <c r="J71" s="246"/>
      <c r="K71" s="246"/>
      <c r="L71" s="250">
        <f>SUM(L68:L70)</f>
        <v>0</v>
      </c>
      <c r="M71" s="87"/>
      <c r="N71" s="250">
        <f t="shared" si="37"/>
        <v>0</v>
      </c>
      <c r="O71" s="85" t="str">
        <f t="shared" si="27"/>
        <v/>
      </c>
      <c r="Q71" s="249"/>
      <c r="R71" s="249"/>
      <c r="S71" s="253"/>
      <c r="T71" s="249"/>
      <c r="U71" s="89"/>
      <c r="V71" s="90"/>
      <c r="W71" s="69"/>
      <c r="X71" s="249"/>
      <c r="Y71" s="249"/>
      <c r="Z71" s="253"/>
      <c r="AA71" s="249"/>
      <c r="AB71" s="89"/>
      <c r="AC71" s="90"/>
      <c r="AD71" s="69"/>
      <c r="AE71" s="249"/>
      <c r="AF71" s="249"/>
      <c r="AG71" s="253"/>
      <c r="AH71" s="249"/>
      <c r="AI71" s="89"/>
      <c r="AJ71" s="90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</row>
    <row r="72" spans="1:49" x14ac:dyDescent="0.25">
      <c r="A72" s="159"/>
      <c r="B72" s="516" t="s">
        <v>101</v>
      </c>
      <c r="C72" s="516"/>
      <c r="D72" s="516"/>
      <c r="E72" s="160"/>
      <c r="F72" s="255"/>
      <c r="G72" s="166"/>
      <c r="H72" s="256">
        <f>ROUND(-H71*0%,2)</f>
        <v>0</v>
      </c>
      <c r="I72" s="146"/>
      <c r="J72" s="246"/>
      <c r="K72" s="246"/>
      <c r="L72" s="256">
        <f>ROUND(-L71*0%,2)</f>
        <v>0</v>
      </c>
      <c r="M72" s="146"/>
      <c r="N72" s="256">
        <f t="shared" si="37"/>
        <v>0</v>
      </c>
      <c r="O72" s="257" t="str">
        <f>IF(OR(H72=0,L72=0),"",(N72/H72))</f>
        <v/>
      </c>
      <c r="Q72" s="249"/>
      <c r="R72" s="249"/>
      <c r="S72" s="258"/>
      <c r="T72" s="249"/>
      <c r="U72" s="259"/>
      <c r="V72" s="90"/>
      <c r="W72" s="69"/>
      <c r="X72" s="249"/>
      <c r="Y72" s="249"/>
      <c r="Z72" s="258"/>
      <c r="AA72" s="249"/>
      <c r="AB72" s="259"/>
      <c r="AC72" s="90"/>
      <c r="AD72" s="69"/>
      <c r="AE72" s="249"/>
      <c r="AF72" s="249"/>
      <c r="AG72" s="258"/>
      <c r="AH72" s="249"/>
      <c r="AI72" s="259"/>
      <c r="AJ72" s="90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</row>
    <row r="73" spans="1:49" ht="15.75" thickBot="1" x14ac:dyDescent="0.3">
      <c r="A73" s="159"/>
      <c r="B73" s="513" t="s">
        <v>102</v>
      </c>
      <c r="C73" s="513"/>
      <c r="D73" s="513"/>
      <c r="E73" s="260"/>
      <c r="F73" s="261"/>
      <c r="G73" s="262"/>
      <c r="H73" s="265">
        <f>SUM(H71:H72)</f>
        <v>0</v>
      </c>
      <c r="I73" s="187"/>
      <c r="J73" s="263"/>
      <c r="K73" s="263"/>
      <c r="L73" s="265">
        <f>SUM(L71:L72)</f>
        <v>0</v>
      </c>
      <c r="M73" s="187"/>
      <c r="N73" s="265">
        <f t="shared" si="37"/>
        <v>0</v>
      </c>
      <c r="O73" s="197" t="str">
        <f t="shared" si="27"/>
        <v/>
      </c>
      <c r="Q73" s="240"/>
      <c r="R73" s="240"/>
      <c r="S73" s="243"/>
      <c r="T73" s="240"/>
      <c r="U73" s="121"/>
      <c r="V73" s="223"/>
      <c r="W73" s="69"/>
      <c r="X73" s="240"/>
      <c r="Y73" s="240"/>
      <c r="Z73" s="243"/>
      <c r="AA73" s="240"/>
      <c r="AB73" s="121"/>
      <c r="AC73" s="223"/>
      <c r="AD73" s="69"/>
      <c r="AE73" s="240"/>
      <c r="AF73" s="240"/>
      <c r="AG73" s="243"/>
      <c r="AH73" s="240"/>
      <c r="AI73" s="121"/>
      <c r="AJ73" s="223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</row>
    <row r="74" spans="1:49" ht="15.75" thickBot="1" x14ac:dyDescent="0.3">
      <c r="A74" s="159"/>
      <c r="B74" s="198"/>
      <c r="C74" s="199"/>
      <c r="D74" s="200"/>
      <c r="E74" s="199"/>
      <c r="F74" s="390"/>
      <c r="G74" s="400"/>
      <c r="H74" s="401"/>
      <c r="I74" s="187"/>
      <c r="J74" s="390"/>
      <c r="K74" s="391"/>
      <c r="L74" s="392"/>
      <c r="M74" s="187"/>
      <c r="N74" s="396"/>
      <c r="O74" s="397"/>
      <c r="Q74" s="157"/>
      <c r="R74" s="206"/>
      <c r="S74" s="151"/>
      <c r="T74" s="166"/>
      <c r="U74" s="207"/>
      <c r="V74" s="174"/>
      <c r="W74" s="69"/>
      <c r="X74" s="157"/>
      <c r="Y74" s="206"/>
      <c r="Z74" s="151"/>
      <c r="AA74" s="166"/>
      <c r="AB74" s="207"/>
      <c r="AC74" s="174"/>
      <c r="AD74" s="69"/>
      <c r="AE74" s="157"/>
      <c r="AF74" s="206"/>
      <c r="AG74" s="151"/>
      <c r="AH74" s="166"/>
      <c r="AI74" s="207"/>
      <c r="AJ74" s="174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</row>
    <row r="75" spans="1:49" x14ac:dyDescent="0.25">
      <c r="A75" s="159"/>
      <c r="B75" s="1"/>
      <c r="C75" s="1"/>
      <c r="D75" s="1"/>
      <c r="E75" s="1"/>
      <c r="F75" s="1"/>
      <c r="G75" s="1"/>
      <c r="H75" s="67"/>
      <c r="I75" s="1"/>
      <c r="J75" s="1"/>
      <c r="K75" s="1"/>
      <c r="L75" s="67"/>
      <c r="M75" s="1"/>
      <c r="N75" s="1"/>
      <c r="O75" s="1"/>
      <c r="Q75" s="2"/>
      <c r="R75" s="2"/>
      <c r="S75" s="208"/>
      <c r="T75" s="2"/>
      <c r="U75" s="2"/>
      <c r="V75" s="2"/>
      <c r="W75" s="69"/>
      <c r="X75" s="2"/>
      <c r="Y75" s="2"/>
      <c r="Z75" s="208"/>
      <c r="AA75" s="2"/>
      <c r="AB75" s="2"/>
      <c r="AC75" s="2"/>
      <c r="AD75" s="69"/>
      <c r="AE75" s="2"/>
      <c r="AF75" s="2"/>
      <c r="AG75" s="208"/>
      <c r="AH75" s="2"/>
      <c r="AI75" s="2"/>
      <c r="AJ75" s="2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</row>
    <row r="76" spans="1:49" x14ac:dyDescent="0.25">
      <c r="A76" s="159"/>
      <c r="B76" s="65" t="s">
        <v>10</v>
      </c>
      <c r="C76" s="1"/>
      <c r="D76" s="1"/>
      <c r="E76" s="1"/>
      <c r="F76" s="209">
        <f>Rates!$R$2-1</f>
        <v>3.3500000000000085E-2</v>
      </c>
      <c r="G76" s="1"/>
      <c r="H76" s="1"/>
      <c r="I76" s="1"/>
      <c r="J76" s="209">
        <f>Rates!$T$2-1</f>
        <v>3.0684649944026976E-2</v>
      </c>
      <c r="K76" s="1"/>
      <c r="L76" s="67"/>
      <c r="M76" s="1"/>
      <c r="N76" s="1"/>
      <c r="O76" s="1"/>
      <c r="Q76" s="210"/>
      <c r="R76" s="2"/>
      <c r="S76" s="2"/>
      <c r="T76" s="2"/>
      <c r="U76" s="2"/>
      <c r="V76" s="2"/>
      <c r="W76" s="69"/>
      <c r="X76" s="210"/>
      <c r="Y76" s="2"/>
      <c r="Z76" s="2"/>
      <c r="AA76" s="2"/>
      <c r="AB76" s="2"/>
      <c r="AC76" s="2"/>
      <c r="AD76" s="69"/>
      <c r="AE76" s="210"/>
      <c r="AF76" s="2"/>
      <c r="AG76" s="2"/>
      <c r="AH76" s="2"/>
      <c r="AI76" s="2"/>
      <c r="AJ76" s="2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</row>
    <row r="77" spans="1:49" x14ac:dyDescent="0.25">
      <c r="A77" s="159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4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4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5">
      <c r="A81" s="1" t="s">
        <v>84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25">
      <c r="A82" s="1" t="s">
        <v>85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25">
      <c r="A84" s="64" t="s">
        <v>86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25">
      <c r="A85" s="64" t="s">
        <v>87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25">
      <c r="A87" s="1" t="s">
        <v>88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25">
      <c r="A88" s="1" t="s">
        <v>89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25">
      <c r="A89" s="1" t="s">
        <v>90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x14ac:dyDescent="0.25">
      <c r="A90" s="1" t="s">
        <v>91</v>
      </c>
      <c r="B90" s="1" t="s">
        <v>93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x14ac:dyDescent="0.25">
      <c r="A91" s="1" t="s">
        <v>92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</sheetData>
  <mergeCells count="24">
    <mergeCell ref="AI21:AI22"/>
    <mergeCell ref="AJ21:AJ22"/>
    <mergeCell ref="B66:D66"/>
    <mergeCell ref="B72:D72"/>
    <mergeCell ref="V21:V22"/>
    <mergeCell ref="AB21:AB22"/>
    <mergeCell ref="B73:D73"/>
    <mergeCell ref="N21:N22"/>
    <mergeCell ref="O21:O22"/>
    <mergeCell ref="U21:U22"/>
    <mergeCell ref="AC21:AC22"/>
    <mergeCell ref="AI20:AJ20"/>
    <mergeCell ref="A3:K3"/>
    <mergeCell ref="B10:O10"/>
    <mergeCell ref="B11:O11"/>
    <mergeCell ref="D14:O14"/>
    <mergeCell ref="F20:H20"/>
    <mergeCell ref="J20:L20"/>
    <mergeCell ref="N20:O20"/>
    <mergeCell ref="Q20:S20"/>
    <mergeCell ref="U20:V20"/>
    <mergeCell ref="X20:Z20"/>
    <mergeCell ref="AB20:AC20"/>
    <mergeCell ref="AE20:AG20"/>
  </mergeCells>
  <dataValidations count="3">
    <dataValidation type="list" allowBlank="1" showInputMessage="1" showErrorMessage="1" sqref="D16">
      <formula1>"TOU, non-TOU"</formula1>
    </dataValidation>
    <dataValidation type="list" allowBlank="1" showInputMessage="1" showErrorMessage="1" prompt="Select Charge Unit - monthly, per kWh, per kW" sqref="D74 D63 D67">
      <formula1>"Monthly, per kWh, per kW"</formula1>
    </dataValidation>
    <dataValidation type="list" allowBlank="1" showInputMessage="1" showErrorMessage="1" sqref="E48:E51 E74 E67 E53:E63 E37:E46 E23:E35">
      <formula1>#REF!</formula1>
    </dataValidation>
  </dataValidations>
  <printOptions horizontalCentered="1"/>
  <pageMargins left="0.3" right="0.35" top="0.92" bottom="0.7" header="0.56999999999999995" footer="0.41"/>
  <pageSetup paperSize="256" scale="60" fitToHeight="0" orientation="landscape" r:id="rId1"/>
  <headerFooter>
    <oddFooter>&amp;C&amp;A</oddFooter>
  </headerFooter>
  <ignoredErrors>
    <ignoredError sqref="F47:F63 J47:J57 J23:J34 F23:F34 J36:J45 F36:F45 J59:J6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51" r:id="rId4" name="Option Button 3">
              <controlPr defaultSize="0" autoFill="0" autoLine="0" autoPict="0">
                <anchor moveWithCells="1">
                  <from>
                    <xdr:col>9</xdr:col>
                    <xdr:colOff>361950</xdr:colOff>
                    <xdr:row>91</xdr:row>
                    <xdr:rowOff>0</xdr:rowOff>
                  </from>
                  <to>
                    <xdr:col>14</xdr:col>
                    <xdr:colOff>657225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2" r:id="rId5" name="Option Button 4">
              <controlPr defaultSize="0" autoFill="0" autoLine="0" autoPict="0">
                <anchor moveWithCells="1">
                  <from>
                    <xdr:col>6</xdr:col>
                    <xdr:colOff>381000</xdr:colOff>
                    <xdr:row>91</xdr:row>
                    <xdr:rowOff>0</xdr:rowOff>
                  </from>
                  <to>
                    <xdr:col>9</xdr:col>
                    <xdr:colOff>133350</xdr:colOff>
                    <xdr:row>92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3" r:id="rId6" name="Option Button 5">
              <controlPr defaultSize="0" autoFill="0" autoLine="0" autoPict="0">
                <anchor moveWithCells="1">
                  <from>
                    <xdr:col>9</xdr:col>
                    <xdr:colOff>361950</xdr:colOff>
                    <xdr:row>91</xdr:row>
                    <xdr:rowOff>0</xdr:rowOff>
                  </from>
                  <to>
                    <xdr:col>14</xdr:col>
                    <xdr:colOff>657225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4" r:id="rId7" name="Option Button 6">
              <controlPr defaultSize="0" autoFill="0" autoLine="0" autoPict="0">
                <anchor moveWithCells="1">
                  <from>
                    <xdr:col>6</xdr:col>
                    <xdr:colOff>381000</xdr:colOff>
                    <xdr:row>91</xdr:row>
                    <xdr:rowOff>0</xdr:rowOff>
                  </from>
                  <to>
                    <xdr:col>9</xdr:col>
                    <xdr:colOff>133350</xdr:colOff>
                    <xdr:row>92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5" r:id="rId8" name="Option Button 7">
              <controlPr defaultSize="0" autoFill="0" autoLine="0" autoPict="0">
                <anchor moveWithCells="1">
                  <from>
                    <xdr:col>9</xdr:col>
                    <xdr:colOff>361950</xdr:colOff>
                    <xdr:row>91</xdr:row>
                    <xdr:rowOff>0</xdr:rowOff>
                  </from>
                  <to>
                    <xdr:col>14</xdr:col>
                    <xdr:colOff>657225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6" r:id="rId9" name="Option Button 8">
              <controlPr defaultSize="0" autoFill="0" autoLine="0" autoPict="0">
                <anchor moveWithCells="1">
                  <from>
                    <xdr:col>6</xdr:col>
                    <xdr:colOff>381000</xdr:colOff>
                    <xdr:row>91</xdr:row>
                    <xdr:rowOff>0</xdr:rowOff>
                  </from>
                  <to>
                    <xdr:col>9</xdr:col>
                    <xdr:colOff>133350</xdr:colOff>
                    <xdr:row>92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7" r:id="rId10" name="Option Button 9">
              <controlPr defaultSize="0" autoFill="0" autoLine="0" autoPict="0">
                <anchor moveWithCells="1">
                  <from>
                    <xdr:col>9</xdr:col>
                    <xdr:colOff>361950</xdr:colOff>
                    <xdr:row>91</xdr:row>
                    <xdr:rowOff>0</xdr:rowOff>
                  </from>
                  <to>
                    <xdr:col>14</xdr:col>
                    <xdr:colOff>657225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8" r:id="rId11" name="Option Button 10">
              <controlPr defaultSize="0" autoFill="0" autoLine="0" autoPict="0">
                <anchor moveWithCells="1">
                  <from>
                    <xdr:col>6</xdr:col>
                    <xdr:colOff>381000</xdr:colOff>
                    <xdr:row>91</xdr:row>
                    <xdr:rowOff>0</xdr:rowOff>
                  </from>
                  <to>
                    <xdr:col>9</xdr:col>
                    <xdr:colOff>133350</xdr:colOff>
                    <xdr:row>92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9" r:id="rId12" name="Option Button 11">
              <controlPr defaultSize="0" autoFill="0" autoLine="0" autoPict="0">
                <anchor moveWithCells="1">
                  <from>
                    <xdr:col>9</xdr:col>
                    <xdr:colOff>361950</xdr:colOff>
                    <xdr:row>91</xdr:row>
                    <xdr:rowOff>0</xdr:rowOff>
                  </from>
                  <to>
                    <xdr:col>14</xdr:col>
                    <xdr:colOff>657225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0" r:id="rId13" name="Option Button 12">
              <controlPr defaultSize="0" autoFill="0" autoLine="0" autoPict="0">
                <anchor moveWithCells="1">
                  <from>
                    <xdr:col>6</xdr:col>
                    <xdr:colOff>381000</xdr:colOff>
                    <xdr:row>91</xdr:row>
                    <xdr:rowOff>0</xdr:rowOff>
                  </from>
                  <to>
                    <xdr:col>9</xdr:col>
                    <xdr:colOff>133350</xdr:colOff>
                    <xdr:row>92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8168889431442"/>
  </sheetPr>
  <dimension ref="A1:AW91"/>
  <sheetViews>
    <sheetView showGridLines="0" topLeftCell="A31" zoomScale="80" zoomScaleNormal="80" workbookViewId="0">
      <selection activeCell="J25" sqref="J25"/>
    </sheetView>
  </sheetViews>
  <sheetFormatPr defaultColWidth="9.140625" defaultRowHeight="15" x14ac:dyDescent="0.25"/>
  <cols>
    <col min="1" max="1" width="31.28515625" customWidth="1"/>
    <col min="2" max="2" width="57.42578125" customWidth="1"/>
    <col min="3" max="3" width="1.5703125" customWidth="1"/>
    <col min="4" max="4" width="12.42578125" customWidth="1"/>
    <col min="5" max="5" width="1.7109375" customWidth="1"/>
    <col min="6" max="6" width="12" customWidth="1"/>
    <col min="7" max="7" width="11.7109375" customWidth="1"/>
    <col min="8" max="8" width="16.42578125" customWidth="1"/>
    <col min="9" max="9" width="1.28515625" customWidth="1"/>
    <col min="10" max="10" width="12.28515625" customWidth="1"/>
    <col min="11" max="11" width="10.5703125" customWidth="1"/>
    <col min="12" max="12" width="16.28515625" customWidth="1"/>
    <col min="13" max="13" width="1.28515625" customWidth="1"/>
    <col min="14" max="14" width="14.7109375" customWidth="1"/>
    <col min="15" max="15" width="10.5703125" customWidth="1"/>
    <col min="16" max="16" width="1.42578125" customWidth="1"/>
    <col min="17" max="17" width="1.7109375" customWidth="1"/>
    <col min="18" max="18" width="9.42578125" customWidth="1"/>
    <col min="19" max="19" width="12.5703125" customWidth="1"/>
    <col min="20" max="20" width="1.28515625" customWidth="1"/>
    <col min="21" max="21" width="10.85546875" customWidth="1"/>
    <col min="22" max="22" width="10.140625" customWidth="1"/>
    <col min="23" max="23" width="1.28515625" customWidth="1"/>
    <col min="24" max="24" width="11" customWidth="1"/>
    <col min="25" max="25" width="9.5703125" customWidth="1"/>
    <col min="26" max="26" width="12.42578125" customWidth="1"/>
    <col min="27" max="27" width="1.28515625" customWidth="1"/>
    <col min="28" max="28" width="10" customWidth="1"/>
    <col min="30" max="30" width="0.85546875" customWidth="1"/>
    <col min="31" max="31" width="11.140625" customWidth="1"/>
    <col min="32" max="32" width="9.5703125" customWidth="1"/>
    <col min="33" max="33" width="12.42578125" customWidth="1"/>
    <col min="34" max="34" width="1.140625" customWidth="1"/>
    <col min="35" max="35" width="10.42578125" customWidth="1"/>
    <col min="37" max="37" width="0.85546875" customWidth="1"/>
  </cols>
  <sheetData>
    <row r="1" spans="1:21" ht="21.75" x14ac:dyDescent="0.25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0"/>
      <c r="M1" s="50"/>
      <c r="N1" s="52" t="s">
        <v>68</v>
      </c>
      <c r="O1" s="53">
        <v>0</v>
      </c>
      <c r="T1">
        <v>1</v>
      </c>
      <c r="U1">
        <v>2</v>
      </c>
    </row>
    <row r="2" spans="1:21" ht="18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0"/>
      <c r="M2" s="50"/>
      <c r="N2" s="52" t="s">
        <v>69</v>
      </c>
      <c r="O2" s="55"/>
    </row>
    <row r="3" spans="1:21" ht="18" x14ac:dyDescent="0.25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"/>
      <c r="M3" s="50"/>
      <c r="N3" s="52" t="s">
        <v>70</v>
      </c>
      <c r="O3" s="55"/>
    </row>
    <row r="4" spans="1:21" ht="18" x14ac:dyDescent="0.25">
      <c r="A4" s="54"/>
      <c r="B4" s="54"/>
      <c r="C4" s="54"/>
      <c r="D4" s="54"/>
      <c r="E4" s="54"/>
      <c r="F4" s="54"/>
      <c r="G4" s="54"/>
      <c r="H4" s="54"/>
      <c r="I4" s="56"/>
      <c r="J4" s="56"/>
      <c r="K4" s="56"/>
      <c r="L4" s="50"/>
      <c r="M4" s="50"/>
      <c r="N4" s="52" t="s">
        <v>71</v>
      </c>
      <c r="O4" s="55"/>
    </row>
    <row r="5" spans="1:21" ht="15.75" x14ac:dyDescent="0.25">
      <c r="A5" s="50"/>
      <c r="B5" s="50"/>
      <c r="C5" s="57"/>
      <c r="D5" s="57"/>
      <c r="E5" s="57"/>
      <c r="F5" s="50"/>
      <c r="G5" s="50"/>
      <c r="H5" s="50"/>
      <c r="I5" s="50"/>
      <c r="J5" s="50"/>
      <c r="K5" s="50"/>
      <c r="L5" s="50"/>
      <c r="M5" s="50"/>
      <c r="N5" s="52" t="s">
        <v>72</v>
      </c>
      <c r="O5" s="58"/>
    </row>
    <row r="6" spans="1:2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2"/>
      <c r="O6" s="53"/>
    </row>
    <row r="7" spans="1:2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2" t="s">
        <v>73</v>
      </c>
      <c r="O7" s="58"/>
    </row>
    <row r="8" spans="1:21" x14ac:dyDescent="0.25">
      <c r="A8" s="5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1" ht="18" x14ac:dyDescent="0.25">
      <c r="A10" s="1"/>
      <c r="B10" s="508" t="s">
        <v>74</v>
      </c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508"/>
      <c r="N10" s="508"/>
      <c r="O10" s="508"/>
    </row>
    <row r="11" spans="1:21" ht="18" x14ac:dyDescent="0.25">
      <c r="A11" s="1"/>
      <c r="B11" s="508" t="s">
        <v>75</v>
      </c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1" ht="15.75" x14ac:dyDescent="0.25">
      <c r="A14" s="1"/>
      <c r="B14" s="60" t="s">
        <v>0</v>
      </c>
      <c r="C14" s="1"/>
      <c r="D14" s="509" t="s">
        <v>118</v>
      </c>
      <c r="E14" s="509"/>
      <c r="F14" s="509"/>
      <c r="G14" s="509"/>
      <c r="H14" s="509"/>
      <c r="I14" s="509"/>
      <c r="J14" s="509"/>
      <c r="K14" s="509"/>
      <c r="L14" s="509"/>
      <c r="M14" s="509"/>
      <c r="N14" s="509"/>
      <c r="O14" s="509"/>
    </row>
    <row r="15" spans="1:21" ht="15.75" x14ac:dyDescent="0.25">
      <c r="A15" s="1"/>
      <c r="B15" s="61"/>
      <c r="C15" s="1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pans="1:21" ht="15.75" x14ac:dyDescent="0.25">
      <c r="A16" s="1"/>
      <c r="B16" s="60" t="s">
        <v>76</v>
      </c>
      <c r="C16" s="1"/>
      <c r="D16" s="63" t="s">
        <v>94</v>
      </c>
      <c r="E16" s="62"/>
      <c r="F16" s="228" t="s">
        <v>95</v>
      </c>
      <c r="G16" s="62"/>
      <c r="H16" s="62"/>
      <c r="I16" s="62"/>
      <c r="J16" s="62"/>
      <c r="K16" s="62"/>
      <c r="L16" s="62"/>
      <c r="M16" s="62"/>
      <c r="N16" s="62"/>
      <c r="O16" s="62"/>
    </row>
    <row r="17" spans="1:49" ht="15.75" x14ac:dyDescent="0.25">
      <c r="A17" s="1"/>
      <c r="B17" s="61"/>
      <c r="C17" s="1"/>
      <c r="D17" s="62"/>
      <c r="E17" s="62"/>
      <c r="F17" s="229">
        <f>ROUND(+F18*0.9,0)</f>
        <v>60</v>
      </c>
      <c r="G17" s="230" t="s">
        <v>96</v>
      </c>
      <c r="H17" s="231"/>
      <c r="I17" s="62"/>
      <c r="J17" s="62"/>
      <c r="K17" s="62"/>
      <c r="L17" s="62"/>
      <c r="M17" s="62"/>
      <c r="N17" s="62"/>
      <c r="O17" s="62"/>
    </row>
    <row r="18" spans="1:49" x14ac:dyDescent="0.25">
      <c r="A18" s="1"/>
      <c r="B18" s="64"/>
      <c r="C18" s="1"/>
      <c r="D18" s="65"/>
      <c r="E18" s="65"/>
      <c r="F18" s="229">
        <f>ROUND(60/0.9,0)</f>
        <v>67</v>
      </c>
      <c r="G18" s="65" t="s">
        <v>113</v>
      </c>
      <c r="H18" s="1"/>
      <c r="I18" s="1"/>
      <c r="J18" s="1"/>
      <c r="K18" s="1"/>
      <c r="L18" s="1"/>
      <c r="M18" s="1"/>
      <c r="N18" s="1"/>
      <c r="O18" s="1"/>
    </row>
    <row r="19" spans="1:49" x14ac:dyDescent="0.25">
      <c r="A19" s="1"/>
      <c r="B19" s="64"/>
      <c r="C19" s="1"/>
      <c r="D19" s="65" t="s">
        <v>1</v>
      </c>
      <c r="E19" s="1"/>
      <c r="F19" s="232">
        <v>20000</v>
      </c>
      <c r="G19" s="230" t="s">
        <v>78</v>
      </c>
      <c r="H19" s="67"/>
      <c r="I19" s="1"/>
      <c r="J19" s="67"/>
      <c r="K19" s="233"/>
      <c r="L19" s="67"/>
      <c r="M19" s="1"/>
      <c r="N19" s="233"/>
      <c r="O19" s="1"/>
      <c r="S19" s="234"/>
    </row>
    <row r="20" spans="1:49" x14ac:dyDescent="0.25">
      <c r="A20" s="1"/>
      <c r="B20" s="64"/>
      <c r="C20" s="1"/>
      <c r="D20" s="68"/>
      <c r="E20" s="68"/>
      <c r="F20" s="510" t="s">
        <v>105</v>
      </c>
      <c r="G20" s="511"/>
      <c r="H20" s="512"/>
      <c r="I20" s="1"/>
      <c r="J20" s="510" t="s">
        <v>104</v>
      </c>
      <c r="K20" s="511"/>
      <c r="L20" s="512"/>
      <c r="M20" s="1"/>
      <c r="N20" s="510" t="s">
        <v>61</v>
      </c>
      <c r="O20" s="512"/>
      <c r="Q20" s="506"/>
      <c r="R20" s="506"/>
      <c r="S20" s="506"/>
      <c r="T20" s="2"/>
      <c r="U20" s="506"/>
      <c r="V20" s="506"/>
      <c r="W20" s="69"/>
      <c r="X20" s="506"/>
      <c r="Y20" s="506"/>
      <c r="Z20" s="506"/>
      <c r="AA20" s="2"/>
      <c r="AB20" s="506"/>
      <c r="AC20" s="506"/>
      <c r="AD20" s="69"/>
      <c r="AE20" s="506"/>
      <c r="AF20" s="506"/>
      <c r="AG20" s="506"/>
      <c r="AH20" s="2"/>
      <c r="AI20" s="506"/>
      <c r="AJ20" s="506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</row>
    <row r="21" spans="1:49" ht="15" customHeight="1" x14ac:dyDescent="0.25">
      <c r="A21" s="1"/>
      <c r="B21" s="64"/>
      <c r="C21" s="1"/>
      <c r="D21" s="1"/>
      <c r="E21" s="70"/>
      <c r="F21" s="71" t="s">
        <v>2</v>
      </c>
      <c r="G21" s="71" t="s">
        <v>3</v>
      </c>
      <c r="H21" s="72" t="s">
        <v>4</v>
      </c>
      <c r="I21" s="1"/>
      <c r="J21" s="71" t="s">
        <v>2</v>
      </c>
      <c r="K21" s="73" t="s">
        <v>3</v>
      </c>
      <c r="L21" s="72" t="s">
        <v>4</v>
      </c>
      <c r="M21" s="1"/>
      <c r="N21" s="502" t="s">
        <v>62</v>
      </c>
      <c r="O21" s="504" t="s">
        <v>63</v>
      </c>
      <c r="Q21" s="270"/>
      <c r="R21" s="270"/>
      <c r="S21" s="270"/>
      <c r="T21" s="2"/>
      <c r="U21" s="501"/>
      <c r="V21" s="501"/>
      <c r="W21" s="69"/>
      <c r="X21" s="270"/>
      <c r="Y21" s="270"/>
      <c r="Z21" s="270"/>
      <c r="AA21" s="2"/>
      <c r="AB21" s="501"/>
      <c r="AC21" s="501"/>
      <c r="AD21" s="69"/>
      <c r="AE21" s="270"/>
      <c r="AF21" s="270"/>
      <c r="AG21" s="270"/>
      <c r="AH21" s="2"/>
      <c r="AI21" s="501"/>
      <c r="AJ21" s="501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</row>
    <row r="22" spans="1:49" x14ac:dyDescent="0.25">
      <c r="A22" s="1"/>
      <c r="B22" s="64"/>
      <c r="C22" s="1"/>
      <c r="D22" s="1"/>
      <c r="E22" s="70"/>
      <c r="F22" s="75" t="s">
        <v>79</v>
      </c>
      <c r="G22" s="75"/>
      <c r="H22" s="76" t="s">
        <v>79</v>
      </c>
      <c r="I22" s="1"/>
      <c r="J22" s="75" t="s">
        <v>79</v>
      </c>
      <c r="K22" s="76"/>
      <c r="L22" s="76" t="s">
        <v>79</v>
      </c>
      <c r="M22" s="1"/>
      <c r="N22" s="503"/>
      <c r="O22" s="505"/>
      <c r="Q22" s="77"/>
      <c r="R22" s="77"/>
      <c r="S22" s="77"/>
      <c r="T22" s="2"/>
      <c r="U22" s="514"/>
      <c r="V22" s="514"/>
      <c r="W22" s="69"/>
      <c r="X22" s="77"/>
      <c r="Y22" s="77"/>
      <c r="Z22" s="77"/>
      <c r="AA22" s="2"/>
      <c r="AB22" s="514"/>
      <c r="AC22" s="514"/>
      <c r="AD22" s="69"/>
      <c r="AE22" s="77"/>
      <c r="AF22" s="77"/>
      <c r="AG22" s="77"/>
      <c r="AH22" s="2"/>
      <c r="AI22" s="514"/>
      <c r="AJ22" s="514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</row>
    <row r="23" spans="1:49" x14ac:dyDescent="0.25">
      <c r="A23" s="407" t="s">
        <v>15</v>
      </c>
      <c r="B23" s="271" t="str">
        <f>IF(Rates!D145=$A$23,Rates!B145," ")</f>
        <v>Service Charge</v>
      </c>
      <c r="C23" s="412"/>
      <c r="D23" s="271" t="str">
        <f>IF(Rates!D122=$A$23,Rates!E145," ")</f>
        <v>customer</v>
      </c>
      <c r="E23" s="413"/>
      <c r="F23" s="80">
        <f>IF(Rates!$J$1="BRT 2018",Rates!J145," ")</f>
        <v>96.98</v>
      </c>
      <c r="G23" s="81">
        <f>IF(D23="customer",1,IF(D23="kWh",$F$19,$F$17))</f>
        <v>1</v>
      </c>
      <c r="H23" s="82">
        <f t="shared" ref="H23:H34" si="0">G23*F23</f>
        <v>96.98</v>
      </c>
      <c r="I23" s="83"/>
      <c r="J23" s="80">
        <f>IF(Rates!$L$1="E+ 2019",Rates!L145," ")</f>
        <v>111.18</v>
      </c>
      <c r="K23" s="108">
        <f>IF(D23="customer",1,IF(D23="kWh",$F$19,$F$17))</f>
        <v>1</v>
      </c>
      <c r="L23" s="82">
        <f t="shared" ref="L23:L44" si="1">K23*J23</f>
        <v>111.18</v>
      </c>
      <c r="M23" s="83"/>
      <c r="N23" s="84">
        <f t="shared" ref="N23:N62" si="2">L23-H23</f>
        <v>14.200000000000003</v>
      </c>
      <c r="O23" s="85">
        <f>IF(OR(H23=0,L23=0),"",(N23/H23))</f>
        <v>0.14642194266859149</v>
      </c>
      <c r="Q23" s="86"/>
      <c r="R23" s="87"/>
      <c r="S23" s="88"/>
      <c r="T23" s="87"/>
      <c r="U23" s="89"/>
      <c r="V23" s="90"/>
      <c r="W23" s="69"/>
      <c r="X23" s="86"/>
      <c r="Y23" s="87"/>
      <c r="Z23" s="88"/>
      <c r="AA23" s="87"/>
      <c r="AB23" s="89"/>
      <c r="AC23" s="90"/>
      <c r="AD23" s="69"/>
      <c r="AE23" s="86"/>
      <c r="AF23" s="87"/>
      <c r="AG23" s="88"/>
      <c r="AH23" s="87"/>
      <c r="AI23" s="89"/>
      <c r="AJ23" s="90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</row>
    <row r="24" spans="1:49" x14ac:dyDescent="0.25">
      <c r="A24" s="1"/>
      <c r="B24" s="271" t="str">
        <f>IF(Rates!D146=$A$23,Rates!B146," ")</f>
        <v>Rate Rider ACM</v>
      </c>
      <c r="C24" s="414"/>
      <c r="D24" s="271" t="str">
        <f>IF(Rates!D123=$A$23,Rates!E146," ")</f>
        <v>customer</v>
      </c>
      <c r="E24" s="415"/>
      <c r="F24" s="80">
        <f>IF(Rates!$J$1="BRT 2018",Rates!J146," ")</f>
        <v>0</v>
      </c>
      <c r="G24" s="81">
        <f t="shared" ref="G24:G34" si="3">IF(D24="customer",1,IF(D24="kWh",$F$19,$F$17))</f>
        <v>1</v>
      </c>
      <c r="H24" s="82">
        <f t="shared" si="0"/>
        <v>0</v>
      </c>
      <c r="I24" s="83"/>
      <c r="J24" s="80">
        <f>IF(Rates!$L$1="E+ 2019",Rates!L146," ")</f>
        <v>0</v>
      </c>
      <c r="K24" s="108">
        <f t="shared" ref="K24:K34" si="4">IF(D24="customer",1,IF(D24="kWh",$F$19,$F$17))</f>
        <v>1</v>
      </c>
      <c r="L24" s="82">
        <f t="shared" si="1"/>
        <v>0</v>
      </c>
      <c r="M24" s="83"/>
      <c r="N24" s="84">
        <f t="shared" si="2"/>
        <v>0</v>
      </c>
      <c r="O24" s="85" t="str">
        <f t="shared" ref="O24:O34" si="5">IF(OR(H24=0,L24=0),"",(N24/H24))</f>
        <v/>
      </c>
      <c r="Q24" s="86"/>
      <c r="R24" s="87"/>
      <c r="S24" s="88"/>
      <c r="T24" s="87"/>
      <c r="U24" s="89"/>
      <c r="V24" s="90"/>
      <c r="W24" s="69"/>
      <c r="X24" s="86"/>
      <c r="Y24" s="87"/>
      <c r="Z24" s="88"/>
      <c r="AA24" s="87"/>
      <c r="AB24" s="89"/>
      <c r="AC24" s="90"/>
      <c r="AD24" s="69"/>
      <c r="AE24" s="86"/>
      <c r="AF24" s="87"/>
      <c r="AG24" s="88"/>
      <c r="AH24" s="87"/>
      <c r="AI24" s="89"/>
      <c r="AJ24" s="90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</row>
    <row r="25" spans="1:49" s="94" customFormat="1" x14ac:dyDescent="0.25">
      <c r="A25" s="3"/>
      <c r="B25" s="271" t="str">
        <f>IF(Rates!D147=$A$23,Rates!B147," ")</f>
        <v>Distribution Volumetric Rate</v>
      </c>
      <c r="C25" s="414"/>
      <c r="D25" s="271" t="str">
        <f>IF(Rates!D124=$A$23,Rates!E147," ")</f>
        <v>kW</v>
      </c>
      <c r="E25" s="415"/>
      <c r="F25" s="235">
        <f>IF(Rates!$J$1="BRT 2018",Rates!J147," ")</f>
        <v>3.9297</v>
      </c>
      <c r="G25" s="81">
        <f t="shared" si="3"/>
        <v>60</v>
      </c>
      <c r="H25" s="82">
        <f t="shared" si="0"/>
        <v>235.78200000000001</v>
      </c>
      <c r="I25" s="91"/>
      <c r="J25" s="235">
        <f>IF(Rates!$L$1="E+ 2019",Rates!L147," ")</f>
        <v>4.1018999999999997</v>
      </c>
      <c r="K25" s="108">
        <f t="shared" si="4"/>
        <v>60</v>
      </c>
      <c r="L25" s="82">
        <f t="shared" si="1"/>
        <v>246.11399999999998</v>
      </c>
      <c r="M25" s="91"/>
      <c r="N25" s="84">
        <f t="shared" si="2"/>
        <v>10.331999999999965</v>
      </c>
      <c r="O25" s="85">
        <f t="shared" si="5"/>
        <v>4.3820138941903813E-2</v>
      </c>
      <c r="Q25" s="95"/>
      <c r="R25" s="87"/>
      <c r="S25" s="88"/>
      <c r="T25" s="87"/>
      <c r="U25" s="89"/>
      <c r="V25" s="90"/>
      <c r="W25" s="69"/>
      <c r="X25" s="95"/>
      <c r="Y25" s="87"/>
      <c r="Z25" s="88"/>
      <c r="AA25" s="87"/>
      <c r="AB25" s="89"/>
      <c r="AC25" s="90"/>
      <c r="AD25" s="69"/>
      <c r="AE25" s="95"/>
      <c r="AF25" s="87"/>
      <c r="AG25" s="88"/>
      <c r="AH25" s="87"/>
      <c r="AI25" s="89"/>
      <c r="AJ25" s="90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</row>
    <row r="26" spans="1:49" s="94" customFormat="1" x14ac:dyDescent="0.25">
      <c r="A26" s="3"/>
      <c r="B26" s="271" t="str">
        <f>IF(Rates!D148=$A$23,Rates!B148," ")</f>
        <v>Rate Rider ACM</v>
      </c>
      <c r="C26" s="414"/>
      <c r="D26" s="271" t="str">
        <f>IF(Rates!D125=$A$23,Rates!E148," ")</f>
        <v>kW</v>
      </c>
      <c r="E26" s="415"/>
      <c r="F26" s="80">
        <f>IF(Rates!$J$1="BRT 2018",Rates!J148," ")</f>
        <v>0</v>
      </c>
      <c r="G26" s="81">
        <f t="shared" si="3"/>
        <v>60</v>
      </c>
      <c r="H26" s="82">
        <f t="shared" si="0"/>
        <v>0</v>
      </c>
      <c r="I26" s="91"/>
      <c r="J26" s="235">
        <f>IF(Rates!$L$1="E+ 2019",Rates!L148," ")</f>
        <v>0</v>
      </c>
      <c r="K26" s="108">
        <f t="shared" si="4"/>
        <v>60</v>
      </c>
      <c r="L26" s="82">
        <f t="shared" si="1"/>
        <v>0</v>
      </c>
      <c r="M26" s="91"/>
      <c r="N26" s="84">
        <f t="shared" si="2"/>
        <v>0</v>
      </c>
      <c r="O26" s="85" t="str">
        <f t="shared" si="5"/>
        <v/>
      </c>
      <c r="Q26" s="95"/>
      <c r="R26" s="87"/>
      <c r="S26" s="88"/>
      <c r="T26" s="87"/>
      <c r="U26" s="89"/>
      <c r="V26" s="90"/>
      <c r="W26" s="69"/>
      <c r="X26" s="95"/>
      <c r="Y26" s="87"/>
      <c r="Z26" s="88"/>
      <c r="AA26" s="87"/>
      <c r="AB26" s="89"/>
      <c r="AC26" s="90"/>
      <c r="AD26" s="69"/>
      <c r="AE26" s="95"/>
      <c r="AF26" s="87"/>
      <c r="AG26" s="88"/>
      <c r="AH26" s="87"/>
      <c r="AI26" s="89"/>
      <c r="AJ26" s="90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</row>
    <row r="27" spans="1:49" x14ac:dyDescent="0.25">
      <c r="A27" s="3"/>
      <c r="B27" s="271" t="str">
        <f>IF(Rates!D149=$A$23,Rates!B149," ")</f>
        <v>Rate Rider for Disposition of Account 1575 and 1576</v>
      </c>
      <c r="C27" s="414"/>
      <c r="D27" s="271" t="str">
        <f>IF(Rates!D126=$A$23,Rates!E149," ")</f>
        <v>kW</v>
      </c>
      <c r="E27" s="415"/>
      <c r="F27" s="80">
        <f>IF(Rates!$J$1="BRT 2018",Rates!J149," ")</f>
        <v>0</v>
      </c>
      <c r="G27" s="81">
        <f t="shared" si="3"/>
        <v>60</v>
      </c>
      <c r="H27" s="82">
        <f t="shared" si="0"/>
        <v>0</v>
      </c>
      <c r="I27" s="83"/>
      <c r="J27" s="235">
        <f>IF(Rates!$L$1="E+ 2019",Rates!L149," ")</f>
        <v>-0.10277596422689866</v>
      </c>
      <c r="K27" s="108">
        <f t="shared" si="4"/>
        <v>60</v>
      </c>
      <c r="L27" s="82">
        <f t="shared" si="1"/>
        <v>-6.1665578536139201</v>
      </c>
      <c r="M27" s="83"/>
      <c r="N27" s="84">
        <f t="shared" si="2"/>
        <v>-6.1665578536139201</v>
      </c>
      <c r="O27" s="85" t="str">
        <f t="shared" si="5"/>
        <v/>
      </c>
      <c r="Q27" s="86"/>
      <c r="R27" s="87"/>
      <c r="S27" s="88"/>
      <c r="T27" s="87"/>
      <c r="U27" s="89"/>
      <c r="V27" s="90"/>
      <c r="W27" s="69"/>
      <c r="X27" s="86"/>
      <c r="Y27" s="87"/>
      <c r="Z27" s="88"/>
      <c r="AA27" s="87"/>
      <c r="AB27" s="89"/>
      <c r="AC27" s="90"/>
      <c r="AD27" s="69"/>
      <c r="AE27" s="86"/>
      <c r="AF27" s="87"/>
      <c r="AG27" s="88"/>
      <c r="AH27" s="87"/>
      <c r="AI27" s="89"/>
      <c r="AJ27" s="90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</row>
    <row r="28" spans="1:49" x14ac:dyDescent="0.25">
      <c r="A28" s="3"/>
      <c r="B28" s="271" t="str">
        <f>IF(Rates!D150=$A$23,Rates!B150," ")</f>
        <v>Rate Rider for Disposition of Account 1575 and 1576</v>
      </c>
      <c r="C28" s="414"/>
      <c r="D28" s="271" t="str">
        <f>IF(Rates!D127=$A$23,Rates!E150," ")</f>
        <v>customer</v>
      </c>
      <c r="E28" s="415"/>
      <c r="F28" s="80">
        <f>IF(Rates!$J$1="BRT 2018",Rates!J150," ")</f>
        <v>0</v>
      </c>
      <c r="G28" s="81">
        <f t="shared" si="3"/>
        <v>1</v>
      </c>
      <c r="H28" s="82">
        <f t="shared" si="0"/>
        <v>0</v>
      </c>
      <c r="I28" s="83"/>
      <c r="J28" s="235">
        <f>IF(Rates!$L$1="E+ 2019",Rates!L150," ")</f>
        <v>0</v>
      </c>
      <c r="K28" s="108">
        <f t="shared" si="4"/>
        <v>1</v>
      </c>
      <c r="L28" s="82">
        <f t="shared" si="1"/>
        <v>0</v>
      </c>
      <c r="M28" s="83"/>
      <c r="N28" s="84">
        <f t="shared" si="2"/>
        <v>0</v>
      </c>
      <c r="O28" s="85" t="str">
        <f t="shared" si="5"/>
        <v/>
      </c>
      <c r="Q28" s="119"/>
      <c r="R28" s="87"/>
      <c r="S28" s="88"/>
      <c r="T28" s="87"/>
      <c r="U28" s="89"/>
      <c r="V28" s="90"/>
      <c r="W28" s="69"/>
      <c r="X28" s="119"/>
      <c r="Y28" s="87"/>
      <c r="Z28" s="88"/>
      <c r="AA28" s="87"/>
      <c r="AB28" s="89"/>
      <c r="AC28" s="90"/>
      <c r="AD28" s="69"/>
      <c r="AE28" s="119"/>
      <c r="AF28" s="87"/>
      <c r="AG28" s="88"/>
      <c r="AH28" s="87"/>
      <c r="AI28" s="89"/>
      <c r="AJ28" s="90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</row>
    <row r="29" spans="1:49" x14ac:dyDescent="0.25">
      <c r="A29" s="3"/>
      <c r="B29" s="271" t="str">
        <f>IF(Rates!D151=$A$23,Rates!B151," ")</f>
        <v>Rate Rider for Disposition of Account 1575 and 1576</v>
      </c>
      <c r="C29" s="414"/>
      <c r="D29" s="271" t="str">
        <f>IF(Rates!D128=$A$23,Rates!E151," ")</f>
        <v>kW</v>
      </c>
      <c r="E29" s="415"/>
      <c r="F29" s="80">
        <f>IF(Rates!$J$1="BRT 2018",Rates!J151," ")</f>
        <v>0</v>
      </c>
      <c r="G29" s="81">
        <f t="shared" si="3"/>
        <v>60</v>
      </c>
      <c r="H29" s="82">
        <f t="shared" si="0"/>
        <v>0</v>
      </c>
      <c r="I29" s="83"/>
      <c r="J29" s="235">
        <f>IF(Rates!$L$1="E+ 2019",Rates!L151," ")</f>
        <v>0</v>
      </c>
      <c r="K29" s="108">
        <f t="shared" si="4"/>
        <v>60</v>
      </c>
      <c r="L29" s="82">
        <f t="shared" si="1"/>
        <v>0</v>
      </c>
      <c r="M29" s="83"/>
      <c r="N29" s="84">
        <f t="shared" si="2"/>
        <v>0</v>
      </c>
      <c r="O29" s="85" t="str">
        <f t="shared" si="5"/>
        <v/>
      </c>
      <c r="Q29" s="119"/>
      <c r="R29" s="87"/>
      <c r="S29" s="88"/>
      <c r="T29" s="87"/>
      <c r="U29" s="89"/>
      <c r="V29" s="90"/>
      <c r="W29" s="69"/>
      <c r="X29" s="119"/>
      <c r="Y29" s="87"/>
      <c r="Z29" s="88"/>
      <c r="AA29" s="87"/>
      <c r="AB29" s="89"/>
      <c r="AC29" s="90"/>
      <c r="AD29" s="69"/>
      <c r="AE29" s="119"/>
      <c r="AF29" s="87"/>
      <c r="AG29" s="88"/>
      <c r="AH29" s="87"/>
      <c r="AI29" s="89"/>
      <c r="AJ29" s="90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</row>
    <row r="30" spans="1:49" s="94" customFormat="1" x14ac:dyDescent="0.25">
      <c r="A30" s="99"/>
      <c r="B30" s="271" t="str">
        <f>IF(Rates!D152=$A$23,Rates!B152," ")</f>
        <v>Rate Rider for Disposition of Account 1575 and 1576</v>
      </c>
      <c r="C30" s="414"/>
      <c r="D30" s="271" t="str">
        <f>IF(Rates!D129=$A$23,Rates!E152," ")</f>
        <v>customer</v>
      </c>
      <c r="E30" s="415"/>
      <c r="F30" s="80">
        <f>IF(Rates!$J$1="BRT 2018",Rates!J152," ")</f>
        <v>0</v>
      </c>
      <c r="G30" s="81">
        <f t="shared" si="3"/>
        <v>1</v>
      </c>
      <c r="H30" s="82">
        <f t="shared" si="0"/>
        <v>0</v>
      </c>
      <c r="I30" s="91"/>
      <c r="J30" s="235">
        <f>IF(Rates!$L$1="E+ 2019",Rates!L152," ")</f>
        <v>0</v>
      </c>
      <c r="K30" s="108">
        <f t="shared" si="4"/>
        <v>1</v>
      </c>
      <c r="L30" s="82">
        <f t="shared" si="1"/>
        <v>0</v>
      </c>
      <c r="M30" s="91"/>
      <c r="N30" s="84">
        <f t="shared" si="2"/>
        <v>0</v>
      </c>
      <c r="O30" s="85" t="str">
        <f t="shared" si="5"/>
        <v/>
      </c>
      <c r="Q30" s="119"/>
      <c r="R30" s="87"/>
      <c r="S30" s="88"/>
      <c r="T30" s="87"/>
      <c r="U30" s="89"/>
      <c r="V30" s="90"/>
      <c r="W30" s="69"/>
      <c r="X30" s="119"/>
      <c r="Y30" s="87"/>
      <c r="Z30" s="88"/>
      <c r="AA30" s="87"/>
      <c r="AB30" s="89"/>
      <c r="AC30" s="90"/>
      <c r="AD30" s="69"/>
      <c r="AE30" s="119"/>
      <c r="AF30" s="87"/>
      <c r="AG30" s="88"/>
      <c r="AH30" s="87"/>
      <c r="AI30" s="89"/>
      <c r="AJ30" s="90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</row>
    <row r="31" spans="1:49" s="94" customFormat="1" x14ac:dyDescent="0.25">
      <c r="A31" s="3"/>
      <c r="B31" s="271" t="str">
        <f>IF(Rates!D153=$A$23,Rates!B153," ")</f>
        <v>Rate Rider for LRAMVA</v>
      </c>
      <c r="C31" s="414"/>
      <c r="D31" s="271" t="str">
        <f>IF(Rates!D130=$A$23,Rates!E153," ")</f>
        <v>kW</v>
      </c>
      <c r="E31" s="415"/>
      <c r="F31" s="80">
        <f>IF(Rates!$J$1="BRT 2018",Rates!J153," ")</f>
        <v>0</v>
      </c>
      <c r="G31" s="81">
        <f t="shared" si="3"/>
        <v>60</v>
      </c>
      <c r="H31" s="82">
        <f t="shared" si="0"/>
        <v>0</v>
      </c>
      <c r="I31" s="91"/>
      <c r="J31" s="235">
        <f>IF(Rates!$L$1="E+ 2019",Rates!L153," ")</f>
        <v>0.4554727233494929</v>
      </c>
      <c r="K31" s="108">
        <f t="shared" si="4"/>
        <v>60</v>
      </c>
      <c r="L31" s="82">
        <f t="shared" si="1"/>
        <v>27.328363400969575</v>
      </c>
      <c r="M31" s="91"/>
      <c r="N31" s="84">
        <f t="shared" si="2"/>
        <v>27.328363400969575</v>
      </c>
      <c r="O31" s="85" t="str">
        <f t="shared" si="5"/>
        <v/>
      </c>
      <c r="Q31" s="119"/>
      <c r="R31" s="87"/>
      <c r="S31" s="88"/>
      <c r="T31" s="87"/>
      <c r="U31" s="89"/>
      <c r="V31" s="90"/>
      <c r="W31" s="69"/>
      <c r="X31" s="119"/>
      <c r="Y31" s="87"/>
      <c r="Z31" s="88"/>
      <c r="AA31" s="87"/>
      <c r="AB31" s="89"/>
      <c r="AC31" s="90"/>
      <c r="AD31" s="69"/>
      <c r="AE31" s="119"/>
      <c r="AF31" s="87"/>
      <c r="AG31" s="88"/>
      <c r="AH31" s="87"/>
      <c r="AI31" s="89"/>
      <c r="AJ31" s="90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</row>
    <row r="32" spans="1:49" x14ac:dyDescent="0.25">
      <c r="A32" s="3"/>
      <c r="B32" s="271" t="str">
        <f>IF(Rates!D154=$A$23,Rates!B154," ")</f>
        <v>Rate Rider MIST</v>
      </c>
      <c r="C32" s="414"/>
      <c r="D32" s="271" t="str">
        <f>IF(Rates!D131=$A$23,Rates!E154," ")</f>
        <v>customer</v>
      </c>
      <c r="E32" s="415"/>
      <c r="F32" s="80">
        <f>IF(Rates!$J$1="BRT 2018",Rates!J154," ")</f>
        <v>0</v>
      </c>
      <c r="G32" s="81">
        <f t="shared" si="3"/>
        <v>1</v>
      </c>
      <c r="H32" s="82">
        <f t="shared" si="0"/>
        <v>0</v>
      </c>
      <c r="I32" s="83"/>
      <c r="J32" s="80">
        <f>IF(Rates!$L$1="E+ 2019",Rates!L154," ")</f>
        <v>18.578982363534003</v>
      </c>
      <c r="K32" s="108">
        <f t="shared" si="4"/>
        <v>1</v>
      </c>
      <c r="L32" s="82">
        <f t="shared" si="1"/>
        <v>18.578982363534003</v>
      </c>
      <c r="M32" s="83"/>
      <c r="N32" s="84">
        <f t="shared" si="2"/>
        <v>18.578982363534003</v>
      </c>
      <c r="O32" s="85" t="str">
        <f t="shared" si="5"/>
        <v/>
      </c>
      <c r="Q32" s="98"/>
      <c r="R32" s="87"/>
      <c r="S32" s="88"/>
      <c r="T32" s="87"/>
      <c r="U32" s="89"/>
      <c r="V32" s="90"/>
      <c r="W32" s="69"/>
      <c r="X32" s="98"/>
      <c r="Y32" s="87"/>
      <c r="Z32" s="88"/>
      <c r="AA32" s="87"/>
      <c r="AB32" s="89"/>
      <c r="AC32" s="90"/>
      <c r="AD32" s="69"/>
      <c r="AE32" s="98"/>
      <c r="AF32" s="87"/>
      <c r="AG32" s="88"/>
      <c r="AH32" s="87"/>
      <c r="AI32" s="89"/>
      <c r="AJ32" s="90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</row>
    <row r="33" spans="1:49" x14ac:dyDescent="0.25">
      <c r="A33" s="3"/>
      <c r="B33" s="271" t="str">
        <f>IF(Rates!D155=$A$23,Rates!B155," ")</f>
        <v>Other Fixed</v>
      </c>
      <c r="C33" s="414"/>
      <c r="D33" s="271" t="str">
        <f>IF(Rates!D132=$A$23,Rates!E155," ")</f>
        <v>customer</v>
      </c>
      <c r="E33" s="415"/>
      <c r="F33" s="80">
        <f>IF(Rates!$J$1="BRT 2018",Rates!J155," ")</f>
        <v>0</v>
      </c>
      <c r="G33" s="81">
        <f t="shared" si="3"/>
        <v>1</v>
      </c>
      <c r="H33" s="82">
        <f t="shared" si="0"/>
        <v>0</v>
      </c>
      <c r="I33" s="83"/>
      <c r="J33" s="235">
        <f>IF(Rates!$L$1="E+ 2019",Rates!L155," ")</f>
        <v>0</v>
      </c>
      <c r="K33" s="108">
        <f t="shared" si="4"/>
        <v>1</v>
      </c>
      <c r="L33" s="82">
        <f t="shared" si="1"/>
        <v>0</v>
      </c>
      <c r="M33" s="83"/>
      <c r="N33" s="84">
        <f t="shared" si="2"/>
        <v>0</v>
      </c>
      <c r="O33" s="85" t="str">
        <f t="shared" si="5"/>
        <v/>
      </c>
      <c r="Q33" s="98"/>
      <c r="R33" s="87"/>
      <c r="S33" s="88"/>
      <c r="T33" s="87"/>
      <c r="U33" s="89"/>
      <c r="V33" s="90"/>
      <c r="W33" s="69"/>
      <c r="X33" s="98"/>
      <c r="Y33" s="87"/>
      <c r="Z33" s="88"/>
      <c r="AA33" s="87"/>
      <c r="AB33" s="89"/>
      <c r="AC33" s="90"/>
      <c r="AD33" s="69"/>
      <c r="AE33" s="98"/>
      <c r="AF33" s="87"/>
      <c r="AG33" s="88"/>
      <c r="AH33" s="87"/>
      <c r="AI33" s="89"/>
      <c r="AJ33" s="90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</row>
    <row r="34" spans="1:49" x14ac:dyDescent="0.25">
      <c r="A34" s="3"/>
      <c r="B34" s="271" t="str">
        <f>IF(Rates!D156=$A$23,Rates!B156," ")</f>
        <v>Other Volumetric</v>
      </c>
      <c r="C34" s="414"/>
      <c r="D34" s="271" t="str">
        <f>IF(Rates!D133=$A$23,Rates!E156," ")</f>
        <v>kW</v>
      </c>
      <c r="E34" s="415"/>
      <c r="F34" s="80">
        <f>IF(Rates!$J$1="BRT 2018",Rates!J156," ")</f>
        <v>0</v>
      </c>
      <c r="G34" s="81">
        <f t="shared" si="3"/>
        <v>60</v>
      </c>
      <c r="H34" s="82">
        <f t="shared" si="0"/>
        <v>0</v>
      </c>
      <c r="I34" s="83"/>
      <c r="J34" s="235">
        <f>IF(Rates!$L$1="E+ 2019",Rates!L156," ")</f>
        <v>0</v>
      </c>
      <c r="K34" s="108">
        <f t="shared" si="4"/>
        <v>60</v>
      </c>
      <c r="L34" s="82">
        <f t="shared" si="1"/>
        <v>0</v>
      </c>
      <c r="M34" s="83"/>
      <c r="N34" s="84">
        <f t="shared" si="2"/>
        <v>0</v>
      </c>
      <c r="O34" s="85" t="str">
        <f t="shared" si="5"/>
        <v/>
      </c>
      <c r="Q34" s="98"/>
      <c r="R34" s="87"/>
      <c r="S34" s="88"/>
      <c r="T34" s="87"/>
      <c r="U34" s="89"/>
      <c r="V34" s="90"/>
      <c r="W34" s="69"/>
      <c r="X34" s="98"/>
      <c r="Y34" s="87"/>
      <c r="Z34" s="88"/>
      <c r="AA34" s="87"/>
      <c r="AB34" s="89"/>
      <c r="AC34" s="90"/>
      <c r="AD34" s="69"/>
      <c r="AE34" s="98"/>
      <c r="AF34" s="87"/>
      <c r="AG34" s="88"/>
      <c r="AH34" s="87"/>
      <c r="AI34" s="89"/>
      <c r="AJ34" s="90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</row>
    <row r="35" spans="1:49" x14ac:dyDescent="0.25">
      <c r="A35" s="3"/>
      <c r="B35" s="271" t="str">
        <f>IF(Rates!D157=$A$23,Rates!B157," ")</f>
        <v>Rate Rider for gain on Sale of Property</v>
      </c>
      <c r="C35" s="414"/>
      <c r="D35" s="271" t="str">
        <f>IF(Rates!D134=$A$23,Rates!E157," ")</f>
        <v>kW</v>
      </c>
      <c r="E35" s="415"/>
      <c r="F35" s="80">
        <f>IF(Rates!$J$1="BRT 2018",Rates!J157," ")</f>
        <v>0</v>
      </c>
      <c r="G35" s="81">
        <f t="shared" ref="G35" si="6">IF(D35="customer",1,IF(D35="kWh",$F$19,$F$17))</f>
        <v>60</v>
      </c>
      <c r="H35" s="82">
        <f t="shared" ref="H35" si="7">G35*F35</f>
        <v>0</v>
      </c>
      <c r="I35" s="83"/>
      <c r="J35" s="235">
        <f>IF(Rates!$L$1="E+ 2019",Rates!L157," ")</f>
        <v>-7.8892779815913319E-2</v>
      </c>
      <c r="K35" s="108">
        <f t="shared" ref="K35" si="8">IF(D35="customer",1,IF(D35="kWh",$F$19,$F$17))</f>
        <v>60</v>
      </c>
      <c r="L35" s="82">
        <f t="shared" ref="L35" si="9">K35*J35</f>
        <v>-4.733566788954799</v>
      </c>
      <c r="M35" s="83"/>
      <c r="N35" s="84">
        <f t="shared" ref="N35" si="10">L35-H35</f>
        <v>-4.733566788954799</v>
      </c>
      <c r="O35" s="85" t="str">
        <f t="shared" ref="O35" si="11">IF(OR(H35=0,L35=0),"",(N35/H35))</f>
        <v/>
      </c>
      <c r="Q35" s="98"/>
      <c r="R35" s="87"/>
      <c r="S35" s="88"/>
      <c r="T35" s="87"/>
      <c r="U35" s="89"/>
      <c r="V35" s="90"/>
      <c r="W35" s="69"/>
      <c r="X35" s="98"/>
      <c r="Y35" s="87"/>
      <c r="Z35" s="88"/>
      <c r="AA35" s="87"/>
      <c r="AB35" s="89"/>
      <c r="AC35" s="90"/>
      <c r="AD35" s="69"/>
      <c r="AE35" s="98"/>
      <c r="AF35" s="87"/>
      <c r="AG35" s="88"/>
      <c r="AH35" s="87"/>
      <c r="AI35" s="89"/>
      <c r="AJ35" s="90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</row>
    <row r="36" spans="1:49" x14ac:dyDescent="0.25">
      <c r="A36" s="3"/>
      <c r="B36" s="109" t="s">
        <v>64</v>
      </c>
      <c r="C36" s="110"/>
      <c r="D36" s="110"/>
      <c r="E36" s="416"/>
      <c r="F36" s="111"/>
      <c r="G36" s="112"/>
      <c r="H36" s="113">
        <f>SUM(H23:H35)</f>
        <v>332.762</v>
      </c>
      <c r="I36" s="87"/>
      <c r="J36" s="115"/>
      <c r="K36" s="116"/>
      <c r="L36" s="113">
        <f>SUM(L23:L35)</f>
        <v>392.30122112193482</v>
      </c>
      <c r="M36" s="114"/>
      <c r="N36" s="117">
        <f t="shared" si="2"/>
        <v>59.539221121934816</v>
      </c>
      <c r="O36" s="118">
        <f>IF(OR(H36=0, L36=0),"",(N36/H36))</f>
        <v>0.17892433968402285</v>
      </c>
      <c r="Q36" s="119"/>
      <c r="R36" s="120"/>
      <c r="S36" s="88"/>
      <c r="T36" s="87"/>
      <c r="U36" s="121"/>
      <c r="V36" s="122"/>
      <c r="W36" s="69"/>
      <c r="X36" s="119"/>
      <c r="Y36" s="120"/>
      <c r="Z36" s="88"/>
      <c r="AA36" s="87"/>
      <c r="AB36" s="121"/>
      <c r="AC36" s="122"/>
      <c r="AD36" s="69"/>
      <c r="AE36" s="119"/>
      <c r="AF36" s="120"/>
      <c r="AG36" s="88"/>
      <c r="AH36" s="87"/>
      <c r="AI36" s="121"/>
      <c r="AJ36" s="122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</row>
    <row r="37" spans="1:49" x14ac:dyDescent="0.25">
      <c r="A37" s="408" t="s">
        <v>18</v>
      </c>
      <c r="B37" s="271" t="str">
        <f>IF(Rates!D158=$A$37,Rates!B158," ")</f>
        <v>Low Voltage Service Rate</v>
      </c>
      <c r="C37" s="414"/>
      <c r="D37" s="271" t="str">
        <f>IF(Rates!D158=$A$37,Rates!E158," ")</f>
        <v>kW</v>
      </c>
      <c r="E37" s="415"/>
      <c r="F37" s="235">
        <f>IF(Rates!$J$1="BRT 2018",Rates!J158," ")</f>
        <v>1.1222000000000001</v>
      </c>
      <c r="G37" s="81">
        <f t="shared" ref="G37:G53" si="12">IF(D37="customer",1,IF(D37="kWh",$F$19,$F$17))</f>
        <v>60</v>
      </c>
      <c r="H37" s="126">
        <f>G37*F37</f>
        <v>67.332000000000008</v>
      </c>
      <c r="I37" s="87"/>
      <c r="J37" s="235">
        <f>IF(Rates!$L$1="E+ 2019",Rates!L158," ")</f>
        <v>0.23050000000000001</v>
      </c>
      <c r="K37" s="81">
        <f t="shared" ref="K37:K53" si="13">IF(D37="customer",1,IF(D37="kWh",$F$19,$F$17))</f>
        <v>60</v>
      </c>
      <c r="L37" s="82">
        <f t="shared" si="1"/>
        <v>13.83</v>
      </c>
      <c r="M37" s="406"/>
      <c r="N37" s="84">
        <f t="shared" si="2"/>
        <v>-53.50200000000001</v>
      </c>
      <c r="O37" s="338">
        <f t="shared" ref="O37:O44" si="14">IF(OR(H37=0,L37=0),"",(N37/H37))</f>
        <v>-0.79459989306718948</v>
      </c>
      <c r="Q37" s="119"/>
      <c r="R37" s="87"/>
      <c r="S37" s="88"/>
      <c r="T37" s="87"/>
      <c r="U37" s="89"/>
      <c r="V37" s="90"/>
      <c r="W37" s="69"/>
      <c r="X37" s="119"/>
      <c r="Y37" s="87"/>
      <c r="Z37" s="88"/>
      <c r="AA37" s="87"/>
      <c r="AB37" s="89"/>
      <c r="AC37" s="90"/>
      <c r="AD37" s="69"/>
      <c r="AE37" s="119"/>
      <c r="AF37" s="87"/>
      <c r="AG37" s="88"/>
      <c r="AH37" s="87"/>
      <c r="AI37" s="89"/>
      <c r="AJ37" s="90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</row>
    <row r="38" spans="1:49" x14ac:dyDescent="0.25">
      <c r="A38" s="1"/>
      <c r="B38" s="417" t="s">
        <v>116</v>
      </c>
      <c r="C38" s="414"/>
      <c r="D38" s="271" t="s">
        <v>13</v>
      </c>
      <c r="E38" s="415"/>
      <c r="F38" s="235">
        <v>0</v>
      </c>
      <c r="G38" s="125"/>
      <c r="H38" s="126">
        <f t="shared" ref="H38:H44" si="15">G38*F38</f>
        <v>0</v>
      </c>
      <c r="I38" s="87"/>
      <c r="J38" s="235"/>
      <c r="K38" s="125"/>
      <c r="L38" s="82">
        <f t="shared" si="1"/>
        <v>0</v>
      </c>
      <c r="M38" s="83"/>
      <c r="N38" s="84">
        <f t="shared" si="2"/>
        <v>0</v>
      </c>
      <c r="O38" s="85" t="str">
        <f t="shared" si="14"/>
        <v/>
      </c>
      <c r="Q38" s="128"/>
      <c r="R38" s="129"/>
      <c r="S38" s="88"/>
      <c r="T38" s="87"/>
      <c r="U38" s="89"/>
      <c r="V38" s="90"/>
      <c r="W38" s="69"/>
      <c r="X38" s="128"/>
      <c r="Y38" s="129"/>
      <c r="Z38" s="88"/>
      <c r="AA38" s="87"/>
      <c r="AB38" s="89"/>
      <c r="AC38" s="90"/>
      <c r="AD38" s="69"/>
      <c r="AE38" s="128"/>
      <c r="AF38" s="129"/>
      <c r="AG38" s="88"/>
      <c r="AH38" s="87"/>
      <c r="AI38" s="89"/>
      <c r="AJ38" s="90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</row>
    <row r="39" spans="1:49" x14ac:dyDescent="0.25">
      <c r="A39" s="130"/>
      <c r="B39" s="271" t="str">
        <f>IF(Rates!D159=$A$37,Rates!B159," ")</f>
        <v>Rate Rider Other Fixed</v>
      </c>
      <c r="C39" s="414"/>
      <c r="D39" s="271" t="str">
        <f>IF(Rates!D159=$A$37,Rates!E159," ")</f>
        <v>customer</v>
      </c>
      <c r="E39" s="415"/>
      <c r="F39" s="337">
        <f>IF(Rates!$J$1="BRT 2018",Rates!J159," ")</f>
        <v>0</v>
      </c>
      <c r="G39" s="81">
        <f t="shared" si="12"/>
        <v>1</v>
      </c>
      <c r="H39" s="126">
        <f t="shared" si="15"/>
        <v>0</v>
      </c>
      <c r="I39" s="87"/>
      <c r="J39" s="337">
        <f>IF(Rates!$L$1="E+ 2019",Rates!L159," ")</f>
        <v>0</v>
      </c>
      <c r="K39" s="81">
        <f t="shared" si="13"/>
        <v>1</v>
      </c>
      <c r="L39" s="82">
        <f t="shared" si="1"/>
        <v>0</v>
      </c>
      <c r="M39" s="83"/>
      <c r="N39" s="84">
        <f t="shared" si="2"/>
        <v>0</v>
      </c>
      <c r="O39" s="85" t="str">
        <f t="shared" si="14"/>
        <v/>
      </c>
      <c r="Q39" s="119"/>
      <c r="R39" s="87"/>
      <c r="S39" s="88"/>
      <c r="T39" s="87"/>
      <c r="U39" s="89"/>
      <c r="V39" s="90"/>
      <c r="W39" s="69"/>
      <c r="X39" s="119"/>
      <c r="Y39" s="87"/>
      <c r="Z39" s="88"/>
      <c r="AA39" s="87"/>
      <c r="AB39" s="89"/>
      <c r="AC39" s="90"/>
      <c r="AD39" s="69"/>
      <c r="AE39" s="119"/>
      <c r="AF39" s="87"/>
      <c r="AG39" s="88"/>
      <c r="AH39" s="87"/>
      <c r="AI39" s="89"/>
      <c r="AJ39" s="90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</row>
    <row r="40" spans="1:49" x14ac:dyDescent="0.25">
      <c r="A40" s="130"/>
      <c r="B40" s="271" t="str">
        <f>IF(Rates!D160=$A$37,Rates!B160," ")</f>
        <v>Rate Rider Other Volumetric</v>
      </c>
      <c r="C40" s="414"/>
      <c r="D40" s="271" t="str">
        <f>IF(Rates!D160=$A$37,Rates!E160," ")</f>
        <v>kW</v>
      </c>
      <c r="E40" s="415"/>
      <c r="F40" s="337">
        <f>IF(Rates!$J$1="BRT 2018",Rates!J160," ")</f>
        <v>0</v>
      </c>
      <c r="G40" s="81">
        <f t="shared" si="12"/>
        <v>60</v>
      </c>
      <c r="H40" s="126">
        <f t="shared" si="15"/>
        <v>0</v>
      </c>
      <c r="I40" s="87"/>
      <c r="J40" s="337">
        <f>IF(Rates!$L$1="E+ 2019",Rates!L160," ")</f>
        <v>9.5483921157550861E-2</v>
      </c>
      <c r="K40" s="81">
        <f t="shared" si="13"/>
        <v>60</v>
      </c>
      <c r="L40" s="82">
        <f t="shared" si="1"/>
        <v>5.7290352694530515</v>
      </c>
      <c r="M40" s="83"/>
      <c r="N40" s="84">
        <f t="shared" si="2"/>
        <v>5.7290352694530515</v>
      </c>
      <c r="O40" s="85" t="str">
        <f t="shared" si="14"/>
        <v/>
      </c>
      <c r="Q40" s="119"/>
      <c r="R40" s="87"/>
      <c r="S40" s="88"/>
      <c r="T40" s="87"/>
      <c r="U40" s="89"/>
      <c r="V40" s="90"/>
      <c r="W40" s="69"/>
      <c r="X40" s="119"/>
      <c r="Y40" s="87"/>
      <c r="Z40" s="88"/>
      <c r="AA40" s="87"/>
      <c r="AB40" s="89"/>
      <c r="AC40" s="90"/>
      <c r="AD40" s="69"/>
      <c r="AE40" s="119"/>
      <c r="AF40" s="87"/>
      <c r="AG40" s="88"/>
      <c r="AH40" s="87"/>
      <c r="AI40" s="89"/>
      <c r="AJ40" s="90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</row>
    <row r="41" spans="1:49" x14ac:dyDescent="0.25">
      <c r="A41" s="130"/>
      <c r="B41" s="271" t="str">
        <f>IF(Rates!D161=$A$37,Rates!B161," ")</f>
        <v>Rate Rider Other Volumetric</v>
      </c>
      <c r="C41" s="414"/>
      <c r="D41" s="271" t="str">
        <f>IF(Rates!D161=$A$37,Rates!E161," ")</f>
        <v>kW</v>
      </c>
      <c r="E41" s="415"/>
      <c r="F41" s="337">
        <f>IF(Rates!$J$1="BRT 2018",Rates!J161," ")</f>
        <v>0</v>
      </c>
      <c r="G41" s="81">
        <f t="shared" si="12"/>
        <v>60</v>
      </c>
      <c r="H41" s="126">
        <f t="shared" si="15"/>
        <v>0</v>
      </c>
      <c r="I41" s="87"/>
      <c r="J41" s="337">
        <f>IF(Rates!$L$1="E+ 2019",Rates!L161," ")</f>
        <v>0</v>
      </c>
      <c r="K41" s="81">
        <f t="shared" si="13"/>
        <v>60</v>
      </c>
      <c r="L41" s="82">
        <f t="shared" si="1"/>
        <v>0</v>
      </c>
      <c r="M41" s="83"/>
      <c r="N41" s="84">
        <f t="shared" si="2"/>
        <v>0</v>
      </c>
      <c r="O41" s="85" t="str">
        <f t="shared" si="14"/>
        <v/>
      </c>
      <c r="Q41" s="119"/>
      <c r="R41" s="87"/>
      <c r="S41" s="88"/>
      <c r="T41" s="87"/>
      <c r="U41" s="89"/>
      <c r="V41" s="90"/>
      <c r="W41" s="69"/>
      <c r="X41" s="119"/>
      <c r="Y41" s="87"/>
      <c r="Z41" s="88"/>
      <c r="AA41" s="87"/>
      <c r="AB41" s="89"/>
      <c r="AC41" s="90"/>
      <c r="AD41" s="69"/>
      <c r="AE41" s="119"/>
      <c r="AF41" s="87"/>
      <c r="AG41" s="88"/>
      <c r="AH41" s="87"/>
      <c r="AI41" s="89"/>
      <c r="AJ41" s="90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</row>
    <row r="42" spans="1:49" x14ac:dyDescent="0.25">
      <c r="A42" s="1"/>
      <c r="B42" s="271" t="str">
        <f>IF(Rates!D162=$A$37,Rates!B162," ")</f>
        <v xml:space="preserve">Rate Rider for Disposition of Deferral/Variance Accounts </v>
      </c>
      <c r="C42" s="414"/>
      <c r="D42" s="271" t="str">
        <f>IF(Rates!D162=$A$37,Rates!E162," ")</f>
        <v>kW</v>
      </c>
      <c r="E42" s="415"/>
      <c r="F42" s="337">
        <f>IF(Rates!$J$1="BRT 2018",Rates!J162," ")</f>
        <v>-2.8760694640552322</v>
      </c>
      <c r="G42" s="81">
        <f t="shared" si="12"/>
        <v>60</v>
      </c>
      <c r="H42" s="126">
        <f t="shared" si="15"/>
        <v>-172.56416784331392</v>
      </c>
      <c r="I42" s="87"/>
      <c r="J42" s="337">
        <f>IF(Rates!$L$1="E+ 2019",Rates!L162," ")</f>
        <v>-0.44588513494045856</v>
      </c>
      <c r="K42" s="81">
        <f t="shared" si="13"/>
        <v>60</v>
      </c>
      <c r="L42" s="82">
        <f t="shared" si="1"/>
        <v>-26.753108096427514</v>
      </c>
      <c r="M42" s="83"/>
      <c r="N42" s="84">
        <f t="shared" si="2"/>
        <v>145.8110597468864</v>
      </c>
      <c r="O42" s="85">
        <f t="shared" si="14"/>
        <v>-0.84496718854913722</v>
      </c>
      <c r="Q42" s="128"/>
      <c r="R42" s="129"/>
      <c r="S42" s="88"/>
      <c r="T42" s="87"/>
      <c r="U42" s="89"/>
      <c r="V42" s="90"/>
      <c r="W42" s="69"/>
      <c r="X42" s="128"/>
      <c r="Y42" s="129"/>
      <c r="Z42" s="88"/>
      <c r="AA42" s="87"/>
      <c r="AB42" s="89"/>
      <c r="AC42" s="90"/>
      <c r="AD42" s="69"/>
      <c r="AE42" s="128"/>
      <c r="AF42" s="129"/>
      <c r="AG42" s="88"/>
      <c r="AH42" s="87"/>
      <c r="AI42" s="89"/>
      <c r="AJ42" s="90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</row>
    <row r="43" spans="1:49" ht="28.5" x14ac:dyDescent="0.25">
      <c r="A43" s="1"/>
      <c r="B43" s="271" t="str">
        <f>IF(Rates!D163=$A$37,Rates!B163," ")</f>
        <v>Rate Rider for Disposition of Deferral/Variance Accounts Non-WMP Customers</v>
      </c>
      <c r="C43" s="414"/>
      <c r="D43" s="271" t="str">
        <f>IF(Rates!D163=$A$37,Rates!E163," ")</f>
        <v>kW</v>
      </c>
      <c r="E43" s="415"/>
      <c r="F43" s="337">
        <f>IF(Rates!$J$1="BRT 2018",Rates!J163," ")</f>
        <v>0</v>
      </c>
      <c r="G43" s="81">
        <f t="shared" si="12"/>
        <v>60</v>
      </c>
      <c r="H43" s="126">
        <f t="shared" si="15"/>
        <v>0</v>
      </c>
      <c r="I43" s="87"/>
      <c r="J43" s="337">
        <f>IF(Rates!$L$1="E+ 2019",Rates!L163," ")</f>
        <v>-8.6780676279522614E-2</v>
      </c>
      <c r="K43" s="81">
        <f t="shared" si="13"/>
        <v>60</v>
      </c>
      <c r="L43" s="82">
        <f t="shared" si="1"/>
        <v>-5.2068405767713566</v>
      </c>
      <c r="M43" s="83"/>
      <c r="N43" s="84">
        <f t="shared" si="2"/>
        <v>-5.2068405767713566</v>
      </c>
      <c r="O43" s="85" t="str">
        <f t="shared" si="14"/>
        <v/>
      </c>
      <c r="Q43" s="128"/>
      <c r="R43" s="129"/>
      <c r="S43" s="88"/>
      <c r="T43" s="87"/>
      <c r="U43" s="89"/>
      <c r="V43" s="90"/>
      <c r="W43" s="69"/>
      <c r="X43" s="128"/>
      <c r="Y43" s="129"/>
      <c r="Z43" s="88"/>
      <c r="AA43" s="87"/>
      <c r="AB43" s="89"/>
      <c r="AC43" s="90"/>
      <c r="AD43" s="69"/>
      <c r="AE43" s="128"/>
      <c r="AF43" s="129"/>
      <c r="AG43" s="88"/>
      <c r="AH43" s="87"/>
      <c r="AI43" s="89"/>
      <c r="AJ43" s="90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</row>
    <row r="44" spans="1:49" x14ac:dyDescent="0.25">
      <c r="A44" s="1"/>
      <c r="B44" s="271" t="str">
        <f>IF(Rates!D164=$A$37,Rates!B164," ")</f>
        <v>Rate Rider for Disposition of GA DV</v>
      </c>
      <c r="C44" s="414"/>
      <c r="D44" s="271" t="str">
        <f>IF(Rates!D164=$A$37,Rates!E164," ")</f>
        <v>kWh</v>
      </c>
      <c r="E44" s="415"/>
      <c r="F44" s="337">
        <f>IF(Rates!$J$1="BRT 2018",Rates!J164," ")</f>
        <v>1.4200000000000001E-2</v>
      </c>
      <c r="G44" s="225">
        <f t="shared" si="12"/>
        <v>20000</v>
      </c>
      <c r="H44" s="126">
        <f t="shared" si="15"/>
        <v>284</v>
      </c>
      <c r="I44" s="87"/>
      <c r="J44" s="337">
        <f>IF(Rates!$L$1="E+ 2019",Rates!L164," ")</f>
        <v>3.8449181889326276E-4</v>
      </c>
      <c r="K44" s="225">
        <f t="shared" si="13"/>
        <v>20000</v>
      </c>
      <c r="L44" s="82">
        <f t="shared" si="1"/>
        <v>7.6898363778652552</v>
      </c>
      <c r="M44" s="83"/>
      <c r="N44" s="84">
        <f t="shared" si="2"/>
        <v>-276.31016362213472</v>
      </c>
      <c r="O44" s="85">
        <f t="shared" si="14"/>
        <v>-0.97292311134554477</v>
      </c>
      <c r="Q44" s="128"/>
      <c r="R44" s="129"/>
      <c r="S44" s="88"/>
      <c r="T44" s="87"/>
      <c r="U44" s="89"/>
      <c r="V44" s="90"/>
      <c r="W44" s="69"/>
      <c r="X44" s="128"/>
      <c r="Y44" s="129"/>
      <c r="Z44" s="88"/>
      <c r="AA44" s="87"/>
      <c r="AB44" s="89"/>
      <c r="AC44" s="90"/>
      <c r="AD44" s="69"/>
      <c r="AE44" s="128"/>
      <c r="AF44" s="129"/>
      <c r="AG44" s="88"/>
      <c r="AH44" s="87"/>
      <c r="AI44" s="89"/>
      <c r="AJ44" s="90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</row>
    <row r="45" spans="1:49" ht="28.5" x14ac:dyDescent="0.25">
      <c r="A45" s="1"/>
      <c r="B45" s="271" t="str">
        <f>IF(Rates!D165=$A$37,Rates!B165," ")</f>
        <v>Rate Rider for Disposition of Capacity Based Recovery Account (2018) - Applicable only for Class B Customers</v>
      </c>
      <c r="C45" s="414"/>
      <c r="D45" s="271" t="str">
        <f>IF(Rates!D165=$A$37,Rates!E165," ")</f>
        <v>kW</v>
      </c>
      <c r="E45" s="415"/>
      <c r="F45" s="337">
        <f>IF(Rates!$J$1="BRT 2018",Rates!J165," ")</f>
        <v>0</v>
      </c>
      <c r="G45" s="81">
        <f t="shared" si="12"/>
        <v>60</v>
      </c>
      <c r="H45" s="126">
        <f t="shared" ref="H45" si="16">G45*F45</f>
        <v>0</v>
      </c>
      <c r="I45" s="87"/>
      <c r="J45" s="337">
        <f>IF(Rates!$L$1="E+ 2019",Rates!L165," ")</f>
        <v>1.5625881795421066E-3</v>
      </c>
      <c r="K45" s="81">
        <f t="shared" si="13"/>
        <v>60</v>
      </c>
      <c r="L45" s="82">
        <f t="shared" ref="L45" si="17">K45*J45</f>
        <v>9.3755290772526395E-2</v>
      </c>
      <c r="M45" s="83"/>
      <c r="N45" s="84">
        <f t="shared" ref="N45" si="18">L45-H45</f>
        <v>9.3755290772526395E-2</v>
      </c>
      <c r="O45" s="85" t="str">
        <f t="shared" ref="O45" si="19">IF(OR(H45=0,L45=0),"",(N45/H45))</f>
        <v/>
      </c>
      <c r="Q45" s="128"/>
      <c r="R45" s="129"/>
      <c r="S45" s="88"/>
      <c r="T45" s="87"/>
      <c r="U45" s="89"/>
      <c r="V45" s="90"/>
      <c r="W45" s="69"/>
      <c r="X45" s="128"/>
      <c r="Y45" s="129"/>
      <c r="Z45" s="88"/>
      <c r="AA45" s="87"/>
      <c r="AB45" s="89"/>
      <c r="AC45" s="90"/>
      <c r="AD45" s="69"/>
      <c r="AE45" s="128"/>
      <c r="AF45" s="129"/>
      <c r="AG45" s="88"/>
      <c r="AH45" s="87"/>
      <c r="AI45" s="89"/>
      <c r="AJ45" s="90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</row>
    <row r="46" spans="1:49" hidden="1" x14ac:dyDescent="0.25">
      <c r="A46" s="1"/>
      <c r="B46" s="271"/>
      <c r="C46" s="414"/>
      <c r="D46" s="271"/>
      <c r="E46" s="415"/>
      <c r="F46" s="337"/>
      <c r="G46" s="81"/>
      <c r="H46" s="126"/>
      <c r="I46" s="87"/>
      <c r="J46" s="337"/>
      <c r="K46" s="81"/>
      <c r="L46" s="82"/>
      <c r="M46" s="83"/>
      <c r="N46" s="84"/>
      <c r="O46" s="85"/>
      <c r="Q46" s="128"/>
      <c r="R46" s="129"/>
      <c r="S46" s="88"/>
      <c r="T46" s="87"/>
      <c r="U46" s="89"/>
      <c r="V46" s="90"/>
      <c r="W46" s="69"/>
      <c r="X46" s="128"/>
      <c r="Y46" s="129"/>
      <c r="Z46" s="88"/>
      <c r="AA46" s="87"/>
      <c r="AB46" s="89"/>
      <c r="AC46" s="90"/>
      <c r="AD46" s="69"/>
      <c r="AE46" s="128"/>
      <c r="AF46" s="129"/>
      <c r="AG46" s="88"/>
      <c r="AH46" s="87"/>
      <c r="AI46" s="89"/>
      <c r="AJ46" s="90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</row>
    <row r="47" spans="1:49" x14ac:dyDescent="0.25">
      <c r="A47" s="1"/>
      <c r="B47" s="132" t="s">
        <v>80</v>
      </c>
      <c r="C47" s="133"/>
      <c r="D47" s="133"/>
      <c r="E47" s="418"/>
      <c r="F47" s="134"/>
      <c r="G47" s="135"/>
      <c r="H47" s="136">
        <f>SUM(H37:H46)+H36</f>
        <v>511.5298321566861</v>
      </c>
      <c r="I47" s="87"/>
      <c r="J47" s="135"/>
      <c r="K47" s="137"/>
      <c r="L47" s="136">
        <f>SUM(L37:L46)+L36</f>
        <v>387.68389938682679</v>
      </c>
      <c r="M47" s="114"/>
      <c r="N47" s="117">
        <f t="shared" si="2"/>
        <v>-123.8459327698593</v>
      </c>
      <c r="O47" s="138">
        <f>IF(OR(H47=0,L47=0),"",(N47/H47))</f>
        <v>-0.24210891522730232</v>
      </c>
      <c r="Q47" s="87"/>
      <c r="R47" s="87"/>
      <c r="S47" s="121"/>
      <c r="T47" s="87"/>
      <c r="U47" s="121"/>
      <c r="V47" s="139"/>
      <c r="W47" s="69"/>
      <c r="X47" s="87"/>
      <c r="Y47" s="87"/>
      <c r="Z47" s="121"/>
      <c r="AA47" s="87"/>
      <c r="AB47" s="121"/>
      <c r="AC47" s="139"/>
      <c r="AD47" s="69"/>
      <c r="AE47" s="87"/>
      <c r="AF47" s="87"/>
      <c r="AG47" s="121"/>
      <c r="AH47" s="87"/>
      <c r="AI47" s="121"/>
      <c r="AJ47" s="13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</row>
    <row r="48" spans="1:49" x14ac:dyDescent="0.25">
      <c r="A48" s="409" t="s">
        <v>16</v>
      </c>
      <c r="B48" s="271" t="str">
        <f>IF(Rates!D166=$A$48,Rates!B166," ")</f>
        <v>Retail Transmission Rate – Network Service Rate</v>
      </c>
      <c r="C48" s="399"/>
      <c r="D48" s="271" t="str">
        <f>IF(Rates!D166= $A$48,Rates!E166," ")</f>
        <v>kW</v>
      </c>
      <c r="E48" s="81"/>
      <c r="F48" s="235">
        <f>IF(Rates!$J$1="BRT 2018",Rates!J166," ")</f>
        <v>2.2263999999999999</v>
      </c>
      <c r="G48" s="404">
        <f t="shared" si="12"/>
        <v>60</v>
      </c>
      <c r="H48" s="82">
        <f>G48*F48</f>
        <v>133.584</v>
      </c>
      <c r="I48" s="87"/>
      <c r="J48" s="235">
        <f>IF(Rates!$L$1="E+ 2019",Rates!L166," ")</f>
        <v>3.039109007035127</v>
      </c>
      <c r="K48" s="404">
        <f t="shared" si="13"/>
        <v>60</v>
      </c>
      <c r="L48" s="82">
        <f>K48*J48</f>
        <v>182.34654042210761</v>
      </c>
      <c r="M48" s="83"/>
      <c r="N48" s="84">
        <f t="shared" si="2"/>
        <v>48.762540422107605</v>
      </c>
      <c r="O48" s="85">
        <f>IF(OR(H48=0,L48=0),"",(N48/H48))</f>
        <v>0.36503279151775364</v>
      </c>
      <c r="Q48" s="119"/>
      <c r="R48" s="141"/>
      <c r="S48" s="294">
        <f>F48*K48</f>
        <v>133.584</v>
      </c>
      <c r="T48" s="87"/>
      <c r="U48" s="89"/>
      <c r="V48" s="90"/>
      <c r="W48" s="69"/>
      <c r="X48" s="119"/>
      <c r="Y48" s="141"/>
      <c r="Z48" s="88"/>
      <c r="AA48" s="87"/>
      <c r="AB48" s="89"/>
      <c r="AC48" s="90"/>
      <c r="AD48" s="69"/>
      <c r="AE48" s="119"/>
      <c r="AF48" s="141"/>
      <c r="AG48" s="88"/>
      <c r="AH48" s="87"/>
      <c r="AI48" s="89"/>
      <c r="AJ48" s="90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</row>
    <row r="49" spans="1:49" ht="28.5" x14ac:dyDescent="0.25">
      <c r="A49" s="1"/>
      <c r="B49" s="271" t="str">
        <f>IF(Rates!D167=$A$48,Rates!B167," ")</f>
        <v>Retail Transmission Rate – Network Service Rate Interval Metered &lt;1,000 kW</v>
      </c>
      <c r="C49" s="399"/>
      <c r="D49" s="271" t="str">
        <f>IF(Rates!D167= $A$48,Rates!E167," ")</f>
        <v>kW</v>
      </c>
      <c r="E49" s="81"/>
      <c r="F49" s="235">
        <f>IF(Rates!$J$1="BRT 2018",Rates!J167," ")</f>
        <v>2.3616999999999999</v>
      </c>
      <c r="G49" s="404">
        <v>0</v>
      </c>
      <c r="H49" s="82">
        <f t="shared" ref="H49:H51" si="20">G49*F49</f>
        <v>0</v>
      </c>
      <c r="I49" s="87"/>
      <c r="J49" s="235">
        <f>IF(Rates!$L$1="E+ 2019",Rates!L167," ")</f>
        <v>3.0547851757037856</v>
      </c>
      <c r="K49" s="404">
        <v>0</v>
      </c>
      <c r="L49" s="82">
        <f t="shared" ref="L49:L51" si="21">K49*J49</f>
        <v>0</v>
      </c>
      <c r="M49" s="83"/>
      <c r="N49" s="84">
        <f t="shared" si="2"/>
        <v>0</v>
      </c>
      <c r="O49" s="85" t="str">
        <f t="shared" ref="O49:O51" si="22">IF(OR(H49=0,L49=0),"",(N49/H49))</f>
        <v/>
      </c>
      <c r="Q49" s="119"/>
      <c r="R49" s="141"/>
      <c r="S49" s="295">
        <f>F49*K49</f>
        <v>0</v>
      </c>
      <c r="T49" s="87"/>
      <c r="U49" s="89"/>
      <c r="V49" s="90"/>
      <c r="W49" s="69"/>
      <c r="X49" s="119"/>
      <c r="Y49" s="141"/>
      <c r="Z49" s="88"/>
      <c r="AA49" s="87"/>
      <c r="AB49" s="89"/>
      <c r="AC49" s="90"/>
      <c r="AD49" s="69"/>
      <c r="AE49" s="119"/>
      <c r="AF49" s="141"/>
      <c r="AG49" s="88"/>
      <c r="AH49" s="87"/>
      <c r="AI49" s="89"/>
      <c r="AJ49" s="90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</row>
    <row r="50" spans="1:49" ht="28.5" x14ac:dyDescent="0.25">
      <c r="A50" s="1"/>
      <c r="B50" s="271" t="str">
        <f>IF(Rates!D168=$A$48,Rates!B168," ")</f>
        <v>Retail Transmission Rate – Line and Transformation Connection Service Rate</v>
      </c>
      <c r="C50" s="399"/>
      <c r="D50" s="271" t="str">
        <f>IF(Rates!D168= $A$48,Rates!E168," ")</f>
        <v>kW</v>
      </c>
      <c r="E50" s="81"/>
      <c r="F50" s="235">
        <f>IF(Rates!$J$1="BRT 2018",Rates!J168," ")</f>
        <v>1.1812</v>
      </c>
      <c r="G50" s="404">
        <f t="shared" si="12"/>
        <v>60</v>
      </c>
      <c r="H50" s="82">
        <f t="shared" si="20"/>
        <v>70.872</v>
      </c>
      <c r="I50" s="87"/>
      <c r="J50" s="235">
        <f>IF(Rates!$L$1="E+ 2019",Rates!L168," ")</f>
        <v>2.2794726540731611</v>
      </c>
      <c r="K50" s="404">
        <f t="shared" si="13"/>
        <v>60</v>
      </c>
      <c r="L50" s="82">
        <f t="shared" si="21"/>
        <v>136.76835924438967</v>
      </c>
      <c r="M50" s="83"/>
      <c r="N50" s="84">
        <f t="shared" si="2"/>
        <v>65.896359244389672</v>
      </c>
      <c r="O50" s="85">
        <f t="shared" si="22"/>
        <v>0.9297939841459204</v>
      </c>
      <c r="Q50" s="119"/>
      <c r="R50" s="141"/>
      <c r="S50" s="295">
        <f t="shared" ref="S50:S51" si="23">F50*K50</f>
        <v>70.872</v>
      </c>
      <c r="T50" s="87"/>
      <c r="U50" s="89"/>
      <c r="V50" s="90"/>
      <c r="W50" s="69"/>
      <c r="X50" s="119"/>
      <c r="Y50" s="141"/>
      <c r="Z50" s="88"/>
      <c r="AA50" s="87"/>
      <c r="AB50" s="89"/>
      <c r="AC50" s="90"/>
      <c r="AD50" s="69"/>
      <c r="AE50" s="119"/>
      <c r="AF50" s="141"/>
      <c r="AG50" s="88"/>
      <c r="AH50" s="87"/>
      <c r="AI50" s="89"/>
      <c r="AJ50" s="90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</row>
    <row r="51" spans="1:49" ht="28.5" x14ac:dyDescent="0.25">
      <c r="A51" s="1"/>
      <c r="B51" s="271" t="str">
        <f>IF(Rates!D169=$A$48,Rates!B169," ")</f>
        <v>Retail Transmission Rate – Line and Transformation Connection Service Rate - Interval Metered &lt; 1,000 kW</v>
      </c>
      <c r="C51" s="399"/>
      <c r="D51" s="271" t="str">
        <f>IF(Rates!D169= $A$48,Rates!E169," ")</f>
        <v>kW</v>
      </c>
      <c r="E51" s="81"/>
      <c r="F51" s="235">
        <f>IF(Rates!$J$1="BRT 2018",Rates!J169," ")</f>
        <v>1.3052999999999999</v>
      </c>
      <c r="G51" s="404">
        <v>0</v>
      </c>
      <c r="H51" s="82">
        <f t="shared" si="20"/>
        <v>0</v>
      </c>
      <c r="I51" s="87"/>
      <c r="J51" s="235">
        <f>IF(Rates!$L$1="E+ 2019",Rates!L169," ")</f>
        <v>2.2957713829409307</v>
      </c>
      <c r="K51" s="404">
        <v>0</v>
      </c>
      <c r="L51" s="82">
        <f t="shared" si="21"/>
        <v>0</v>
      </c>
      <c r="M51" s="83"/>
      <c r="N51" s="84">
        <f t="shared" si="2"/>
        <v>0</v>
      </c>
      <c r="O51" s="85" t="str">
        <f t="shared" si="22"/>
        <v/>
      </c>
      <c r="Q51" s="119"/>
      <c r="R51" s="141"/>
      <c r="S51" s="295">
        <f t="shared" si="23"/>
        <v>0</v>
      </c>
      <c r="T51" s="87"/>
      <c r="U51" s="89"/>
      <c r="V51" s="90"/>
      <c r="W51" s="69"/>
      <c r="X51" s="119"/>
      <c r="Y51" s="141"/>
      <c r="Z51" s="88"/>
      <c r="AA51" s="87"/>
      <c r="AB51" s="89"/>
      <c r="AC51" s="90"/>
      <c r="AD51" s="69"/>
      <c r="AE51" s="119"/>
      <c r="AF51" s="141"/>
      <c r="AG51" s="88"/>
      <c r="AH51" s="87"/>
      <c r="AI51" s="89"/>
      <c r="AJ51" s="90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</row>
    <row r="52" spans="1:49" x14ac:dyDescent="0.25">
      <c r="A52" s="1"/>
      <c r="B52" s="132" t="s">
        <v>81</v>
      </c>
      <c r="C52" s="110"/>
      <c r="D52" s="110"/>
      <c r="E52" s="416"/>
      <c r="F52" s="142"/>
      <c r="G52" s="135"/>
      <c r="H52" s="136">
        <f>SUM(H47:H51)</f>
        <v>715.98583215668612</v>
      </c>
      <c r="I52" s="146"/>
      <c r="J52" s="144"/>
      <c r="K52" s="145"/>
      <c r="L52" s="136">
        <f>SUM(L47:L51)</f>
        <v>706.79879905332405</v>
      </c>
      <c r="M52" s="146"/>
      <c r="N52" s="117">
        <f>L52-H52</f>
        <v>-9.1870331033620687</v>
      </c>
      <c r="O52" s="138">
        <f>IF(OR(H52=0,L52=0),"",(N52/H52))</f>
        <v>-1.2831305719680192E-2</v>
      </c>
      <c r="Q52" s="146"/>
      <c r="R52" s="146"/>
      <c r="S52" s="296">
        <f>SUM(S48:S51)</f>
        <v>204.45600000000002</v>
      </c>
      <c r="T52" s="146"/>
      <c r="U52" s="121"/>
      <c r="V52" s="139"/>
      <c r="W52" s="69"/>
      <c r="X52" s="146"/>
      <c r="Y52" s="146"/>
      <c r="Z52" s="121"/>
      <c r="AA52" s="146"/>
      <c r="AB52" s="121"/>
      <c r="AC52" s="139"/>
      <c r="AD52" s="69"/>
      <c r="AE52" s="146"/>
      <c r="AF52" s="146"/>
      <c r="AG52" s="121"/>
      <c r="AH52" s="146"/>
      <c r="AI52" s="121"/>
      <c r="AJ52" s="13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</row>
    <row r="53" spans="1:49" ht="28.5" x14ac:dyDescent="0.25">
      <c r="A53" s="410" t="s">
        <v>17</v>
      </c>
      <c r="B53" s="271" t="str">
        <f>IF(Rates!D8=$A$53,Rates!B8," ")</f>
        <v>Standard Supply Service – Administrative Charge (if applicable)</v>
      </c>
      <c r="C53" s="414"/>
      <c r="D53" s="271" t="str">
        <f>IF(Rates!D8=$A$53,Rates!E8," ")</f>
        <v>customer</v>
      </c>
      <c r="E53" s="415"/>
      <c r="F53" s="235">
        <f>IF(Rates!$J$1="BRT 2018",Rates!J8," ")</f>
        <v>0.25</v>
      </c>
      <c r="G53" s="404">
        <f t="shared" si="12"/>
        <v>1</v>
      </c>
      <c r="H53" s="148">
        <f t="shared" ref="H53:H62" si="24">G53*F53</f>
        <v>0.25</v>
      </c>
      <c r="I53" s="87"/>
      <c r="J53" s="80">
        <f>IF(Rates!$L$1="E+ 2019",Rates!L8," ")</f>
        <v>0.25</v>
      </c>
      <c r="K53" s="404">
        <f t="shared" si="13"/>
        <v>1</v>
      </c>
      <c r="L53" s="148">
        <f t="shared" ref="L53:L62" si="25">K53*J53</f>
        <v>0.25</v>
      </c>
      <c r="M53" s="87"/>
      <c r="N53" s="84">
        <f t="shared" si="2"/>
        <v>0</v>
      </c>
      <c r="O53" s="85">
        <f>IF(OR(H53=0,L53=0),"",(N53/H53))</f>
        <v>0</v>
      </c>
      <c r="Q53" s="150"/>
      <c r="R53" s="224"/>
      <c r="S53" s="151"/>
      <c r="T53" s="87"/>
      <c r="U53" s="89"/>
      <c r="V53" s="90"/>
      <c r="W53" s="69"/>
      <c r="X53" s="150"/>
      <c r="Y53" s="224"/>
      <c r="Z53" s="151"/>
      <c r="AA53" s="87"/>
      <c r="AB53" s="89"/>
      <c r="AC53" s="90"/>
      <c r="AD53" s="69"/>
      <c r="AE53" s="150"/>
      <c r="AF53" s="224"/>
      <c r="AG53" s="151"/>
      <c r="AH53" s="87"/>
      <c r="AI53" s="89"/>
      <c r="AJ53" s="90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</row>
    <row r="54" spans="1:49" x14ac:dyDescent="0.25">
      <c r="A54" s="1"/>
      <c r="B54" s="271" t="str">
        <f>IF(Rates!D9=$A$53,Rates!B9," ")</f>
        <v xml:space="preserve">Wholesale Market Service Rate </v>
      </c>
      <c r="C54" s="414"/>
      <c r="D54" s="271" t="str">
        <f>IF(Rates!D9=$A$53,Rates!E9," ")</f>
        <v>kWh</v>
      </c>
      <c r="E54" s="415"/>
      <c r="F54" s="235">
        <f>IF(Rates!$J$1="BRT 2018",Rates!J9," ")</f>
        <v>3.2000000000000002E-3</v>
      </c>
      <c r="G54" s="225">
        <f>$F$19*(1+$F$76)</f>
        <v>20990.000000000004</v>
      </c>
      <c r="H54" s="148">
        <f t="shared" si="24"/>
        <v>67.168000000000021</v>
      </c>
      <c r="I54" s="87"/>
      <c r="J54" s="235">
        <f>IF(Rates!$L$1="E+ 2019",Rates!L9," ")</f>
        <v>3.2000000000000002E-3</v>
      </c>
      <c r="K54" s="225">
        <f>$F$19*(1+$J$76)</f>
        <v>20613.692998880539</v>
      </c>
      <c r="L54" s="148">
        <f t="shared" si="25"/>
        <v>65.963817596417726</v>
      </c>
      <c r="M54" s="87"/>
      <c r="N54" s="84">
        <f t="shared" si="2"/>
        <v>-1.2041824035822941</v>
      </c>
      <c r="O54" s="85">
        <f t="shared" ref="O54:O73" si="26">IF(OR(H54=0,L54=0),"",(N54/H54))</f>
        <v>-1.7927918109550585E-2</v>
      </c>
      <c r="Q54" s="150"/>
      <c r="R54" s="224"/>
      <c r="S54" s="151"/>
      <c r="T54" s="87"/>
      <c r="U54" s="89"/>
      <c r="V54" s="90"/>
      <c r="W54" s="69"/>
      <c r="X54" s="150"/>
      <c r="Y54" s="224"/>
      <c r="Z54" s="151"/>
      <c r="AA54" s="87"/>
      <c r="AB54" s="89"/>
      <c r="AC54" s="90"/>
      <c r="AD54" s="69"/>
      <c r="AE54" s="150"/>
      <c r="AF54" s="224"/>
      <c r="AG54" s="151"/>
      <c r="AH54" s="87"/>
      <c r="AI54" s="89"/>
      <c r="AJ54" s="90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</row>
    <row r="55" spans="1:49" x14ac:dyDescent="0.25">
      <c r="A55" s="1"/>
      <c r="B55" s="271" t="str">
        <f>IF(Rates!D10=$A$53,Rates!B10," ")</f>
        <v>Capacity Based Rcovery(CBR) - Class B Customers</v>
      </c>
      <c r="C55" s="414"/>
      <c r="D55" s="271" t="str">
        <f>IF(Rates!D10=$A$53,Rates!E10," ")</f>
        <v>kWh</v>
      </c>
      <c r="E55" s="415"/>
      <c r="F55" s="235">
        <f>IF(Rates!$J$1="BRT 2018",Rates!J10," ")</f>
        <v>4.0000000000000002E-4</v>
      </c>
      <c r="G55" s="225">
        <f t="shared" ref="G55:G56" si="27">$F$19*(1+$F$76)</f>
        <v>20990.000000000004</v>
      </c>
      <c r="H55" s="148">
        <f t="shared" si="24"/>
        <v>8.3960000000000026</v>
      </c>
      <c r="I55" s="87"/>
      <c r="J55" s="235">
        <f>IF(Rates!$L$1="E+ 2019",Rates!L10," ")</f>
        <v>4.0000000000000002E-4</v>
      </c>
      <c r="K55" s="225">
        <f t="shared" ref="K55:K56" si="28">$F$19*(1+$J$76)</f>
        <v>20613.692998880539</v>
      </c>
      <c r="L55" s="148">
        <f t="shared" si="25"/>
        <v>8.2454771995522158</v>
      </c>
      <c r="M55" s="87"/>
      <c r="N55" s="84">
        <f t="shared" si="2"/>
        <v>-0.15052280044778676</v>
      </c>
      <c r="O55" s="85">
        <f t="shared" si="26"/>
        <v>-1.7927918109550585E-2</v>
      </c>
      <c r="Q55" s="150"/>
      <c r="R55" s="224"/>
      <c r="S55" s="151"/>
      <c r="T55" s="87"/>
      <c r="U55" s="89"/>
      <c r="V55" s="90"/>
      <c r="W55" s="69"/>
      <c r="X55" s="150"/>
      <c r="Y55" s="224"/>
      <c r="Z55" s="151"/>
      <c r="AA55" s="87"/>
      <c r="AB55" s="89"/>
      <c r="AC55" s="90"/>
      <c r="AD55" s="69"/>
      <c r="AE55" s="150"/>
      <c r="AF55" s="224"/>
      <c r="AG55" s="151"/>
      <c r="AH55" s="87"/>
      <c r="AI55" s="89"/>
      <c r="AJ55" s="90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</row>
    <row r="56" spans="1:49" x14ac:dyDescent="0.25">
      <c r="A56" s="1"/>
      <c r="B56" s="271" t="str">
        <f>IF(Rates!D11=$A$53,Rates!B11," ")</f>
        <v xml:space="preserve">Rural Rate Protection Charge </v>
      </c>
      <c r="C56" s="414"/>
      <c r="D56" s="271" t="str">
        <f>IF(Rates!D11=$A$53,Rates!E11," ")</f>
        <v>kWh</v>
      </c>
      <c r="E56" s="415"/>
      <c r="F56" s="235">
        <f>IF(Rates!$J$1="BRT 2018",Rates!J11," ")</f>
        <v>2.9999999999999997E-4</v>
      </c>
      <c r="G56" s="225">
        <f t="shared" si="27"/>
        <v>20990.000000000004</v>
      </c>
      <c r="H56" s="148">
        <f t="shared" si="24"/>
        <v>6.2970000000000006</v>
      </c>
      <c r="I56" s="87"/>
      <c r="J56" s="235">
        <f>IF(Rates!$L$1="E+ 2019",Rates!L11," ")</f>
        <v>2.9999999999999997E-4</v>
      </c>
      <c r="K56" s="225">
        <f t="shared" si="28"/>
        <v>20613.692998880539</v>
      </c>
      <c r="L56" s="148">
        <f t="shared" si="25"/>
        <v>6.184107899664161</v>
      </c>
      <c r="M56" s="87"/>
      <c r="N56" s="84">
        <f t="shared" si="2"/>
        <v>-0.11289210033583963</v>
      </c>
      <c r="O56" s="85">
        <f t="shared" si="26"/>
        <v>-1.7927918109550519E-2</v>
      </c>
      <c r="Q56" s="153"/>
      <c r="R56" s="87"/>
      <c r="S56" s="151"/>
      <c r="T56" s="87"/>
      <c r="U56" s="89"/>
      <c r="V56" s="90"/>
      <c r="W56" s="69"/>
      <c r="X56" s="153"/>
      <c r="Y56" s="87"/>
      <c r="Z56" s="151"/>
      <c r="AA56" s="87"/>
      <c r="AB56" s="89"/>
      <c r="AC56" s="90"/>
      <c r="AD56" s="69"/>
      <c r="AE56" s="153"/>
      <c r="AF56" s="87"/>
      <c r="AG56" s="151"/>
      <c r="AH56" s="87"/>
      <c r="AI56" s="89"/>
      <c r="AJ56" s="90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</row>
    <row r="57" spans="1:49" x14ac:dyDescent="0.25">
      <c r="A57" s="1"/>
      <c r="B57" s="271" t="str">
        <f>IF(Rates!D12=$A$53,Rates!B12," ")</f>
        <v>Debt Retirement Charge</v>
      </c>
      <c r="C57" s="414"/>
      <c r="D57" s="271" t="str">
        <f>IF(Rates!D12=$A$53,Rates!E12," ")</f>
        <v>kWh</v>
      </c>
      <c r="E57" s="415"/>
      <c r="F57" s="235">
        <f>IF(Rates!$J$1="BRT 2018",Rates!J12," ")</f>
        <v>7.0000000000000001E-3</v>
      </c>
      <c r="G57" s="225">
        <f>$F$19</f>
        <v>20000</v>
      </c>
      <c r="H57" s="148">
        <f t="shared" si="24"/>
        <v>140</v>
      </c>
      <c r="I57" s="87"/>
      <c r="J57" s="235">
        <f>IF(Rates!$L$1="E+ 2019",Rates!L12," ")</f>
        <v>7.0000000000000001E-3</v>
      </c>
      <c r="K57" s="225">
        <f>F19</f>
        <v>20000</v>
      </c>
      <c r="L57" s="148">
        <f t="shared" si="25"/>
        <v>140</v>
      </c>
      <c r="M57" s="87"/>
      <c r="N57" s="84">
        <f t="shared" si="2"/>
        <v>0</v>
      </c>
      <c r="O57" s="85">
        <f t="shared" si="26"/>
        <v>0</v>
      </c>
      <c r="Q57" s="153"/>
      <c r="R57" s="87"/>
      <c r="S57" s="151"/>
      <c r="T57" s="87"/>
      <c r="U57" s="89"/>
      <c r="V57" s="90"/>
      <c r="W57" s="69"/>
      <c r="X57" s="153"/>
      <c r="Y57" s="87"/>
      <c r="Z57" s="151"/>
      <c r="AA57" s="87"/>
      <c r="AB57" s="89"/>
      <c r="AC57" s="90"/>
      <c r="AD57" s="69"/>
      <c r="AE57" s="153"/>
      <c r="AF57" s="87"/>
      <c r="AG57" s="151"/>
      <c r="AH57" s="87"/>
      <c r="AI57" s="89"/>
      <c r="AJ57" s="90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</row>
    <row r="58" spans="1:49" x14ac:dyDescent="0.25">
      <c r="A58" s="411" t="s">
        <v>14</v>
      </c>
      <c r="B58" s="271" t="str">
        <f>IF(Rates!D2=$A$58,Rates!B2," ")</f>
        <v>TOU - Off Peak</v>
      </c>
      <c r="C58" s="414"/>
      <c r="D58" s="271" t="str">
        <f>IF(Rates!D2=$A$58,Rates!E2," ")</f>
        <v>kWh</v>
      </c>
      <c r="E58" s="415"/>
      <c r="F58" s="235">
        <f>IF(Rates!$J$1="BRT 2018",Rates!J2," ")</f>
        <v>6.5000000000000002E-2</v>
      </c>
      <c r="G58" s="226">
        <f>IF($G$61=0,0.65*($F$19*(1+$F$76)),0)</f>
        <v>0</v>
      </c>
      <c r="H58" s="148">
        <f t="shared" si="24"/>
        <v>0</v>
      </c>
      <c r="I58" s="87"/>
      <c r="J58" s="152">
        <f>IF(Rates!$L$1="E+ 2019",Rates!L2," ")</f>
        <v>6.5000000000000002E-2</v>
      </c>
      <c r="K58" s="226">
        <f>IF($K$61=0,0.65*$F$19,0)</f>
        <v>0</v>
      </c>
      <c r="L58" s="148">
        <f t="shared" si="25"/>
        <v>0</v>
      </c>
      <c r="M58" s="87"/>
      <c r="N58" s="84">
        <f t="shared" si="2"/>
        <v>0</v>
      </c>
      <c r="O58" s="85" t="str">
        <f t="shared" si="26"/>
        <v/>
      </c>
      <c r="Q58" s="150"/>
      <c r="R58" s="224"/>
      <c r="S58" s="151"/>
      <c r="T58" s="87"/>
      <c r="U58" s="89"/>
      <c r="V58" s="90"/>
      <c r="W58" s="69"/>
      <c r="X58" s="150"/>
      <c r="Y58" s="224"/>
      <c r="Z58" s="151"/>
      <c r="AA58" s="87"/>
      <c r="AB58" s="89"/>
      <c r="AC58" s="90"/>
      <c r="AD58" s="69"/>
      <c r="AE58" s="150"/>
      <c r="AF58" s="224"/>
      <c r="AG58" s="151"/>
      <c r="AH58" s="87"/>
      <c r="AI58" s="89"/>
      <c r="AJ58" s="90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</row>
    <row r="59" spans="1:49" x14ac:dyDescent="0.25">
      <c r="A59" s="1"/>
      <c r="B59" s="271" t="str">
        <f>IF(Rates!D3=$A$58,Rates!B3," ")</f>
        <v>TOU - Mid Peak</v>
      </c>
      <c r="C59" s="414"/>
      <c r="D59" s="271" t="str">
        <f>IF(Rates!D3=$A$58,Rates!E3," ")</f>
        <v>kWh</v>
      </c>
      <c r="E59" s="415"/>
      <c r="F59" s="235">
        <f>IF(Rates!$J$1="BRT 2018",Rates!J3," ")</f>
        <v>9.5000000000000001E-2</v>
      </c>
      <c r="G59" s="226">
        <f>IF($G$61=0,0.17*($F$19*(1+$F$76)),0)</f>
        <v>0</v>
      </c>
      <c r="H59" s="148">
        <f t="shared" si="24"/>
        <v>0</v>
      </c>
      <c r="I59" s="87"/>
      <c r="J59" s="147">
        <f t="shared" ref="J59:J62" si="29">+F59</f>
        <v>9.5000000000000001E-2</v>
      </c>
      <c r="K59" s="226">
        <f>IF($K$61=0,0.17*$F$19,0)</f>
        <v>0</v>
      </c>
      <c r="L59" s="148">
        <f t="shared" si="25"/>
        <v>0</v>
      </c>
      <c r="M59" s="87"/>
      <c r="N59" s="84">
        <f t="shared" si="2"/>
        <v>0</v>
      </c>
      <c r="O59" s="85" t="str">
        <f t="shared" si="26"/>
        <v/>
      </c>
      <c r="Q59" s="157"/>
      <c r="R59" s="227"/>
      <c r="S59" s="151"/>
      <c r="T59" s="87"/>
      <c r="U59" s="89"/>
      <c r="V59" s="90"/>
      <c r="W59" s="69"/>
      <c r="X59" s="157"/>
      <c r="Y59" s="227"/>
      <c r="Z59" s="151"/>
      <c r="AA59" s="87"/>
      <c r="AB59" s="89"/>
      <c r="AC59" s="90"/>
      <c r="AD59" s="69"/>
      <c r="AE59" s="157"/>
      <c r="AF59" s="227"/>
      <c r="AG59" s="151"/>
      <c r="AH59" s="87"/>
      <c r="AI59" s="89"/>
      <c r="AJ59" s="90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</row>
    <row r="60" spans="1:49" x14ac:dyDescent="0.25">
      <c r="A60" s="1"/>
      <c r="B60" s="271" t="str">
        <f>IF(Rates!D4=$A$58,Rates!B4," ")</f>
        <v>TOU - On Peak</v>
      </c>
      <c r="C60" s="414"/>
      <c r="D60" s="271" t="str">
        <f>IF(Rates!D4=$A$58,Rates!E4," ")</f>
        <v>kWh</v>
      </c>
      <c r="E60" s="415"/>
      <c r="F60" s="235">
        <f>IF(Rates!$J$1="BRT 2018",Rates!J4," ")</f>
        <v>0.13200000000000001</v>
      </c>
      <c r="G60" s="226">
        <f>IF($G$61=0,0.18*($F$19*(1+$F$76)),0)</f>
        <v>0</v>
      </c>
      <c r="H60" s="148">
        <f t="shared" si="24"/>
        <v>0</v>
      </c>
      <c r="I60" s="87"/>
      <c r="J60" s="147">
        <f t="shared" si="29"/>
        <v>0.13200000000000001</v>
      </c>
      <c r="K60" s="226">
        <f>IF($K$61=0,0.18*$F$19,0)</f>
        <v>0</v>
      </c>
      <c r="L60" s="148">
        <f t="shared" si="25"/>
        <v>0</v>
      </c>
      <c r="M60" s="87"/>
      <c r="N60" s="84">
        <f t="shared" si="2"/>
        <v>0</v>
      </c>
      <c r="O60" s="85" t="str">
        <f t="shared" si="26"/>
        <v/>
      </c>
      <c r="Q60" s="157"/>
      <c r="R60" s="227"/>
      <c r="S60" s="151"/>
      <c r="T60" s="87"/>
      <c r="U60" s="89"/>
      <c r="V60" s="90"/>
      <c r="W60" s="69"/>
      <c r="X60" s="157"/>
      <c r="Y60" s="227"/>
      <c r="Z60" s="151"/>
      <c r="AA60" s="87"/>
      <c r="AB60" s="89"/>
      <c r="AC60" s="90"/>
      <c r="AD60" s="69"/>
      <c r="AE60" s="157"/>
      <c r="AF60" s="227"/>
      <c r="AG60" s="151"/>
      <c r="AH60" s="87"/>
      <c r="AI60" s="89"/>
      <c r="AJ60" s="90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</row>
    <row r="61" spans="1:49" x14ac:dyDescent="0.25">
      <c r="A61" s="1"/>
      <c r="B61" s="271" t="str">
        <f>IF(Rates!D5=$A$58,Rates!B5," ")</f>
        <v>Commodity</v>
      </c>
      <c r="C61" s="419"/>
      <c r="D61" s="271" t="str">
        <f>IF(Rates!D5=$A$58,Rates!E5," ")</f>
        <v>kWh</v>
      </c>
      <c r="E61" s="420"/>
      <c r="F61" s="235">
        <f>IF(Rates!$J$1="BRT 2018",Rates!J5," ")</f>
        <v>1.8855833333333332E-2</v>
      </c>
      <c r="G61" s="225">
        <f t="shared" ref="G61:G62" si="30">$F$19*(1+$F$76)</f>
        <v>20990.000000000004</v>
      </c>
      <c r="H61" s="148">
        <f t="shared" si="24"/>
        <v>395.78394166666669</v>
      </c>
      <c r="I61" s="166"/>
      <c r="J61" s="147">
        <f t="shared" si="29"/>
        <v>1.8855833333333332E-2</v>
      </c>
      <c r="K61" s="225">
        <f t="shared" ref="K61:K62" si="31">$F$19*(1+$J$76)</f>
        <v>20613.692998880539</v>
      </c>
      <c r="L61" s="148">
        <f t="shared" si="25"/>
        <v>388.68835957139157</v>
      </c>
      <c r="M61" s="166"/>
      <c r="N61" s="84">
        <f t="shared" si="2"/>
        <v>-7.0955820952751196</v>
      </c>
      <c r="O61" s="85">
        <f t="shared" si="26"/>
        <v>-1.7927918109550519E-2</v>
      </c>
      <c r="Q61" s="157"/>
      <c r="R61" s="227"/>
      <c r="S61" s="151"/>
      <c r="T61" s="166"/>
      <c r="U61" s="89"/>
      <c r="V61" s="90"/>
      <c r="W61" s="69"/>
      <c r="X61" s="157"/>
      <c r="Y61" s="227"/>
      <c r="Z61" s="151"/>
      <c r="AA61" s="166"/>
      <c r="AB61" s="89"/>
      <c r="AC61" s="90"/>
      <c r="AD61" s="69"/>
      <c r="AE61" s="157"/>
      <c r="AF61" s="227"/>
      <c r="AG61" s="151"/>
      <c r="AH61" s="166"/>
      <c r="AI61" s="89"/>
      <c r="AJ61" s="90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</row>
    <row r="62" spans="1:49" ht="15.75" thickBot="1" x14ac:dyDescent="0.3">
      <c r="A62" s="159"/>
      <c r="B62" s="271" t="str">
        <f>IF(Rates!D6=$A$58,Rates!B6," ")</f>
        <v>Global Adjustment</v>
      </c>
      <c r="C62" s="419"/>
      <c r="D62" s="271" t="str">
        <f>IF(Rates!D6=$A$58,Rates!E6," ")</f>
        <v>kWh</v>
      </c>
      <c r="E62" s="420"/>
      <c r="F62" s="235">
        <f>IF(Rates!$J$1="BRT 2018",Rates!J6," ")</f>
        <v>0.10303000000000001</v>
      </c>
      <c r="G62" s="225">
        <f t="shared" si="30"/>
        <v>20990.000000000004</v>
      </c>
      <c r="H62" s="148">
        <f t="shared" si="24"/>
        <v>2162.5997000000007</v>
      </c>
      <c r="I62" s="166"/>
      <c r="J62" s="169">
        <f t="shared" si="29"/>
        <v>0.10303000000000001</v>
      </c>
      <c r="K62" s="225">
        <f t="shared" si="31"/>
        <v>20613.692998880539</v>
      </c>
      <c r="L62" s="148">
        <f t="shared" si="25"/>
        <v>2123.8287896746619</v>
      </c>
      <c r="M62" s="166"/>
      <c r="N62" s="84">
        <f t="shared" si="2"/>
        <v>-38.770910325338718</v>
      </c>
      <c r="O62" s="85">
        <f t="shared" si="26"/>
        <v>-1.7927918109550606E-2</v>
      </c>
      <c r="Q62" s="157"/>
      <c r="R62" s="227"/>
      <c r="S62" s="151"/>
      <c r="T62" s="166"/>
      <c r="U62" s="89"/>
      <c r="V62" s="90"/>
      <c r="W62" s="69"/>
      <c r="X62" s="157"/>
      <c r="Y62" s="227"/>
      <c r="Z62" s="151"/>
      <c r="AA62" s="166"/>
      <c r="AB62" s="89"/>
      <c r="AC62" s="90"/>
      <c r="AD62" s="69"/>
      <c r="AE62" s="157"/>
      <c r="AF62" s="227"/>
      <c r="AG62" s="151"/>
      <c r="AH62" s="166"/>
      <c r="AI62" s="89"/>
      <c r="AJ62" s="90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</row>
    <row r="63" spans="1:49" ht="15.75" thickBot="1" x14ac:dyDescent="0.3">
      <c r="A63" s="159"/>
      <c r="B63" s="421"/>
      <c r="C63" s="212"/>
      <c r="D63" s="213"/>
      <c r="E63" s="422"/>
      <c r="F63" s="266"/>
      <c r="G63" s="214"/>
      <c r="H63" s="267"/>
      <c r="I63" s="87"/>
      <c r="J63" s="266"/>
      <c r="K63" s="216"/>
      <c r="L63" s="267"/>
      <c r="M63" s="87"/>
      <c r="N63" s="217"/>
      <c r="O63" s="205"/>
      <c r="Q63" s="157"/>
      <c r="R63" s="120"/>
      <c r="S63" s="151"/>
      <c r="T63" s="87"/>
      <c r="U63" s="89"/>
      <c r="V63" s="174"/>
      <c r="W63" s="69"/>
      <c r="X63" s="157"/>
      <c r="Y63" s="120"/>
      <c r="Z63" s="151"/>
      <c r="AA63" s="87"/>
      <c r="AB63" s="89"/>
      <c r="AC63" s="174"/>
      <c r="AD63" s="69"/>
      <c r="AE63" s="157"/>
      <c r="AF63" s="120"/>
      <c r="AG63" s="151"/>
      <c r="AH63" s="87"/>
      <c r="AI63" s="89"/>
      <c r="AJ63" s="174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</row>
    <row r="64" spans="1:49" x14ac:dyDescent="0.25">
      <c r="A64" s="159"/>
      <c r="B64" s="423" t="s">
        <v>97</v>
      </c>
      <c r="C64" s="414"/>
      <c r="D64" s="414"/>
      <c r="E64" s="424"/>
      <c r="F64" s="176"/>
      <c r="G64" s="177"/>
      <c r="H64" s="179">
        <f>SUM(H53:H57,H52,H61,,H62,)</f>
        <v>3496.4804738233533</v>
      </c>
      <c r="I64" s="146"/>
      <c r="J64" s="178"/>
      <c r="K64" s="178"/>
      <c r="L64" s="179">
        <f>SUM(L53:L57,L52,L61,,L62,)</f>
        <v>3439.9593509950118</v>
      </c>
      <c r="M64" s="146"/>
      <c r="N64" s="179">
        <f>L64-H64</f>
        <v>-56.521122828341504</v>
      </c>
      <c r="O64" s="180">
        <f t="shared" si="26"/>
        <v>-1.6165147568101942E-2</v>
      </c>
      <c r="Q64" s="181"/>
      <c r="R64" s="181"/>
      <c r="S64" s="121"/>
      <c r="T64" s="146"/>
      <c r="U64" s="89"/>
      <c r="V64" s="90"/>
      <c r="W64" s="69"/>
      <c r="X64" s="181"/>
      <c r="Y64" s="181"/>
      <c r="Z64" s="121"/>
      <c r="AA64" s="146"/>
      <c r="AB64" s="89"/>
      <c r="AC64" s="90"/>
      <c r="AD64" s="69"/>
      <c r="AE64" s="181"/>
      <c r="AF64" s="181"/>
      <c r="AG64" s="121"/>
      <c r="AH64" s="146"/>
      <c r="AI64" s="89"/>
      <c r="AJ64" s="90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</row>
    <row r="65" spans="1:49" x14ac:dyDescent="0.25">
      <c r="A65" s="159"/>
      <c r="B65" s="425" t="s">
        <v>9</v>
      </c>
      <c r="C65" s="414"/>
      <c r="D65" s="414"/>
      <c r="E65" s="424"/>
      <c r="F65" s="183">
        <v>0.13</v>
      </c>
      <c r="G65" s="87"/>
      <c r="H65" s="188">
        <f>H64*F65</f>
        <v>454.54246159703592</v>
      </c>
      <c r="I65" s="187"/>
      <c r="J65" s="185">
        <v>0.13</v>
      </c>
      <c r="K65" s="184"/>
      <c r="L65" s="188">
        <f>L64*J65</f>
        <v>447.19471562935155</v>
      </c>
      <c r="M65" s="187"/>
      <c r="N65" s="188">
        <f>L65-H65</f>
        <v>-7.347745967684375</v>
      </c>
      <c r="O65" s="85">
        <f t="shared" si="26"/>
        <v>-1.6165147568101897E-2</v>
      </c>
      <c r="Q65" s="189"/>
      <c r="R65" s="187"/>
      <c r="S65" s="190"/>
      <c r="T65" s="187"/>
      <c r="U65" s="89"/>
      <c r="V65" s="90"/>
      <c r="W65" s="69"/>
      <c r="X65" s="189"/>
      <c r="Y65" s="187"/>
      <c r="Z65" s="190"/>
      <c r="AA65" s="187"/>
      <c r="AB65" s="89"/>
      <c r="AC65" s="90"/>
      <c r="AD65" s="69"/>
      <c r="AE65" s="189"/>
      <c r="AF65" s="187"/>
      <c r="AG65" s="190"/>
      <c r="AH65" s="187"/>
      <c r="AI65" s="89"/>
      <c r="AJ65" s="90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</row>
    <row r="66" spans="1:49" ht="15.75" thickBot="1" x14ac:dyDescent="0.3">
      <c r="A66" s="1"/>
      <c r="B66" s="517" t="s">
        <v>98</v>
      </c>
      <c r="C66" s="518"/>
      <c r="D66" s="518"/>
      <c r="E66" s="426"/>
      <c r="F66" s="218"/>
      <c r="G66" s="219"/>
      <c r="H66" s="222">
        <f>SUM(H64:H65)</f>
        <v>3951.0229354203893</v>
      </c>
      <c r="I66" s="146"/>
      <c r="J66" s="220"/>
      <c r="K66" s="220"/>
      <c r="L66" s="222">
        <f>SUM(L64:L65)</f>
        <v>3887.1540666243636</v>
      </c>
      <c r="M66" s="146"/>
      <c r="N66" s="222">
        <f>L66-H66</f>
        <v>-63.868868796025708</v>
      </c>
      <c r="O66" s="197">
        <f t="shared" si="26"/>
        <v>-1.6165147568101893E-2</v>
      </c>
      <c r="Q66" s="146"/>
      <c r="R66" s="146"/>
      <c r="S66" s="121"/>
      <c r="T66" s="146"/>
      <c r="U66" s="121"/>
      <c r="V66" s="223"/>
      <c r="W66" s="69"/>
      <c r="X66" s="146"/>
      <c r="Y66" s="146"/>
      <c r="Z66" s="121"/>
      <c r="AA66" s="146"/>
      <c r="AB66" s="121"/>
      <c r="AC66" s="223"/>
      <c r="AD66" s="69"/>
      <c r="AE66" s="146"/>
      <c r="AF66" s="146"/>
      <c r="AG66" s="121"/>
      <c r="AH66" s="146"/>
      <c r="AI66" s="121"/>
      <c r="AJ66" s="223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</row>
    <row r="67" spans="1:49" ht="15.75" thickBot="1" x14ac:dyDescent="0.3">
      <c r="A67" s="1"/>
      <c r="B67" s="427"/>
      <c r="C67" s="199"/>
      <c r="D67" s="200"/>
      <c r="E67" s="428"/>
      <c r="F67" s="266"/>
      <c r="G67" s="201"/>
      <c r="H67" s="267"/>
      <c r="I67" s="166"/>
      <c r="J67" s="266"/>
      <c r="K67" s="203"/>
      <c r="L67" s="267"/>
      <c r="M67" s="166"/>
      <c r="N67" s="204"/>
      <c r="O67" s="205"/>
      <c r="Q67" s="157"/>
      <c r="R67" s="206"/>
      <c r="S67" s="151"/>
      <c r="T67" s="166"/>
      <c r="U67" s="207"/>
      <c r="V67" s="174"/>
      <c r="W67" s="69"/>
      <c r="X67" s="157"/>
      <c r="Y67" s="206"/>
      <c r="Z67" s="151"/>
      <c r="AA67" s="166"/>
      <c r="AB67" s="207"/>
      <c r="AC67" s="174"/>
      <c r="AD67" s="69"/>
      <c r="AE67" s="157"/>
      <c r="AF67" s="206"/>
      <c r="AG67" s="151"/>
      <c r="AH67" s="166"/>
      <c r="AI67" s="207"/>
      <c r="AJ67" s="174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</row>
    <row r="68" spans="1:49" x14ac:dyDescent="0.25">
      <c r="A68" s="1"/>
      <c r="B68" s="429" t="s">
        <v>99</v>
      </c>
      <c r="C68" s="419"/>
      <c r="D68" s="419"/>
      <c r="E68" s="430"/>
      <c r="F68" s="237"/>
      <c r="G68" s="238"/>
      <c r="H68" s="241">
        <f>IF($G$58&gt;0,SUM(H52,H53:H60),0)</f>
        <v>0</v>
      </c>
      <c r="I68" s="240"/>
      <c r="J68" s="239"/>
      <c r="K68" s="239"/>
      <c r="L68" s="241">
        <f>IF($K$58&gt;0,SUM(L52,L53:L60),0)</f>
        <v>0</v>
      </c>
      <c r="M68" s="240"/>
      <c r="N68" s="241">
        <f t="shared" ref="N68:N73" si="32">L68-H68</f>
        <v>0</v>
      </c>
      <c r="O68" s="180" t="str">
        <f t="shared" si="26"/>
        <v/>
      </c>
      <c r="Q68" s="242"/>
      <c r="R68" s="242"/>
      <c r="S68" s="243"/>
      <c r="T68" s="240"/>
      <c r="U68" s="89"/>
      <c r="V68" s="90"/>
      <c r="W68" s="69"/>
      <c r="X68" s="242"/>
      <c r="Y68" s="242"/>
      <c r="Z68" s="243"/>
      <c r="AA68" s="240"/>
      <c r="AB68" s="89"/>
      <c r="AC68" s="90"/>
      <c r="AD68" s="69"/>
      <c r="AE68" s="242"/>
      <c r="AF68" s="242"/>
      <c r="AG68" s="243"/>
      <c r="AH68" s="240"/>
      <c r="AI68" s="89"/>
      <c r="AJ68" s="90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</row>
    <row r="69" spans="1:49" x14ac:dyDescent="0.25">
      <c r="A69" s="1"/>
      <c r="B69" s="431" t="s">
        <v>9</v>
      </c>
      <c r="C69" s="419"/>
      <c r="D69" s="419"/>
      <c r="E69" s="430"/>
      <c r="F69" s="245">
        <v>0.13</v>
      </c>
      <c r="G69" s="238"/>
      <c r="H69" s="250">
        <f>$H$68*F69</f>
        <v>0</v>
      </c>
      <c r="I69" s="249"/>
      <c r="J69" s="247">
        <v>0.13</v>
      </c>
      <c r="K69" s="248"/>
      <c r="L69" s="250">
        <f>$L$68*J69</f>
        <v>0</v>
      </c>
      <c r="M69" s="249"/>
      <c r="N69" s="250">
        <f t="shared" si="32"/>
        <v>0</v>
      </c>
      <c r="O69" s="85" t="str">
        <f t="shared" si="26"/>
        <v/>
      </c>
      <c r="Q69" s="251"/>
      <c r="R69" s="252"/>
      <c r="S69" s="253"/>
      <c r="T69" s="249"/>
      <c r="U69" s="89"/>
      <c r="V69" s="90"/>
      <c r="W69" s="69"/>
      <c r="X69" s="251"/>
      <c r="Y69" s="252"/>
      <c r="Z69" s="253"/>
      <c r="AA69" s="249"/>
      <c r="AB69" s="89"/>
      <c r="AC69" s="90"/>
      <c r="AD69" s="69"/>
      <c r="AE69" s="251"/>
      <c r="AF69" s="252"/>
      <c r="AG69" s="253"/>
      <c r="AH69" s="249"/>
      <c r="AI69" s="89"/>
      <c r="AJ69" s="90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</row>
    <row r="70" spans="1:49" x14ac:dyDescent="0.25">
      <c r="A70" s="1"/>
      <c r="B70" s="425" t="s">
        <v>106</v>
      </c>
      <c r="C70" s="414"/>
      <c r="D70" s="414"/>
      <c r="E70" s="424"/>
      <c r="F70" s="183">
        <v>-0.05</v>
      </c>
      <c r="G70" s="87"/>
      <c r="H70" s="188">
        <f>$H$68*F70</f>
        <v>0</v>
      </c>
      <c r="I70" s="187"/>
      <c r="J70" s="183">
        <v>-0.05</v>
      </c>
      <c r="K70" s="184"/>
      <c r="L70" s="188">
        <f>$L$68*J70</f>
        <v>0</v>
      </c>
      <c r="M70" s="187"/>
      <c r="N70" s="188">
        <f t="shared" si="32"/>
        <v>0</v>
      </c>
      <c r="O70" s="85" t="str">
        <f t="shared" si="26"/>
        <v/>
      </c>
      <c r="Q70" s="189"/>
      <c r="R70" s="187"/>
      <c r="S70" s="190"/>
      <c r="T70" s="187"/>
      <c r="U70" s="89"/>
      <c r="V70" s="90"/>
      <c r="W70" s="69"/>
      <c r="X70" s="189"/>
      <c r="Y70" s="187"/>
      <c r="Z70" s="253"/>
      <c r="AA70" s="249"/>
      <c r="AB70" s="89"/>
      <c r="AC70" s="90"/>
      <c r="AD70" s="69"/>
      <c r="AE70" s="251"/>
      <c r="AF70" s="252"/>
      <c r="AG70" s="253"/>
      <c r="AH70" s="249"/>
      <c r="AI70" s="89"/>
      <c r="AJ70" s="90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</row>
    <row r="71" spans="1:49" x14ac:dyDescent="0.25">
      <c r="A71" s="159"/>
      <c r="B71" s="432" t="s">
        <v>100</v>
      </c>
      <c r="C71" s="419"/>
      <c r="D71" s="419"/>
      <c r="E71" s="430"/>
      <c r="F71" s="255"/>
      <c r="G71" s="166"/>
      <c r="H71" s="250">
        <f>SUM(H68:H70)</f>
        <v>0</v>
      </c>
      <c r="I71" s="249"/>
      <c r="J71" s="246"/>
      <c r="K71" s="246"/>
      <c r="L71" s="250">
        <f>SUM(L68:L70)</f>
        <v>0</v>
      </c>
      <c r="M71" s="249"/>
      <c r="N71" s="250">
        <f t="shared" si="32"/>
        <v>0</v>
      </c>
      <c r="O71" s="85" t="str">
        <f t="shared" si="26"/>
        <v/>
      </c>
      <c r="Q71" s="249"/>
      <c r="R71" s="249"/>
      <c r="S71" s="253"/>
      <c r="T71" s="249"/>
      <c r="U71" s="89"/>
      <c r="V71" s="90"/>
      <c r="W71" s="69"/>
      <c r="X71" s="249"/>
      <c r="Y71" s="249"/>
      <c r="Z71" s="253"/>
      <c r="AA71" s="249"/>
      <c r="AB71" s="89"/>
      <c r="AC71" s="90"/>
      <c r="AD71" s="69"/>
      <c r="AE71" s="249"/>
      <c r="AF71" s="249"/>
      <c r="AG71" s="253"/>
      <c r="AH71" s="249"/>
      <c r="AI71" s="89"/>
      <c r="AJ71" s="90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</row>
    <row r="72" spans="1:49" x14ac:dyDescent="0.25">
      <c r="A72" s="159"/>
      <c r="B72" s="519" t="s">
        <v>101</v>
      </c>
      <c r="C72" s="520"/>
      <c r="D72" s="520"/>
      <c r="E72" s="430"/>
      <c r="F72" s="255"/>
      <c r="G72" s="166"/>
      <c r="H72" s="256">
        <f>ROUND(-H71*0%,2)</f>
        <v>0</v>
      </c>
      <c r="I72" s="249"/>
      <c r="J72" s="246"/>
      <c r="K72" s="246"/>
      <c r="L72" s="256">
        <f>ROUND(-L71*0%,2)</f>
        <v>0</v>
      </c>
      <c r="M72" s="249"/>
      <c r="N72" s="256">
        <f t="shared" si="32"/>
        <v>0</v>
      </c>
      <c r="O72" s="257" t="str">
        <f>IF(OR(H72=0,L72=0),"",(N72/H72))</f>
        <v/>
      </c>
      <c r="Q72" s="249"/>
      <c r="R72" s="249"/>
      <c r="S72" s="258"/>
      <c r="T72" s="249"/>
      <c r="U72" s="259"/>
      <c r="V72" s="90"/>
      <c r="W72" s="69"/>
      <c r="X72" s="249"/>
      <c r="Y72" s="249"/>
      <c r="Z72" s="258"/>
      <c r="AA72" s="249"/>
      <c r="AB72" s="259"/>
      <c r="AC72" s="90"/>
      <c r="AD72" s="69"/>
      <c r="AE72" s="249"/>
      <c r="AF72" s="249"/>
      <c r="AG72" s="258"/>
      <c r="AH72" s="249"/>
      <c r="AI72" s="259"/>
      <c r="AJ72" s="90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</row>
    <row r="73" spans="1:49" ht="15.75" thickBot="1" x14ac:dyDescent="0.3">
      <c r="A73" s="159"/>
      <c r="B73" s="521" t="s">
        <v>102</v>
      </c>
      <c r="C73" s="513"/>
      <c r="D73" s="513"/>
      <c r="E73" s="433"/>
      <c r="F73" s="261"/>
      <c r="G73" s="262"/>
      <c r="H73" s="265">
        <f>SUM(H71:H72)</f>
        <v>0</v>
      </c>
      <c r="I73" s="240"/>
      <c r="J73" s="263"/>
      <c r="K73" s="263"/>
      <c r="L73" s="265">
        <f>SUM(L71:L72)</f>
        <v>0</v>
      </c>
      <c r="M73" s="240"/>
      <c r="N73" s="265">
        <f t="shared" si="32"/>
        <v>0</v>
      </c>
      <c r="O73" s="197" t="str">
        <f t="shared" si="26"/>
        <v/>
      </c>
      <c r="Q73" s="240"/>
      <c r="R73" s="240"/>
      <c r="S73" s="243"/>
      <c r="T73" s="240"/>
      <c r="U73" s="121"/>
      <c r="V73" s="223"/>
      <c r="W73" s="69"/>
      <c r="X73" s="240"/>
      <c r="Y73" s="240"/>
      <c r="Z73" s="243"/>
      <c r="AA73" s="240"/>
      <c r="AB73" s="121"/>
      <c r="AC73" s="223"/>
      <c r="AD73" s="69"/>
      <c r="AE73" s="240"/>
      <c r="AF73" s="240"/>
      <c r="AG73" s="243"/>
      <c r="AH73" s="240"/>
      <c r="AI73" s="121"/>
      <c r="AJ73" s="223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</row>
    <row r="74" spans="1:49" x14ac:dyDescent="0.25">
      <c r="A74" s="159"/>
      <c r="B74" s="434"/>
      <c r="C74" s="435"/>
      <c r="D74" s="436"/>
      <c r="E74" s="437"/>
      <c r="F74" s="390"/>
      <c r="G74" s="400"/>
      <c r="H74" s="401"/>
      <c r="I74" s="166"/>
      <c r="J74" s="390"/>
      <c r="K74" s="391"/>
      <c r="L74" s="392"/>
      <c r="M74" s="166"/>
      <c r="N74" s="392"/>
      <c r="O74" s="392"/>
      <c r="Q74" s="157"/>
      <c r="R74" s="206"/>
      <c r="S74" s="151"/>
      <c r="T74" s="166"/>
      <c r="U74" s="207"/>
      <c r="V74" s="174"/>
      <c r="W74" s="69"/>
      <c r="X74" s="157"/>
      <c r="Y74" s="206"/>
      <c r="Z74" s="151"/>
      <c r="AA74" s="166"/>
      <c r="AB74" s="207"/>
      <c r="AC74" s="174"/>
      <c r="AD74" s="69"/>
      <c r="AE74" s="157"/>
      <c r="AF74" s="206"/>
      <c r="AG74" s="151"/>
      <c r="AH74" s="166"/>
      <c r="AI74" s="207"/>
      <c r="AJ74" s="174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</row>
    <row r="75" spans="1:49" x14ac:dyDescent="0.25">
      <c r="A75" s="159"/>
      <c r="B75" s="1"/>
      <c r="C75" s="1"/>
      <c r="D75" s="1"/>
      <c r="E75" s="1"/>
      <c r="F75" s="1"/>
      <c r="G75" s="1"/>
      <c r="H75" s="67"/>
      <c r="I75" s="1"/>
      <c r="J75" s="1"/>
      <c r="K75" s="1"/>
      <c r="L75" s="67"/>
      <c r="M75" s="1"/>
      <c r="N75" s="1"/>
      <c r="O75" s="1"/>
      <c r="Q75" s="2"/>
      <c r="R75" s="2"/>
      <c r="S75" s="208"/>
      <c r="T75" s="2"/>
      <c r="U75" s="2"/>
      <c r="V75" s="2"/>
      <c r="W75" s="69"/>
      <c r="X75" s="2"/>
      <c r="Y75" s="2"/>
      <c r="Z75" s="208"/>
      <c r="AA75" s="2"/>
      <c r="AB75" s="2"/>
      <c r="AC75" s="2"/>
      <c r="AD75" s="69"/>
      <c r="AE75" s="2"/>
      <c r="AF75" s="2"/>
      <c r="AG75" s="208"/>
      <c r="AH75" s="2"/>
      <c r="AI75" s="2"/>
      <c r="AJ75" s="2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</row>
    <row r="76" spans="1:49" x14ac:dyDescent="0.25">
      <c r="A76" s="159"/>
      <c r="B76" s="65" t="s">
        <v>10</v>
      </c>
      <c r="C76" s="1"/>
      <c r="D76" s="1"/>
      <c r="E76" s="1"/>
      <c r="F76" s="209">
        <f>Rates!$S$2-1</f>
        <v>4.9500000000000099E-2</v>
      </c>
      <c r="G76" s="1"/>
      <c r="H76" s="1"/>
      <c r="I76" s="1"/>
      <c r="J76" s="209">
        <f>Rates!$T$2-1</f>
        <v>3.0684649944026976E-2</v>
      </c>
      <c r="K76" s="1"/>
      <c r="L76" s="67"/>
      <c r="M76" s="1"/>
      <c r="N76" s="1"/>
      <c r="O76" s="1"/>
      <c r="Q76" s="210"/>
      <c r="R76" s="2"/>
      <c r="S76" s="2"/>
      <c r="T76" s="2"/>
      <c r="U76" s="2"/>
      <c r="V76" s="2"/>
      <c r="W76" s="69"/>
      <c r="X76" s="210"/>
      <c r="Y76" s="2"/>
      <c r="Z76" s="2"/>
      <c r="AA76" s="2"/>
      <c r="AB76" s="2"/>
      <c r="AC76" s="2"/>
      <c r="AD76" s="69"/>
      <c r="AE76" s="210"/>
      <c r="AF76" s="2"/>
      <c r="AG76" s="2"/>
      <c r="AH76" s="2"/>
      <c r="AI76" s="2"/>
      <c r="AJ76" s="2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</row>
    <row r="77" spans="1:49" x14ac:dyDescent="0.25">
      <c r="A77" s="159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4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4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5">
      <c r="A81" s="1" t="s">
        <v>84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25">
      <c r="A82" s="1" t="s">
        <v>85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25">
      <c r="A84" s="64" t="s">
        <v>86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25">
      <c r="A85" s="64" t="s">
        <v>87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25">
      <c r="A87" s="1" t="s">
        <v>88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25">
      <c r="A88" s="1" t="s">
        <v>89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25">
      <c r="A89" s="1" t="s">
        <v>90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x14ac:dyDescent="0.25">
      <c r="A90" s="1" t="s">
        <v>91</v>
      </c>
      <c r="B90" s="1" t="s">
        <v>93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x14ac:dyDescent="0.25">
      <c r="A91" s="1" t="s">
        <v>92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</sheetData>
  <mergeCells count="24">
    <mergeCell ref="AI20:AJ20"/>
    <mergeCell ref="A3:K3"/>
    <mergeCell ref="B10:O10"/>
    <mergeCell ref="B11:O11"/>
    <mergeCell ref="D14:O14"/>
    <mergeCell ref="F20:H20"/>
    <mergeCell ref="J20:L20"/>
    <mergeCell ref="N20:O20"/>
    <mergeCell ref="Q20:S20"/>
    <mergeCell ref="U20:V20"/>
    <mergeCell ref="X20:Z20"/>
    <mergeCell ref="AB20:AC20"/>
    <mergeCell ref="AE20:AG20"/>
    <mergeCell ref="AI21:AI22"/>
    <mergeCell ref="AJ21:AJ22"/>
    <mergeCell ref="B66:D66"/>
    <mergeCell ref="B72:D72"/>
    <mergeCell ref="B73:D73"/>
    <mergeCell ref="N21:N22"/>
    <mergeCell ref="O21:O22"/>
    <mergeCell ref="U21:U22"/>
    <mergeCell ref="V21:V22"/>
    <mergeCell ref="AB21:AB22"/>
    <mergeCell ref="AC21:AC22"/>
  </mergeCells>
  <dataValidations count="4">
    <dataValidation type="list" allowBlank="1" showInputMessage="1" showErrorMessage="1" sqref="E23:E35">
      <formula1>#REF!</formula1>
    </dataValidation>
    <dataValidation type="list" allowBlank="1" showInputMessage="1" showErrorMessage="1" sqref="E48:E51 E74 E67 E53:E63 E37:E46">
      <formula1>#REF!</formula1>
    </dataValidation>
    <dataValidation type="list" allowBlank="1" showInputMessage="1" showErrorMessage="1" prompt="Select Charge Unit - monthly, per kWh, per kW" sqref="D74 D63 D67">
      <formula1>"Monthly, per kWh, per kW"</formula1>
    </dataValidation>
    <dataValidation type="list" allowBlank="1" showInputMessage="1" showErrorMessage="1" sqref="D16">
      <formula1>"TOU, non-TOU"</formula1>
    </dataValidation>
  </dataValidations>
  <printOptions horizontalCentered="1"/>
  <pageMargins left="0.3" right="0.35" top="0.92" bottom="0.7" header="0.56999999999999995" footer="0.41"/>
  <pageSetup paperSize="256" scale="60" fitToHeight="0" orientation="landscape" r:id="rId1"/>
  <headerFooter>
    <oddHeader xml:space="preserve">&amp;RToronto Hydro-Electric System Limited
</oddHeader>
    <oddFooter>&amp;C&amp;A</oddFooter>
  </headerFooter>
  <ignoredErrors>
    <ignoredError sqref="F24:F25 F36:G36 F26 F27 F28 F29 F30 F31 F32 F33 F34 F38:J38 F37 F47:G47 F39 F40 F41 F42 F43 F44 F45 F59:J75 F57 H57:J57 F23 H23:J23 H24:J25 H26:I26 H27:I27 H28:I28 H29:I29 H30:I30 H31:I31 H32:I32 H33:I33 H34:I34 H37:I37 H39:I39 H40:I40 H41:I41 H42:I42 H43:I43 H44:I44 H45:I45 F52:J52 F48:F51 H48:J51 F54:J56 F53 H53:J53 I47:J47 I36:J36 F58:I5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907" r:id="rId4" name="Option Button 3">
              <controlPr defaultSize="0" autoFill="0" autoLine="0" autoPict="0">
                <anchor moveWithCells="1">
                  <from>
                    <xdr:col>9</xdr:col>
                    <xdr:colOff>361950</xdr:colOff>
                    <xdr:row>91</xdr:row>
                    <xdr:rowOff>0</xdr:rowOff>
                  </from>
                  <to>
                    <xdr:col>14</xdr:col>
                    <xdr:colOff>628650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8" r:id="rId5" name="Option Button 4">
              <controlPr defaultSize="0" autoFill="0" autoLine="0" autoPict="0">
                <anchor moveWithCells="1">
                  <from>
                    <xdr:col>6</xdr:col>
                    <xdr:colOff>381000</xdr:colOff>
                    <xdr:row>91</xdr:row>
                    <xdr:rowOff>0</xdr:rowOff>
                  </from>
                  <to>
                    <xdr:col>9</xdr:col>
                    <xdr:colOff>95250</xdr:colOff>
                    <xdr:row>92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9" r:id="rId6" name="Option Button 5">
              <controlPr defaultSize="0" autoFill="0" autoLine="0" autoPict="0">
                <anchor moveWithCells="1">
                  <from>
                    <xdr:col>9</xdr:col>
                    <xdr:colOff>361950</xdr:colOff>
                    <xdr:row>91</xdr:row>
                    <xdr:rowOff>0</xdr:rowOff>
                  </from>
                  <to>
                    <xdr:col>14</xdr:col>
                    <xdr:colOff>628650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0" r:id="rId7" name="Option Button 6">
              <controlPr defaultSize="0" autoFill="0" autoLine="0" autoPict="0">
                <anchor moveWithCells="1">
                  <from>
                    <xdr:col>6</xdr:col>
                    <xdr:colOff>381000</xdr:colOff>
                    <xdr:row>91</xdr:row>
                    <xdr:rowOff>0</xdr:rowOff>
                  </from>
                  <to>
                    <xdr:col>9</xdr:col>
                    <xdr:colOff>95250</xdr:colOff>
                    <xdr:row>92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1" r:id="rId8" name="Option Button 7">
              <controlPr defaultSize="0" autoFill="0" autoLine="0" autoPict="0">
                <anchor moveWithCells="1">
                  <from>
                    <xdr:col>9</xdr:col>
                    <xdr:colOff>361950</xdr:colOff>
                    <xdr:row>91</xdr:row>
                    <xdr:rowOff>0</xdr:rowOff>
                  </from>
                  <to>
                    <xdr:col>14</xdr:col>
                    <xdr:colOff>628650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2" r:id="rId9" name="Option Button 8">
              <controlPr defaultSize="0" autoFill="0" autoLine="0" autoPict="0">
                <anchor moveWithCells="1">
                  <from>
                    <xdr:col>6</xdr:col>
                    <xdr:colOff>381000</xdr:colOff>
                    <xdr:row>91</xdr:row>
                    <xdr:rowOff>0</xdr:rowOff>
                  </from>
                  <to>
                    <xdr:col>9</xdr:col>
                    <xdr:colOff>95250</xdr:colOff>
                    <xdr:row>92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3" r:id="rId10" name="Option Button 9">
              <controlPr defaultSize="0" autoFill="0" autoLine="0" autoPict="0">
                <anchor moveWithCells="1">
                  <from>
                    <xdr:col>9</xdr:col>
                    <xdr:colOff>361950</xdr:colOff>
                    <xdr:row>91</xdr:row>
                    <xdr:rowOff>0</xdr:rowOff>
                  </from>
                  <to>
                    <xdr:col>14</xdr:col>
                    <xdr:colOff>628650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4" r:id="rId11" name="Option Button 10">
              <controlPr defaultSize="0" autoFill="0" autoLine="0" autoPict="0">
                <anchor moveWithCells="1">
                  <from>
                    <xdr:col>6</xdr:col>
                    <xdr:colOff>381000</xdr:colOff>
                    <xdr:row>91</xdr:row>
                    <xdr:rowOff>0</xdr:rowOff>
                  </from>
                  <to>
                    <xdr:col>9</xdr:col>
                    <xdr:colOff>95250</xdr:colOff>
                    <xdr:row>92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5" r:id="rId12" name="Option Button 11">
              <controlPr defaultSize="0" autoFill="0" autoLine="0" autoPict="0">
                <anchor moveWithCells="1">
                  <from>
                    <xdr:col>9</xdr:col>
                    <xdr:colOff>361950</xdr:colOff>
                    <xdr:row>91</xdr:row>
                    <xdr:rowOff>0</xdr:rowOff>
                  </from>
                  <to>
                    <xdr:col>14</xdr:col>
                    <xdr:colOff>628650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6" r:id="rId13" name="Option Button 12">
              <controlPr defaultSize="0" autoFill="0" autoLine="0" autoPict="0">
                <anchor moveWithCells="1">
                  <from>
                    <xdr:col>6</xdr:col>
                    <xdr:colOff>381000</xdr:colOff>
                    <xdr:row>91</xdr:row>
                    <xdr:rowOff>0</xdr:rowOff>
                  </from>
                  <to>
                    <xdr:col>9</xdr:col>
                    <xdr:colOff>95250</xdr:colOff>
                    <xdr:row>92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8168889431442"/>
  </sheetPr>
  <dimension ref="A1:AW91"/>
  <sheetViews>
    <sheetView showGridLines="0" topLeftCell="A31" zoomScale="80" zoomScaleNormal="80" workbookViewId="0">
      <selection activeCell="G45" sqref="G45"/>
    </sheetView>
  </sheetViews>
  <sheetFormatPr defaultColWidth="9.140625" defaultRowHeight="15" x14ac:dyDescent="0.25"/>
  <cols>
    <col min="1" max="1" width="31.28515625" customWidth="1"/>
    <col min="2" max="2" width="57.42578125" customWidth="1"/>
    <col min="3" max="3" width="1.5703125" customWidth="1"/>
    <col min="4" max="4" width="12.42578125" customWidth="1"/>
    <col min="5" max="5" width="1.7109375" customWidth="1"/>
    <col min="6" max="6" width="12" customWidth="1"/>
    <col min="7" max="7" width="11.7109375" customWidth="1"/>
    <col min="8" max="8" width="16.42578125" customWidth="1"/>
    <col min="9" max="9" width="1.28515625" customWidth="1"/>
    <col min="10" max="10" width="12.28515625" customWidth="1"/>
    <col min="11" max="11" width="10.5703125" customWidth="1"/>
    <col min="12" max="12" width="16.28515625" customWidth="1"/>
    <col min="13" max="13" width="0.85546875" customWidth="1"/>
    <col min="14" max="14" width="14.7109375" customWidth="1"/>
    <col min="15" max="15" width="10.5703125" customWidth="1"/>
    <col min="16" max="16" width="1.42578125" customWidth="1"/>
    <col min="17" max="17" width="1.7109375" customWidth="1"/>
    <col min="18" max="18" width="9.42578125" customWidth="1"/>
    <col min="19" max="19" width="12.5703125" customWidth="1"/>
    <col min="20" max="20" width="1.28515625" customWidth="1"/>
    <col min="21" max="21" width="10.85546875" customWidth="1"/>
    <col min="22" max="22" width="10.140625" customWidth="1"/>
    <col min="23" max="23" width="1.28515625" customWidth="1"/>
    <col min="24" max="24" width="11" customWidth="1"/>
    <col min="25" max="25" width="9.5703125" customWidth="1"/>
    <col min="26" max="26" width="12.42578125" customWidth="1"/>
    <col min="27" max="27" width="1.28515625" customWidth="1"/>
    <col min="28" max="28" width="10" customWidth="1"/>
    <col min="30" max="30" width="0.85546875" customWidth="1"/>
    <col min="31" max="31" width="11.140625" customWidth="1"/>
    <col min="32" max="32" width="9.5703125" customWidth="1"/>
    <col min="33" max="33" width="12.42578125" customWidth="1"/>
    <col min="34" max="34" width="1.140625" customWidth="1"/>
    <col min="35" max="35" width="10.42578125" customWidth="1"/>
    <col min="37" max="37" width="0.85546875" customWidth="1"/>
  </cols>
  <sheetData>
    <row r="1" spans="1:21" ht="21.75" x14ac:dyDescent="0.25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0"/>
      <c r="M1" s="50"/>
      <c r="N1" s="52" t="s">
        <v>68</v>
      </c>
      <c r="O1" s="53">
        <v>0</v>
      </c>
      <c r="T1">
        <v>1</v>
      </c>
      <c r="U1">
        <v>2</v>
      </c>
    </row>
    <row r="2" spans="1:21" ht="18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0"/>
      <c r="M2" s="50"/>
      <c r="N2" s="52" t="s">
        <v>69</v>
      </c>
      <c r="O2" s="55"/>
    </row>
    <row r="3" spans="1:21" ht="18" x14ac:dyDescent="0.25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"/>
      <c r="M3" s="50"/>
      <c r="N3" s="52" t="s">
        <v>70</v>
      </c>
      <c r="O3" s="55"/>
    </row>
    <row r="4" spans="1:21" ht="18" x14ac:dyDescent="0.25">
      <c r="A4" s="54"/>
      <c r="B4" s="54"/>
      <c r="C4" s="54"/>
      <c r="D4" s="54"/>
      <c r="E4" s="54"/>
      <c r="F4" s="54"/>
      <c r="G4" s="54"/>
      <c r="H4" s="54"/>
      <c r="I4" s="56"/>
      <c r="J4" s="56"/>
      <c r="K4" s="56"/>
      <c r="L4" s="50"/>
      <c r="M4" s="50"/>
      <c r="N4" s="52" t="s">
        <v>71</v>
      </c>
      <c r="O4" s="55"/>
    </row>
    <row r="5" spans="1:21" ht="15.75" x14ac:dyDescent="0.25">
      <c r="A5" s="50"/>
      <c r="B5" s="50"/>
      <c r="C5" s="57"/>
      <c r="D5" s="57"/>
      <c r="E5" s="57"/>
      <c r="F5" s="50"/>
      <c r="G5" s="50"/>
      <c r="H5" s="50"/>
      <c r="I5" s="50"/>
      <c r="J5" s="50"/>
      <c r="K5" s="50"/>
      <c r="L5" s="50"/>
      <c r="M5" s="50"/>
      <c r="N5" s="52" t="s">
        <v>72</v>
      </c>
      <c r="O5" s="58"/>
    </row>
    <row r="6" spans="1:2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2"/>
      <c r="O6" s="53"/>
    </row>
    <row r="7" spans="1:2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2" t="s">
        <v>73</v>
      </c>
      <c r="O7" s="58"/>
    </row>
    <row r="8" spans="1:21" x14ac:dyDescent="0.25">
      <c r="A8" s="5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1" ht="18" x14ac:dyDescent="0.25">
      <c r="A10" s="1"/>
      <c r="B10" s="508" t="s">
        <v>74</v>
      </c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508"/>
      <c r="N10" s="508"/>
      <c r="O10" s="508"/>
    </row>
    <row r="11" spans="1:21" ht="18" x14ac:dyDescent="0.25">
      <c r="A11" s="1"/>
      <c r="B11" s="508" t="s">
        <v>75</v>
      </c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1" ht="15.75" x14ac:dyDescent="0.25">
      <c r="A14" s="1"/>
      <c r="B14" s="60" t="s">
        <v>0</v>
      </c>
      <c r="C14" s="1"/>
      <c r="D14" s="509" t="s">
        <v>118</v>
      </c>
      <c r="E14" s="509"/>
      <c r="F14" s="509"/>
      <c r="G14" s="509"/>
      <c r="H14" s="509"/>
      <c r="I14" s="509"/>
      <c r="J14" s="509"/>
      <c r="K14" s="509"/>
      <c r="L14" s="509"/>
      <c r="M14" s="509"/>
      <c r="N14" s="509"/>
      <c r="O14" s="509"/>
    </row>
    <row r="15" spans="1:21" ht="15.75" x14ac:dyDescent="0.25">
      <c r="A15" s="1"/>
      <c r="B15" s="61"/>
      <c r="C15" s="1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pans="1:21" ht="15.75" x14ac:dyDescent="0.25">
      <c r="A16" s="1"/>
      <c r="B16" s="60" t="s">
        <v>76</v>
      </c>
      <c r="C16" s="1"/>
      <c r="D16" s="63" t="s">
        <v>94</v>
      </c>
      <c r="E16" s="62"/>
      <c r="F16" s="228" t="s">
        <v>95</v>
      </c>
      <c r="G16" s="62"/>
      <c r="H16" s="62"/>
      <c r="I16" s="62"/>
      <c r="J16" s="62"/>
      <c r="K16" s="62"/>
      <c r="L16" s="62"/>
      <c r="M16" s="62"/>
      <c r="N16" s="62"/>
      <c r="O16" s="62"/>
    </row>
    <row r="17" spans="1:49" ht="15.75" x14ac:dyDescent="0.25">
      <c r="A17" s="1"/>
      <c r="B17" s="61"/>
      <c r="C17" s="1"/>
      <c r="D17" s="62"/>
      <c r="E17" s="62"/>
      <c r="F17" s="229">
        <f>ROUND(+F18*0.9,0)</f>
        <v>60</v>
      </c>
      <c r="G17" s="230" t="s">
        <v>96</v>
      </c>
      <c r="H17" s="231"/>
      <c r="I17" s="62"/>
      <c r="J17" s="62"/>
      <c r="K17" s="62"/>
      <c r="L17" s="62"/>
      <c r="M17" s="62"/>
      <c r="N17" s="62"/>
      <c r="O17" s="62"/>
    </row>
    <row r="18" spans="1:49" x14ac:dyDescent="0.25">
      <c r="A18" s="1"/>
      <c r="B18" s="64"/>
      <c r="C18" s="1"/>
      <c r="D18" s="65"/>
      <c r="E18" s="65"/>
      <c r="F18" s="229">
        <f>ROUND(60/0.9,0)</f>
        <v>67</v>
      </c>
      <c r="G18" s="65" t="s">
        <v>113</v>
      </c>
      <c r="H18" s="1"/>
      <c r="I18" s="1"/>
      <c r="J18" s="1"/>
      <c r="K18" s="1"/>
      <c r="L18" s="1"/>
      <c r="M18" s="1"/>
      <c r="N18" s="1"/>
      <c r="O18" s="1"/>
    </row>
    <row r="19" spans="1:49" x14ac:dyDescent="0.25">
      <c r="A19" s="1"/>
      <c r="B19" s="64"/>
      <c r="C19" s="1"/>
      <c r="D19" s="65" t="s">
        <v>1</v>
      </c>
      <c r="E19" s="1"/>
      <c r="F19" s="232">
        <v>20000</v>
      </c>
      <c r="G19" s="230" t="s">
        <v>78</v>
      </c>
      <c r="H19" s="67"/>
      <c r="I19" s="1"/>
      <c r="J19" s="67"/>
      <c r="K19" s="233"/>
      <c r="L19" s="67"/>
      <c r="M19" s="1"/>
      <c r="N19" s="233"/>
      <c r="O19" s="1"/>
      <c r="S19" s="234"/>
    </row>
    <row r="20" spans="1:49" x14ac:dyDescent="0.25">
      <c r="A20" s="1"/>
      <c r="B20" s="64"/>
      <c r="C20" s="1"/>
      <c r="D20" s="68"/>
      <c r="E20" s="68"/>
      <c r="F20" s="510" t="s">
        <v>105</v>
      </c>
      <c r="G20" s="511"/>
      <c r="H20" s="512"/>
      <c r="I20" s="3"/>
      <c r="J20" s="510" t="s">
        <v>104</v>
      </c>
      <c r="K20" s="511"/>
      <c r="L20" s="512"/>
      <c r="M20" s="3"/>
      <c r="N20" s="510" t="s">
        <v>61</v>
      </c>
      <c r="O20" s="512"/>
      <c r="Q20" s="506"/>
      <c r="R20" s="506"/>
      <c r="S20" s="506"/>
      <c r="T20" s="2"/>
      <c r="U20" s="506"/>
      <c r="V20" s="506"/>
      <c r="W20" s="69"/>
      <c r="X20" s="506"/>
      <c r="Y20" s="506"/>
      <c r="Z20" s="506"/>
      <c r="AA20" s="2"/>
      <c r="AB20" s="506"/>
      <c r="AC20" s="506"/>
      <c r="AD20" s="69"/>
      <c r="AE20" s="506"/>
      <c r="AF20" s="506"/>
      <c r="AG20" s="506"/>
      <c r="AH20" s="2"/>
      <c r="AI20" s="506"/>
      <c r="AJ20" s="506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</row>
    <row r="21" spans="1:49" ht="15" customHeight="1" x14ac:dyDescent="0.25">
      <c r="A21" s="1"/>
      <c r="B21" s="64"/>
      <c r="C21" s="1"/>
      <c r="D21" s="1"/>
      <c r="E21" s="70"/>
      <c r="F21" s="71" t="s">
        <v>2</v>
      </c>
      <c r="G21" s="71" t="s">
        <v>3</v>
      </c>
      <c r="H21" s="72" t="s">
        <v>4</v>
      </c>
      <c r="I21" s="3"/>
      <c r="J21" s="71" t="s">
        <v>2</v>
      </c>
      <c r="K21" s="73" t="s">
        <v>3</v>
      </c>
      <c r="L21" s="72" t="s">
        <v>4</v>
      </c>
      <c r="M21" s="3"/>
      <c r="N21" s="502" t="s">
        <v>62</v>
      </c>
      <c r="O21" s="504" t="s">
        <v>63</v>
      </c>
      <c r="Q21" s="371"/>
      <c r="R21" s="371"/>
      <c r="S21" s="371"/>
      <c r="T21" s="2"/>
      <c r="U21" s="501"/>
      <c r="V21" s="501"/>
      <c r="W21" s="69"/>
      <c r="X21" s="371"/>
      <c r="Y21" s="371"/>
      <c r="Z21" s="371"/>
      <c r="AA21" s="2"/>
      <c r="AB21" s="501"/>
      <c r="AC21" s="501"/>
      <c r="AD21" s="69"/>
      <c r="AE21" s="371"/>
      <c r="AF21" s="371"/>
      <c r="AG21" s="371"/>
      <c r="AH21" s="2"/>
      <c r="AI21" s="501"/>
      <c r="AJ21" s="501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</row>
    <row r="22" spans="1:49" x14ac:dyDescent="0.25">
      <c r="A22" s="1"/>
      <c r="B22" s="64"/>
      <c r="C22" s="1"/>
      <c r="D22" s="1"/>
      <c r="E22" s="70"/>
      <c r="F22" s="75" t="s">
        <v>79</v>
      </c>
      <c r="G22" s="75"/>
      <c r="H22" s="76" t="s">
        <v>79</v>
      </c>
      <c r="I22" s="3"/>
      <c r="J22" s="75" t="s">
        <v>79</v>
      </c>
      <c r="K22" s="76"/>
      <c r="L22" s="76" t="s">
        <v>79</v>
      </c>
      <c r="M22" s="3"/>
      <c r="N22" s="503"/>
      <c r="O22" s="505"/>
      <c r="Q22" s="77"/>
      <c r="R22" s="77"/>
      <c r="S22" s="77"/>
      <c r="T22" s="2"/>
      <c r="U22" s="514"/>
      <c r="V22" s="514"/>
      <c r="W22" s="69"/>
      <c r="X22" s="77"/>
      <c r="Y22" s="77"/>
      <c r="Z22" s="77"/>
      <c r="AA22" s="2"/>
      <c r="AB22" s="514"/>
      <c r="AC22" s="514"/>
      <c r="AD22" s="69"/>
      <c r="AE22" s="77"/>
      <c r="AF22" s="77"/>
      <c r="AG22" s="77"/>
      <c r="AH22" s="2"/>
      <c r="AI22" s="514"/>
      <c r="AJ22" s="514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</row>
    <row r="23" spans="1:49" x14ac:dyDescent="0.25">
      <c r="A23" s="7" t="s">
        <v>15</v>
      </c>
      <c r="B23" s="271" t="str">
        <f>IF(Rates!D145=$A$23,Rates!B145," ")</f>
        <v>Service Charge</v>
      </c>
      <c r="C23" s="78"/>
      <c r="D23" s="271" t="str">
        <f>IF(Rates!D122=$A$23,Rates!E145," ")</f>
        <v>customer</v>
      </c>
      <c r="E23" s="79"/>
      <c r="F23" s="80">
        <f>IF(Rates!$J$1="BRT 2018",Rates!J145," ")</f>
        <v>96.98</v>
      </c>
      <c r="G23" s="81">
        <f>IF(D23="customer",1,IF(D23="kWh",$F$19,$F$17))</f>
        <v>1</v>
      </c>
      <c r="H23" s="82">
        <f t="shared" ref="H23:H34" si="0">G23*F23</f>
        <v>96.98</v>
      </c>
      <c r="I23" s="91"/>
      <c r="J23" s="488">
        <f>IF(Rates!$L$1="E+ 2019",Rates!L145," ")</f>
        <v>111.18</v>
      </c>
      <c r="K23" s="108">
        <f>IF(D23="customer",1,IF(D23="kWh",$F$19,$F$17))</f>
        <v>1</v>
      </c>
      <c r="L23" s="82">
        <f t="shared" ref="L23:L45" si="1">K23*J23</f>
        <v>111.18</v>
      </c>
      <c r="M23" s="91"/>
      <c r="N23" s="84">
        <f t="shared" ref="N23:N62" si="2">L23-H23</f>
        <v>14.200000000000003</v>
      </c>
      <c r="O23" s="85">
        <f>IF(OR(H23=0,L23=0),"",(N23/H23))</f>
        <v>0.14642194266859149</v>
      </c>
      <c r="Q23" s="86"/>
      <c r="R23" s="87"/>
      <c r="S23" s="88"/>
      <c r="T23" s="87"/>
      <c r="U23" s="89"/>
      <c r="V23" s="90"/>
      <c r="W23" s="69"/>
      <c r="X23" s="86"/>
      <c r="Y23" s="87"/>
      <c r="Z23" s="88"/>
      <c r="AA23" s="87"/>
      <c r="AB23" s="89"/>
      <c r="AC23" s="90"/>
      <c r="AD23" s="69"/>
      <c r="AE23" s="86"/>
      <c r="AF23" s="87"/>
      <c r="AG23" s="88"/>
      <c r="AH23" s="87"/>
      <c r="AI23" s="89"/>
      <c r="AJ23" s="90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</row>
    <row r="24" spans="1:49" x14ac:dyDescent="0.25">
      <c r="A24" s="1"/>
      <c r="B24" s="271" t="str">
        <f>IF(Rates!D146=$A$23,Rates!B146," ")</f>
        <v>Rate Rider ACM</v>
      </c>
      <c r="C24" s="78"/>
      <c r="D24" s="271" t="str">
        <f>IF(Rates!D123=$A$23,Rates!E146," ")</f>
        <v>customer</v>
      </c>
      <c r="E24" s="79"/>
      <c r="F24" s="80">
        <f>IF(Rates!$J$1="BRT 2018",Rates!J146," ")</f>
        <v>0</v>
      </c>
      <c r="G24" s="81">
        <f t="shared" ref="G24:G34" si="3">IF(D24="customer",1,IF(D24="kWh",$F$19,$F$17))</f>
        <v>1</v>
      </c>
      <c r="H24" s="82">
        <f t="shared" si="0"/>
        <v>0</v>
      </c>
      <c r="I24" s="91"/>
      <c r="J24" s="476">
        <f>IF(Rates!$L$1="E+ 2019",Rates!L146," ")</f>
        <v>0</v>
      </c>
      <c r="K24" s="108">
        <f t="shared" ref="K24:K34" si="4">IF(D24="customer",1,IF(D24="kWh",$F$19,$F$17))</f>
        <v>1</v>
      </c>
      <c r="L24" s="82">
        <f t="shared" si="1"/>
        <v>0</v>
      </c>
      <c r="M24" s="91"/>
      <c r="N24" s="84">
        <f t="shared" si="2"/>
        <v>0</v>
      </c>
      <c r="O24" s="85" t="str">
        <f t="shared" ref="O24:O34" si="5">IF(OR(H24=0,L24=0),"",(N24/H24))</f>
        <v/>
      </c>
      <c r="Q24" s="86"/>
      <c r="R24" s="87"/>
      <c r="S24" s="88"/>
      <c r="T24" s="87"/>
      <c r="U24" s="89"/>
      <c r="V24" s="90"/>
      <c r="W24" s="69"/>
      <c r="X24" s="86"/>
      <c r="Y24" s="87"/>
      <c r="Z24" s="88"/>
      <c r="AA24" s="87"/>
      <c r="AB24" s="89"/>
      <c r="AC24" s="90"/>
      <c r="AD24" s="69"/>
      <c r="AE24" s="86"/>
      <c r="AF24" s="87"/>
      <c r="AG24" s="88"/>
      <c r="AH24" s="87"/>
      <c r="AI24" s="89"/>
      <c r="AJ24" s="90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</row>
    <row r="25" spans="1:49" s="94" customFormat="1" x14ac:dyDescent="0.25">
      <c r="A25" s="3"/>
      <c r="B25" s="271" t="str">
        <f>IF(Rates!D147=$A$23,Rates!B147," ")</f>
        <v>Distribution Volumetric Rate</v>
      </c>
      <c r="C25" s="78"/>
      <c r="D25" s="271" t="str">
        <f>IF(Rates!D124=$A$23,Rates!E147," ")</f>
        <v>kW</v>
      </c>
      <c r="E25" s="79"/>
      <c r="F25" s="235">
        <f>IF(Rates!$J$1="BRT 2018",Rates!J147," ")</f>
        <v>3.9297</v>
      </c>
      <c r="G25" s="81">
        <f t="shared" si="3"/>
        <v>60</v>
      </c>
      <c r="H25" s="82">
        <f t="shared" si="0"/>
        <v>235.78200000000001</v>
      </c>
      <c r="I25" s="91"/>
      <c r="J25" s="469">
        <f>IF(Rates!$L$1="E+ 2019",Rates!L147," ")</f>
        <v>4.1018999999999997</v>
      </c>
      <c r="K25" s="108">
        <f t="shared" si="4"/>
        <v>60</v>
      </c>
      <c r="L25" s="82">
        <f t="shared" si="1"/>
        <v>246.11399999999998</v>
      </c>
      <c r="M25" s="91"/>
      <c r="N25" s="84">
        <f t="shared" si="2"/>
        <v>10.331999999999965</v>
      </c>
      <c r="O25" s="85">
        <f t="shared" si="5"/>
        <v>4.3820138941903813E-2</v>
      </c>
      <c r="Q25" s="95"/>
      <c r="R25" s="87"/>
      <c r="S25" s="88"/>
      <c r="T25" s="87"/>
      <c r="U25" s="89"/>
      <c r="V25" s="90"/>
      <c r="W25" s="69"/>
      <c r="X25" s="95"/>
      <c r="Y25" s="87"/>
      <c r="Z25" s="88"/>
      <c r="AA25" s="87"/>
      <c r="AB25" s="89"/>
      <c r="AC25" s="90"/>
      <c r="AD25" s="69"/>
      <c r="AE25" s="95"/>
      <c r="AF25" s="87"/>
      <c r="AG25" s="88"/>
      <c r="AH25" s="87"/>
      <c r="AI25" s="89"/>
      <c r="AJ25" s="90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</row>
    <row r="26" spans="1:49" s="94" customFormat="1" x14ac:dyDescent="0.25">
      <c r="A26" s="3"/>
      <c r="B26" s="271" t="str">
        <f>IF(Rates!D148=$A$23,Rates!B148," ")</f>
        <v>Rate Rider ACM</v>
      </c>
      <c r="C26" s="78"/>
      <c r="D26" s="271" t="str">
        <f>IF(Rates!D125=$A$23,Rates!E148," ")</f>
        <v>kW</v>
      </c>
      <c r="E26" s="79"/>
      <c r="F26" s="80">
        <f>IF(Rates!$J$1="BRT 2018",Rates!J148," ")</f>
        <v>0</v>
      </c>
      <c r="G26" s="81">
        <f t="shared" si="3"/>
        <v>60</v>
      </c>
      <c r="H26" s="82">
        <f t="shared" si="0"/>
        <v>0</v>
      </c>
      <c r="I26" s="91"/>
      <c r="J26" s="476">
        <f>IF(Rates!$L$1="E+ 2019",Rates!L148," ")</f>
        <v>0</v>
      </c>
      <c r="K26" s="108">
        <f t="shared" si="4"/>
        <v>60</v>
      </c>
      <c r="L26" s="82">
        <f t="shared" si="1"/>
        <v>0</v>
      </c>
      <c r="M26" s="91"/>
      <c r="N26" s="84">
        <f t="shared" si="2"/>
        <v>0</v>
      </c>
      <c r="O26" s="85" t="str">
        <f t="shared" si="5"/>
        <v/>
      </c>
      <c r="Q26" s="95"/>
      <c r="R26" s="87"/>
      <c r="S26" s="88"/>
      <c r="T26" s="87"/>
      <c r="U26" s="89"/>
      <c r="V26" s="90"/>
      <c r="W26" s="69"/>
      <c r="X26" s="95"/>
      <c r="Y26" s="87"/>
      <c r="Z26" s="88"/>
      <c r="AA26" s="87"/>
      <c r="AB26" s="89"/>
      <c r="AC26" s="90"/>
      <c r="AD26" s="69"/>
      <c r="AE26" s="95"/>
      <c r="AF26" s="87"/>
      <c r="AG26" s="88"/>
      <c r="AH26" s="87"/>
      <c r="AI26" s="89"/>
      <c r="AJ26" s="90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</row>
    <row r="27" spans="1:49" x14ac:dyDescent="0.25">
      <c r="A27" s="3"/>
      <c r="B27" s="271" t="str">
        <f>IF(Rates!D149=$A$23,Rates!B149," ")</f>
        <v>Rate Rider for Disposition of Account 1575 and 1576</v>
      </c>
      <c r="C27" s="78"/>
      <c r="D27" s="271" t="str">
        <f>IF(Rates!D126=$A$23,Rates!E149," ")</f>
        <v>kW</v>
      </c>
      <c r="E27" s="79"/>
      <c r="F27" s="80">
        <f>IF(Rates!$J$1="BRT 2018",Rates!J149," ")</f>
        <v>0</v>
      </c>
      <c r="G27" s="81">
        <f t="shared" si="3"/>
        <v>60</v>
      </c>
      <c r="H27" s="82">
        <f t="shared" si="0"/>
        <v>0</v>
      </c>
      <c r="I27" s="91"/>
      <c r="J27" s="476">
        <f>IF(Rates!$L$1="E+ 2019",Rates!L149," ")</f>
        <v>-0.10277596422689866</v>
      </c>
      <c r="K27" s="108">
        <f t="shared" si="4"/>
        <v>60</v>
      </c>
      <c r="L27" s="82">
        <f t="shared" si="1"/>
        <v>-6.1665578536139201</v>
      </c>
      <c r="M27" s="91"/>
      <c r="N27" s="84">
        <f t="shared" si="2"/>
        <v>-6.1665578536139201</v>
      </c>
      <c r="O27" s="85" t="str">
        <f t="shared" si="5"/>
        <v/>
      </c>
      <c r="Q27" s="86"/>
      <c r="R27" s="87"/>
      <c r="S27" s="88"/>
      <c r="T27" s="87"/>
      <c r="U27" s="89"/>
      <c r="V27" s="90"/>
      <c r="W27" s="69"/>
      <c r="X27" s="86"/>
      <c r="Y27" s="87"/>
      <c r="Z27" s="88"/>
      <c r="AA27" s="87"/>
      <c r="AB27" s="89"/>
      <c r="AC27" s="90"/>
      <c r="AD27" s="69"/>
      <c r="AE27" s="86"/>
      <c r="AF27" s="87"/>
      <c r="AG27" s="88"/>
      <c r="AH27" s="87"/>
      <c r="AI27" s="89"/>
      <c r="AJ27" s="90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</row>
    <row r="28" spans="1:49" x14ac:dyDescent="0.25">
      <c r="A28" s="3"/>
      <c r="B28" s="271" t="str">
        <f>IF(Rates!D150=$A$23,Rates!B150," ")</f>
        <v>Rate Rider for Disposition of Account 1575 and 1576</v>
      </c>
      <c r="C28" s="78"/>
      <c r="D28" s="271" t="str">
        <f>IF(Rates!D127=$A$23,Rates!E150," ")</f>
        <v>customer</v>
      </c>
      <c r="E28" s="79"/>
      <c r="F28" s="80">
        <f>IF(Rates!$J$1="BRT 2018",Rates!J150," ")</f>
        <v>0</v>
      </c>
      <c r="G28" s="81">
        <f t="shared" si="3"/>
        <v>1</v>
      </c>
      <c r="H28" s="82">
        <f t="shared" si="0"/>
        <v>0</v>
      </c>
      <c r="I28" s="91"/>
      <c r="J28" s="476">
        <f>IF(Rates!$L$1="E+ 2019",Rates!L150," ")</f>
        <v>0</v>
      </c>
      <c r="K28" s="108">
        <f t="shared" si="4"/>
        <v>1</v>
      </c>
      <c r="L28" s="82">
        <f t="shared" si="1"/>
        <v>0</v>
      </c>
      <c r="M28" s="91"/>
      <c r="N28" s="84">
        <f t="shared" si="2"/>
        <v>0</v>
      </c>
      <c r="O28" s="85" t="str">
        <f t="shared" si="5"/>
        <v/>
      </c>
      <c r="Q28" s="119"/>
      <c r="R28" s="87"/>
      <c r="S28" s="88"/>
      <c r="T28" s="87"/>
      <c r="U28" s="89"/>
      <c r="V28" s="90"/>
      <c r="W28" s="69"/>
      <c r="X28" s="119"/>
      <c r="Y28" s="87"/>
      <c r="Z28" s="88"/>
      <c r="AA28" s="87"/>
      <c r="AB28" s="89"/>
      <c r="AC28" s="90"/>
      <c r="AD28" s="69"/>
      <c r="AE28" s="119"/>
      <c r="AF28" s="87"/>
      <c r="AG28" s="88"/>
      <c r="AH28" s="87"/>
      <c r="AI28" s="89"/>
      <c r="AJ28" s="90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</row>
    <row r="29" spans="1:49" x14ac:dyDescent="0.25">
      <c r="A29" s="3"/>
      <c r="B29" s="271" t="str">
        <f>IF(Rates!D151=$A$23,Rates!B151," ")</f>
        <v>Rate Rider for Disposition of Account 1575 and 1576</v>
      </c>
      <c r="C29" s="78"/>
      <c r="D29" s="271" t="str">
        <f>IF(Rates!D128=$A$23,Rates!E151," ")</f>
        <v>kW</v>
      </c>
      <c r="E29" s="79"/>
      <c r="F29" s="80">
        <f>IF(Rates!$J$1="BRT 2018",Rates!J151," ")</f>
        <v>0</v>
      </c>
      <c r="G29" s="81">
        <f t="shared" si="3"/>
        <v>60</v>
      </c>
      <c r="H29" s="82">
        <f t="shared" si="0"/>
        <v>0</v>
      </c>
      <c r="I29" s="91"/>
      <c r="J29" s="476">
        <f>IF(Rates!$L$1="E+ 2019",Rates!L151," ")</f>
        <v>0</v>
      </c>
      <c r="K29" s="108">
        <f t="shared" si="4"/>
        <v>60</v>
      </c>
      <c r="L29" s="82">
        <f t="shared" si="1"/>
        <v>0</v>
      </c>
      <c r="M29" s="91"/>
      <c r="N29" s="84">
        <f t="shared" si="2"/>
        <v>0</v>
      </c>
      <c r="O29" s="85" t="str">
        <f t="shared" si="5"/>
        <v/>
      </c>
      <c r="Q29" s="119"/>
      <c r="R29" s="87"/>
      <c r="S29" s="88"/>
      <c r="T29" s="87"/>
      <c r="U29" s="89"/>
      <c r="V29" s="90"/>
      <c r="W29" s="69"/>
      <c r="X29" s="119"/>
      <c r="Y29" s="87"/>
      <c r="Z29" s="88"/>
      <c r="AA29" s="87"/>
      <c r="AB29" s="89"/>
      <c r="AC29" s="90"/>
      <c r="AD29" s="69"/>
      <c r="AE29" s="119"/>
      <c r="AF29" s="87"/>
      <c r="AG29" s="88"/>
      <c r="AH29" s="87"/>
      <c r="AI29" s="89"/>
      <c r="AJ29" s="90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</row>
    <row r="30" spans="1:49" s="94" customFormat="1" x14ac:dyDescent="0.25">
      <c r="A30" s="99"/>
      <c r="B30" s="271" t="str">
        <f>IF(Rates!D152=$A$23,Rates!B152," ")</f>
        <v>Rate Rider for Disposition of Account 1575 and 1576</v>
      </c>
      <c r="C30" s="78"/>
      <c r="D30" s="271" t="str">
        <f>IF(Rates!D129=$A$23,Rates!E152," ")</f>
        <v>customer</v>
      </c>
      <c r="E30" s="79"/>
      <c r="F30" s="80">
        <f>IF(Rates!$J$1="BRT 2018",Rates!J152," ")</f>
        <v>0</v>
      </c>
      <c r="G30" s="81">
        <f t="shared" si="3"/>
        <v>1</v>
      </c>
      <c r="H30" s="82">
        <f t="shared" si="0"/>
        <v>0</v>
      </c>
      <c r="I30" s="91"/>
      <c r="J30" s="476">
        <f>IF(Rates!$L$1="E+ 2019",Rates!L152," ")</f>
        <v>0</v>
      </c>
      <c r="K30" s="108">
        <f t="shared" si="4"/>
        <v>1</v>
      </c>
      <c r="L30" s="82">
        <f t="shared" si="1"/>
        <v>0</v>
      </c>
      <c r="M30" s="91"/>
      <c r="N30" s="84">
        <f t="shared" si="2"/>
        <v>0</v>
      </c>
      <c r="O30" s="85" t="str">
        <f t="shared" si="5"/>
        <v/>
      </c>
      <c r="Q30" s="119"/>
      <c r="R30" s="87"/>
      <c r="S30" s="88"/>
      <c r="T30" s="87"/>
      <c r="U30" s="89"/>
      <c r="V30" s="90"/>
      <c r="W30" s="69"/>
      <c r="X30" s="119"/>
      <c r="Y30" s="87"/>
      <c r="Z30" s="88"/>
      <c r="AA30" s="87"/>
      <c r="AB30" s="89"/>
      <c r="AC30" s="90"/>
      <c r="AD30" s="69"/>
      <c r="AE30" s="119"/>
      <c r="AF30" s="87"/>
      <c r="AG30" s="88"/>
      <c r="AH30" s="87"/>
      <c r="AI30" s="89"/>
      <c r="AJ30" s="90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</row>
    <row r="31" spans="1:49" s="94" customFormat="1" x14ac:dyDescent="0.25">
      <c r="A31" s="3"/>
      <c r="B31" s="271" t="str">
        <f>IF(Rates!D153=$A$23,Rates!B153," ")</f>
        <v>Rate Rider for LRAMVA</v>
      </c>
      <c r="C31" s="78"/>
      <c r="D31" s="271" t="str">
        <f>IF(Rates!D130=$A$23,Rates!E153," ")</f>
        <v>kW</v>
      </c>
      <c r="E31" s="79"/>
      <c r="F31" s="80">
        <f>IF(Rates!$J$1="BRT 2018",Rates!J153," ")</f>
        <v>0</v>
      </c>
      <c r="G31" s="81">
        <f t="shared" si="3"/>
        <v>60</v>
      </c>
      <c r="H31" s="82">
        <f t="shared" si="0"/>
        <v>0</v>
      </c>
      <c r="I31" s="91"/>
      <c r="J31" s="476">
        <f>IF(Rates!$L$1="E+ 2019",Rates!L153," ")</f>
        <v>0.4554727233494929</v>
      </c>
      <c r="K31" s="108">
        <f t="shared" si="4"/>
        <v>60</v>
      </c>
      <c r="L31" s="82">
        <f t="shared" si="1"/>
        <v>27.328363400969575</v>
      </c>
      <c r="M31" s="91"/>
      <c r="N31" s="84">
        <f t="shared" si="2"/>
        <v>27.328363400969575</v>
      </c>
      <c r="O31" s="85" t="str">
        <f t="shared" si="5"/>
        <v/>
      </c>
      <c r="Q31" s="119"/>
      <c r="R31" s="87"/>
      <c r="S31" s="88"/>
      <c r="T31" s="87"/>
      <c r="U31" s="89"/>
      <c r="V31" s="90"/>
      <c r="W31" s="69"/>
      <c r="X31" s="119"/>
      <c r="Y31" s="87"/>
      <c r="Z31" s="88"/>
      <c r="AA31" s="87"/>
      <c r="AB31" s="89"/>
      <c r="AC31" s="90"/>
      <c r="AD31" s="69"/>
      <c r="AE31" s="119"/>
      <c r="AF31" s="87"/>
      <c r="AG31" s="88"/>
      <c r="AH31" s="87"/>
      <c r="AI31" s="89"/>
      <c r="AJ31" s="90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</row>
    <row r="32" spans="1:49" x14ac:dyDescent="0.25">
      <c r="A32" s="3"/>
      <c r="B32" s="271" t="str">
        <f>IF(Rates!D154=$A$23,Rates!B154," ")</f>
        <v>Rate Rider MIST</v>
      </c>
      <c r="C32" s="78"/>
      <c r="D32" s="271" t="str">
        <f>IF(Rates!D131=$A$23,Rates!E154," ")</f>
        <v>customer</v>
      </c>
      <c r="E32" s="79"/>
      <c r="F32" s="80">
        <f>IF(Rates!$J$1="BRT 2018",Rates!J154," ")</f>
        <v>0</v>
      </c>
      <c r="G32" s="81">
        <f t="shared" si="3"/>
        <v>1</v>
      </c>
      <c r="H32" s="82">
        <f t="shared" si="0"/>
        <v>0</v>
      </c>
      <c r="I32" s="91"/>
      <c r="J32" s="476">
        <f>IF(Rates!$L$1="E+ 2019",Rates!L154," ")</f>
        <v>18.578982363534003</v>
      </c>
      <c r="K32" s="108">
        <f t="shared" si="4"/>
        <v>1</v>
      </c>
      <c r="L32" s="82">
        <f t="shared" si="1"/>
        <v>18.578982363534003</v>
      </c>
      <c r="M32" s="91"/>
      <c r="N32" s="84">
        <f t="shared" si="2"/>
        <v>18.578982363534003</v>
      </c>
      <c r="O32" s="85" t="str">
        <f t="shared" si="5"/>
        <v/>
      </c>
      <c r="Q32" s="98"/>
      <c r="R32" s="87"/>
      <c r="S32" s="88"/>
      <c r="T32" s="87"/>
      <c r="U32" s="89"/>
      <c r="V32" s="90"/>
      <c r="W32" s="69"/>
      <c r="X32" s="98"/>
      <c r="Y32" s="87"/>
      <c r="Z32" s="88"/>
      <c r="AA32" s="87"/>
      <c r="AB32" s="89"/>
      <c r="AC32" s="90"/>
      <c r="AD32" s="69"/>
      <c r="AE32" s="98"/>
      <c r="AF32" s="87"/>
      <c r="AG32" s="88"/>
      <c r="AH32" s="87"/>
      <c r="AI32" s="89"/>
      <c r="AJ32" s="90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</row>
    <row r="33" spans="1:49" x14ac:dyDescent="0.25">
      <c r="A33" s="3"/>
      <c r="B33" s="271" t="str">
        <f>IF(Rates!D155=$A$23,Rates!B155," ")</f>
        <v>Other Fixed</v>
      </c>
      <c r="C33" s="78"/>
      <c r="D33" s="271" t="str">
        <f>IF(Rates!D132=$A$23,Rates!E155," ")</f>
        <v>customer</v>
      </c>
      <c r="E33" s="79"/>
      <c r="F33" s="80">
        <f>IF(Rates!$J$1="BRT 2018",Rates!J155," ")</f>
        <v>0</v>
      </c>
      <c r="G33" s="81">
        <f t="shared" si="3"/>
        <v>1</v>
      </c>
      <c r="H33" s="82">
        <f t="shared" si="0"/>
        <v>0</v>
      </c>
      <c r="I33" s="91"/>
      <c r="J33" s="476">
        <f>IF(Rates!$L$1="E+ 2019",Rates!L155," ")</f>
        <v>0</v>
      </c>
      <c r="K33" s="108">
        <f t="shared" si="4"/>
        <v>1</v>
      </c>
      <c r="L33" s="82">
        <f t="shared" si="1"/>
        <v>0</v>
      </c>
      <c r="M33" s="91"/>
      <c r="N33" s="84">
        <f t="shared" si="2"/>
        <v>0</v>
      </c>
      <c r="O33" s="85" t="str">
        <f t="shared" si="5"/>
        <v/>
      </c>
      <c r="Q33" s="98"/>
      <c r="R33" s="87"/>
      <c r="S33" s="88"/>
      <c r="T33" s="87"/>
      <c r="U33" s="89"/>
      <c r="V33" s="90"/>
      <c r="W33" s="69"/>
      <c r="X33" s="98"/>
      <c r="Y33" s="87"/>
      <c r="Z33" s="88"/>
      <c r="AA33" s="87"/>
      <c r="AB33" s="89"/>
      <c r="AC33" s="90"/>
      <c r="AD33" s="69"/>
      <c r="AE33" s="98"/>
      <c r="AF33" s="87"/>
      <c r="AG33" s="88"/>
      <c r="AH33" s="87"/>
      <c r="AI33" s="89"/>
      <c r="AJ33" s="90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</row>
    <row r="34" spans="1:49" x14ac:dyDescent="0.25">
      <c r="A34" s="3"/>
      <c r="B34" s="271" t="str">
        <f>IF(Rates!D156=$A$23,Rates!B156," ")</f>
        <v>Other Volumetric</v>
      </c>
      <c r="C34" s="78"/>
      <c r="D34" s="271" t="str">
        <f>IF(Rates!D133=$A$23,Rates!E156," ")</f>
        <v>kW</v>
      </c>
      <c r="E34" s="79"/>
      <c r="F34" s="80">
        <f>IF(Rates!$J$1="BRT 2018",Rates!J156," ")</f>
        <v>0</v>
      </c>
      <c r="G34" s="81">
        <f t="shared" si="3"/>
        <v>60</v>
      </c>
      <c r="H34" s="82">
        <f t="shared" si="0"/>
        <v>0</v>
      </c>
      <c r="I34" s="91"/>
      <c r="J34" s="476">
        <f>IF(Rates!$L$1="E+ 2019",Rates!L156," ")</f>
        <v>0</v>
      </c>
      <c r="K34" s="108">
        <f t="shared" si="4"/>
        <v>60</v>
      </c>
      <c r="L34" s="82">
        <f t="shared" si="1"/>
        <v>0</v>
      </c>
      <c r="M34" s="91"/>
      <c r="N34" s="84">
        <f t="shared" si="2"/>
        <v>0</v>
      </c>
      <c r="O34" s="85" t="str">
        <f t="shared" si="5"/>
        <v/>
      </c>
      <c r="Q34" s="98"/>
      <c r="R34" s="87"/>
      <c r="S34" s="88"/>
      <c r="T34" s="87"/>
      <c r="U34" s="89"/>
      <c r="V34" s="90"/>
      <c r="W34" s="69"/>
      <c r="X34" s="98"/>
      <c r="Y34" s="87"/>
      <c r="Z34" s="88"/>
      <c r="AA34" s="87"/>
      <c r="AB34" s="89"/>
      <c r="AC34" s="90"/>
      <c r="AD34" s="69"/>
      <c r="AE34" s="98"/>
      <c r="AF34" s="87"/>
      <c r="AG34" s="88"/>
      <c r="AH34" s="87"/>
      <c r="AI34" s="89"/>
      <c r="AJ34" s="90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</row>
    <row r="35" spans="1:49" x14ac:dyDescent="0.25">
      <c r="A35" s="3"/>
      <c r="B35" s="271" t="str">
        <f>IF(Rates!D157=$A$23,Rates!B157," ")</f>
        <v>Rate Rider for gain on Sale of Property</v>
      </c>
      <c r="C35" s="78"/>
      <c r="D35" s="271" t="str">
        <f>IF(Rates!D134=$A$23,Rates!E157," ")</f>
        <v>kW</v>
      </c>
      <c r="E35" s="79"/>
      <c r="F35" s="80">
        <f>IF(Rates!$J$1="BRT 2018",Rates!J157," ")</f>
        <v>0</v>
      </c>
      <c r="G35" s="81">
        <f t="shared" ref="G35" si="6">IF(D35="customer",1,IF(D35="kWh",$F$19,$F$17))</f>
        <v>60</v>
      </c>
      <c r="H35" s="82">
        <f t="shared" ref="H35" si="7">G35*F35</f>
        <v>0</v>
      </c>
      <c r="I35" s="91"/>
      <c r="J35" s="476">
        <f>IF(Rates!$L$1="E+ 2019",Rates!L157," ")</f>
        <v>-7.8892779815913319E-2</v>
      </c>
      <c r="K35" s="108">
        <f t="shared" ref="K35" si="8">IF(D35="customer",1,IF(D35="kWh",$F$19,$F$17))</f>
        <v>60</v>
      </c>
      <c r="L35" s="82">
        <f t="shared" ref="L35" si="9">K35*J35</f>
        <v>-4.733566788954799</v>
      </c>
      <c r="M35" s="91"/>
      <c r="N35" s="84">
        <f t="shared" ref="N35" si="10">L35-H35</f>
        <v>-4.733566788954799</v>
      </c>
      <c r="O35" s="85" t="str">
        <f t="shared" ref="O35" si="11">IF(OR(H35=0,L35=0),"",(N35/H35))</f>
        <v/>
      </c>
      <c r="Q35" s="98"/>
      <c r="R35" s="87"/>
      <c r="S35" s="88"/>
      <c r="T35" s="87"/>
      <c r="U35" s="89"/>
      <c r="V35" s="90"/>
      <c r="W35" s="69"/>
      <c r="X35" s="98"/>
      <c r="Y35" s="87"/>
      <c r="Z35" s="88"/>
      <c r="AA35" s="87"/>
      <c r="AB35" s="89"/>
      <c r="AC35" s="90"/>
      <c r="AD35" s="69"/>
      <c r="AE35" s="98"/>
      <c r="AF35" s="87"/>
      <c r="AG35" s="88"/>
      <c r="AH35" s="87"/>
      <c r="AI35" s="89"/>
      <c r="AJ35" s="90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</row>
    <row r="36" spans="1:49" x14ac:dyDescent="0.25">
      <c r="A36" s="3"/>
      <c r="B36" s="109" t="s">
        <v>64</v>
      </c>
      <c r="C36" s="110"/>
      <c r="D36" s="110"/>
      <c r="E36" s="110"/>
      <c r="F36" s="111"/>
      <c r="G36" s="112"/>
      <c r="H36" s="113">
        <f>SUM(H23:H35)</f>
        <v>332.762</v>
      </c>
      <c r="I36" s="91"/>
      <c r="J36" s="115"/>
      <c r="K36" s="116"/>
      <c r="L36" s="113">
        <f>SUM(L23:L35)</f>
        <v>392.30122112193482</v>
      </c>
      <c r="M36" s="91"/>
      <c r="N36" s="117">
        <f t="shared" si="2"/>
        <v>59.539221121934816</v>
      </c>
      <c r="O36" s="118">
        <f>IF(OR(H36=0, L36=0),"",(N36/H36))</f>
        <v>0.17892433968402285</v>
      </c>
      <c r="Q36" s="119"/>
      <c r="R36" s="120"/>
      <c r="S36" s="88"/>
      <c r="T36" s="87"/>
      <c r="U36" s="121"/>
      <c r="V36" s="122"/>
      <c r="W36" s="69"/>
      <c r="X36" s="119"/>
      <c r="Y36" s="120"/>
      <c r="Z36" s="88"/>
      <c r="AA36" s="87"/>
      <c r="AB36" s="121"/>
      <c r="AC36" s="122"/>
      <c r="AD36" s="69"/>
      <c r="AE36" s="119"/>
      <c r="AF36" s="120"/>
      <c r="AG36" s="88"/>
      <c r="AH36" s="87"/>
      <c r="AI36" s="121"/>
      <c r="AJ36" s="122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</row>
    <row r="37" spans="1:49" x14ac:dyDescent="0.25">
      <c r="A37" s="5" t="s">
        <v>18</v>
      </c>
      <c r="B37" s="271" t="str">
        <f>IF(Rates!D158=$A$37,Rates!B158," ")</f>
        <v>Low Voltage Service Rate</v>
      </c>
      <c r="C37" s="78"/>
      <c r="D37" s="271" t="str">
        <f>IF(Rates!D158=$A$37,Rates!E158," ")</f>
        <v>kW</v>
      </c>
      <c r="E37" s="79"/>
      <c r="F37" s="235">
        <f>IF(Rates!$J$1="BRT 2018",Rates!J158," ")</f>
        <v>1.1222000000000001</v>
      </c>
      <c r="G37" s="81">
        <f t="shared" ref="G37:G53" si="12">IF(D37="customer",1,IF(D37="kWh",$F$19,$F$17))</f>
        <v>60</v>
      </c>
      <c r="H37" s="126">
        <f>G37*F37</f>
        <v>67.332000000000008</v>
      </c>
      <c r="I37" s="87"/>
      <c r="J37" s="469">
        <f>IF(Rates!$L$1="E+ 2019",Rates!L158," ")</f>
        <v>0.23050000000000001</v>
      </c>
      <c r="K37" s="108">
        <f t="shared" ref="K37:K53" si="13">IF(D37="customer",1,IF(D37="kWh",$F$19,$F$17))</f>
        <v>60</v>
      </c>
      <c r="L37" s="82">
        <f t="shared" si="1"/>
        <v>13.83</v>
      </c>
      <c r="M37" s="81"/>
      <c r="N37" s="84">
        <f t="shared" si="2"/>
        <v>-53.50200000000001</v>
      </c>
      <c r="O37" s="338">
        <f t="shared" ref="O37:O45" si="14">IF(OR(H37=0,L37=0),"",(N37/H37))</f>
        <v>-0.79459989306718948</v>
      </c>
      <c r="Q37" s="119"/>
      <c r="R37" s="87"/>
      <c r="S37" s="88"/>
      <c r="T37" s="87"/>
      <c r="U37" s="89"/>
      <c r="V37" s="90"/>
      <c r="W37" s="69"/>
      <c r="X37" s="119"/>
      <c r="Y37" s="87"/>
      <c r="Z37" s="88"/>
      <c r="AA37" s="87"/>
      <c r="AB37" s="89"/>
      <c r="AC37" s="90"/>
      <c r="AD37" s="69"/>
      <c r="AE37" s="119"/>
      <c r="AF37" s="87"/>
      <c r="AG37" s="88"/>
      <c r="AH37" s="87"/>
      <c r="AI37" s="89"/>
      <c r="AJ37" s="90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</row>
    <row r="38" spans="1:49" x14ac:dyDescent="0.25">
      <c r="A38" s="1"/>
      <c r="B38" s="124" t="s">
        <v>116</v>
      </c>
      <c r="C38" s="78"/>
      <c r="D38" s="271" t="s">
        <v>13</v>
      </c>
      <c r="E38" s="79"/>
      <c r="F38" s="127">
        <v>0</v>
      </c>
      <c r="G38" s="125"/>
      <c r="H38" s="126">
        <f t="shared" ref="H38:H45" si="15">G38*F38</f>
        <v>0</v>
      </c>
      <c r="I38" s="91"/>
      <c r="J38" s="469"/>
      <c r="K38" s="125"/>
      <c r="L38" s="82">
        <f t="shared" si="1"/>
        <v>0</v>
      </c>
      <c r="M38" s="91"/>
      <c r="N38" s="84">
        <f t="shared" si="2"/>
        <v>0</v>
      </c>
      <c r="O38" s="85" t="str">
        <f t="shared" si="14"/>
        <v/>
      </c>
      <c r="Q38" s="128"/>
      <c r="R38" s="129"/>
      <c r="S38" s="88"/>
      <c r="T38" s="87"/>
      <c r="U38" s="89"/>
      <c r="V38" s="90"/>
      <c r="W38" s="69"/>
      <c r="X38" s="128"/>
      <c r="Y38" s="129"/>
      <c r="Z38" s="88"/>
      <c r="AA38" s="87"/>
      <c r="AB38" s="89"/>
      <c r="AC38" s="90"/>
      <c r="AD38" s="69"/>
      <c r="AE38" s="128"/>
      <c r="AF38" s="129"/>
      <c r="AG38" s="88"/>
      <c r="AH38" s="87"/>
      <c r="AI38" s="89"/>
      <c r="AJ38" s="90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</row>
    <row r="39" spans="1:49" x14ac:dyDescent="0.25">
      <c r="A39" s="130"/>
      <c r="B39" s="271" t="str">
        <f>IF(Rates!D159=$A$37,Rates!B159," ")</f>
        <v>Rate Rider Other Fixed</v>
      </c>
      <c r="C39" s="78"/>
      <c r="D39" s="271" t="str">
        <f>IF(Rates!D159=$A$37,Rates!E159," ")</f>
        <v>customer</v>
      </c>
      <c r="E39" s="79"/>
      <c r="F39" s="235">
        <f>IF(Rates!$J$1="BRT 2018",Rates!J159," ")</f>
        <v>0</v>
      </c>
      <c r="G39" s="81">
        <f t="shared" si="12"/>
        <v>1</v>
      </c>
      <c r="H39" s="126">
        <f t="shared" si="15"/>
        <v>0</v>
      </c>
      <c r="I39" s="91"/>
      <c r="J39" s="469">
        <f>IF(Rates!$L$1="E+ 2019",Rates!L159," ")</f>
        <v>0</v>
      </c>
      <c r="K39" s="81">
        <f t="shared" si="13"/>
        <v>1</v>
      </c>
      <c r="L39" s="82">
        <f t="shared" si="1"/>
        <v>0</v>
      </c>
      <c r="M39" s="91"/>
      <c r="N39" s="84">
        <f t="shared" si="2"/>
        <v>0</v>
      </c>
      <c r="O39" s="85" t="str">
        <f t="shared" si="14"/>
        <v/>
      </c>
      <c r="Q39" s="119"/>
      <c r="R39" s="87"/>
      <c r="S39" s="88"/>
      <c r="T39" s="87"/>
      <c r="U39" s="89"/>
      <c r="V39" s="90"/>
      <c r="W39" s="69"/>
      <c r="X39" s="119"/>
      <c r="Y39" s="87"/>
      <c r="Z39" s="88"/>
      <c r="AA39" s="87"/>
      <c r="AB39" s="89"/>
      <c r="AC39" s="90"/>
      <c r="AD39" s="69"/>
      <c r="AE39" s="119"/>
      <c r="AF39" s="87"/>
      <c r="AG39" s="88"/>
      <c r="AH39" s="87"/>
      <c r="AI39" s="89"/>
      <c r="AJ39" s="90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</row>
    <row r="40" spans="1:49" x14ac:dyDescent="0.25">
      <c r="A40" s="130"/>
      <c r="B40" s="271" t="str">
        <f>IF(Rates!D160=$A$37,Rates!B160," ")</f>
        <v>Rate Rider Other Volumetric</v>
      </c>
      <c r="C40" s="78"/>
      <c r="D40" s="271" t="str">
        <f>IF(Rates!D160=$A$37,Rates!E160," ")</f>
        <v>kW</v>
      </c>
      <c r="E40" s="79"/>
      <c r="F40" s="235">
        <f>IF(Rates!$J$1="BRT 2018",Rates!J160," ")</f>
        <v>0</v>
      </c>
      <c r="G40" s="81">
        <f t="shared" si="12"/>
        <v>60</v>
      </c>
      <c r="H40" s="126">
        <f t="shared" si="15"/>
        <v>0</v>
      </c>
      <c r="I40" s="91"/>
      <c r="J40" s="469">
        <f>IF(Rates!$L$1="E+ 2019",Rates!L160," ")</f>
        <v>9.5483921157550861E-2</v>
      </c>
      <c r="K40" s="81">
        <f t="shared" si="13"/>
        <v>60</v>
      </c>
      <c r="L40" s="82">
        <f t="shared" si="1"/>
        <v>5.7290352694530515</v>
      </c>
      <c r="M40" s="91"/>
      <c r="N40" s="84">
        <f t="shared" si="2"/>
        <v>5.7290352694530515</v>
      </c>
      <c r="O40" s="85" t="str">
        <f t="shared" si="14"/>
        <v/>
      </c>
      <c r="Q40" s="119"/>
      <c r="R40" s="87"/>
      <c r="S40" s="88"/>
      <c r="T40" s="87"/>
      <c r="U40" s="89"/>
      <c r="V40" s="90"/>
      <c r="W40" s="69"/>
      <c r="X40" s="119"/>
      <c r="Y40" s="87"/>
      <c r="Z40" s="88"/>
      <c r="AA40" s="87"/>
      <c r="AB40" s="89"/>
      <c r="AC40" s="90"/>
      <c r="AD40" s="69"/>
      <c r="AE40" s="119"/>
      <c r="AF40" s="87"/>
      <c r="AG40" s="88"/>
      <c r="AH40" s="87"/>
      <c r="AI40" s="89"/>
      <c r="AJ40" s="90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</row>
    <row r="41" spans="1:49" x14ac:dyDescent="0.25">
      <c r="A41" s="130"/>
      <c r="B41" s="271" t="str">
        <f>IF(Rates!D161=$A$37,Rates!B161," ")</f>
        <v>Rate Rider Other Volumetric</v>
      </c>
      <c r="C41" s="78"/>
      <c r="D41" s="271" t="str">
        <f>IF(Rates!D161=$A$37,Rates!E161," ")</f>
        <v>kW</v>
      </c>
      <c r="E41" s="79"/>
      <c r="F41" s="235">
        <f>IF(Rates!$J$1="BRT 2018",Rates!J161," ")</f>
        <v>0</v>
      </c>
      <c r="G41" s="81">
        <f t="shared" si="12"/>
        <v>60</v>
      </c>
      <c r="H41" s="126">
        <f t="shared" si="15"/>
        <v>0</v>
      </c>
      <c r="I41" s="91"/>
      <c r="J41" s="469">
        <f>IF(Rates!$L$1="E+ 2019",Rates!L161," ")</f>
        <v>0</v>
      </c>
      <c r="K41" s="81">
        <f t="shared" si="13"/>
        <v>60</v>
      </c>
      <c r="L41" s="82">
        <f t="shared" si="1"/>
        <v>0</v>
      </c>
      <c r="M41" s="91"/>
      <c r="N41" s="84">
        <f t="shared" si="2"/>
        <v>0</v>
      </c>
      <c r="O41" s="85" t="str">
        <f t="shared" si="14"/>
        <v/>
      </c>
      <c r="Q41" s="119"/>
      <c r="R41" s="87"/>
      <c r="S41" s="88"/>
      <c r="T41" s="87"/>
      <c r="U41" s="89"/>
      <c r="V41" s="90"/>
      <c r="W41" s="69"/>
      <c r="X41" s="119"/>
      <c r="Y41" s="87"/>
      <c r="Z41" s="88"/>
      <c r="AA41" s="87"/>
      <c r="AB41" s="89"/>
      <c r="AC41" s="90"/>
      <c r="AD41" s="69"/>
      <c r="AE41" s="119"/>
      <c r="AF41" s="87"/>
      <c r="AG41" s="88"/>
      <c r="AH41" s="87"/>
      <c r="AI41" s="89"/>
      <c r="AJ41" s="90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</row>
    <row r="42" spans="1:49" x14ac:dyDescent="0.25">
      <c r="A42" s="1"/>
      <c r="B42" s="271" t="str">
        <f>IF(Rates!D162=$A$37,Rates!B162," ")</f>
        <v xml:space="preserve">Rate Rider for Disposition of Deferral/Variance Accounts </v>
      </c>
      <c r="C42" s="78"/>
      <c r="D42" s="271" t="str">
        <f>IF(Rates!D162=$A$37,Rates!E162," ")</f>
        <v>kW</v>
      </c>
      <c r="E42" s="79"/>
      <c r="F42" s="235">
        <f>IF(Rates!$J$1="BRT 2018",Rates!J162," ")</f>
        <v>-2.8760694640552322</v>
      </c>
      <c r="G42" s="81">
        <f t="shared" si="12"/>
        <v>60</v>
      </c>
      <c r="H42" s="126">
        <f t="shared" si="15"/>
        <v>-172.56416784331392</v>
      </c>
      <c r="I42" s="91"/>
      <c r="J42" s="469">
        <f>IF(Rates!$L$1="E+ 2019",Rates!L162," ")</f>
        <v>-0.44588513494045856</v>
      </c>
      <c r="K42" s="81">
        <f t="shared" si="13"/>
        <v>60</v>
      </c>
      <c r="L42" s="82">
        <f t="shared" si="1"/>
        <v>-26.753108096427514</v>
      </c>
      <c r="M42" s="91"/>
      <c r="N42" s="84">
        <f t="shared" si="2"/>
        <v>145.8110597468864</v>
      </c>
      <c r="O42" s="85">
        <f t="shared" si="14"/>
        <v>-0.84496718854913722</v>
      </c>
      <c r="Q42" s="128"/>
      <c r="R42" s="129"/>
      <c r="S42" s="88"/>
      <c r="T42" s="87"/>
      <c r="U42" s="89"/>
      <c r="V42" s="90"/>
      <c r="W42" s="69"/>
      <c r="X42" s="128"/>
      <c r="Y42" s="129"/>
      <c r="Z42" s="88"/>
      <c r="AA42" s="87"/>
      <c r="AB42" s="89"/>
      <c r="AC42" s="90"/>
      <c r="AD42" s="69"/>
      <c r="AE42" s="128"/>
      <c r="AF42" s="129"/>
      <c r="AG42" s="88"/>
      <c r="AH42" s="87"/>
      <c r="AI42" s="89"/>
      <c r="AJ42" s="90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</row>
    <row r="43" spans="1:49" ht="28.5" x14ac:dyDescent="0.25">
      <c r="A43" s="1"/>
      <c r="B43" s="271" t="str">
        <f>IF(Rates!D163=$A$37,Rates!B163," ")</f>
        <v>Rate Rider for Disposition of Deferral/Variance Accounts Non-WMP Customers</v>
      </c>
      <c r="C43" s="78"/>
      <c r="D43" s="271" t="str">
        <f>IF(Rates!D163=$A$37,Rates!E163," ")</f>
        <v>kW</v>
      </c>
      <c r="E43" s="79"/>
      <c r="F43" s="235">
        <f>IF(Rates!$J$1="BRT 2018",Rates!J163," ")</f>
        <v>0</v>
      </c>
      <c r="G43" s="81">
        <f t="shared" si="12"/>
        <v>60</v>
      </c>
      <c r="H43" s="126">
        <f t="shared" si="15"/>
        <v>0</v>
      </c>
      <c r="I43" s="91"/>
      <c r="J43" s="469">
        <f>IF(Rates!$L$1="E+ 2019",Rates!L163," ")</f>
        <v>-8.6780676279522614E-2</v>
      </c>
      <c r="K43" s="81">
        <f t="shared" si="13"/>
        <v>60</v>
      </c>
      <c r="L43" s="82">
        <f t="shared" si="1"/>
        <v>-5.2068405767713566</v>
      </c>
      <c r="M43" s="91"/>
      <c r="N43" s="84">
        <f t="shared" si="2"/>
        <v>-5.2068405767713566</v>
      </c>
      <c r="O43" s="85" t="str">
        <f t="shared" si="14"/>
        <v/>
      </c>
      <c r="Q43" s="128"/>
      <c r="R43" s="129"/>
      <c r="S43" s="88"/>
      <c r="T43" s="87"/>
      <c r="U43" s="89"/>
      <c r="V43" s="90"/>
      <c r="W43" s="69"/>
      <c r="X43" s="128"/>
      <c r="Y43" s="129"/>
      <c r="Z43" s="88"/>
      <c r="AA43" s="87"/>
      <c r="AB43" s="89"/>
      <c r="AC43" s="90"/>
      <c r="AD43" s="69"/>
      <c r="AE43" s="128"/>
      <c r="AF43" s="129"/>
      <c r="AG43" s="88"/>
      <c r="AH43" s="87"/>
      <c r="AI43" s="89"/>
      <c r="AJ43" s="90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</row>
    <row r="44" spans="1:49" x14ac:dyDescent="0.25">
      <c r="A44" s="1"/>
      <c r="B44" s="271" t="str">
        <f>IF(Rates!D164=$A$37,Rates!B164," ")</f>
        <v>Rate Rider for Disposition of GA DV</v>
      </c>
      <c r="C44" s="78"/>
      <c r="D44" s="271" t="str">
        <f>IF(Rates!D164=$A$37,Rates!E164," ")</f>
        <v>kWh</v>
      </c>
      <c r="E44" s="79"/>
      <c r="F44" s="235">
        <f>IF(Rates!$J$1="BRT 2018",Rates!J164," ")</f>
        <v>1.4200000000000001E-2</v>
      </c>
      <c r="G44" s="225">
        <f t="shared" si="12"/>
        <v>20000</v>
      </c>
      <c r="H44" s="126">
        <f t="shared" si="15"/>
        <v>284</v>
      </c>
      <c r="I44" s="91"/>
      <c r="J44" s="469">
        <f>IF(Rates!$L$1="E+ 2019",Rates!L164," ")</f>
        <v>3.8449181889326276E-4</v>
      </c>
      <c r="K44" s="225">
        <f t="shared" si="13"/>
        <v>20000</v>
      </c>
      <c r="L44" s="82">
        <f t="shared" si="1"/>
        <v>7.6898363778652552</v>
      </c>
      <c r="M44" s="91"/>
      <c r="N44" s="84">
        <f t="shared" si="2"/>
        <v>-276.31016362213472</v>
      </c>
      <c r="O44" s="85">
        <f t="shared" si="14"/>
        <v>-0.97292311134554477</v>
      </c>
      <c r="Q44" s="128"/>
      <c r="R44" s="129"/>
      <c r="S44" s="88"/>
      <c r="T44" s="87"/>
      <c r="U44" s="89"/>
      <c r="V44" s="90"/>
      <c r="W44" s="69"/>
      <c r="X44" s="128"/>
      <c r="Y44" s="129"/>
      <c r="Z44" s="88"/>
      <c r="AA44" s="87"/>
      <c r="AB44" s="89"/>
      <c r="AC44" s="90"/>
      <c r="AD44" s="69"/>
      <c r="AE44" s="128"/>
      <c r="AF44" s="129"/>
      <c r="AG44" s="88"/>
      <c r="AH44" s="87"/>
      <c r="AI44" s="89"/>
      <c r="AJ44" s="90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</row>
    <row r="45" spans="1:49" ht="28.5" x14ac:dyDescent="0.25">
      <c r="A45" s="1"/>
      <c r="B45" s="271" t="str">
        <f>IF(Rates!D165=$A$37,Rates!B165," ")</f>
        <v>Rate Rider for Disposition of Capacity Based Recovery Account (2018) - Applicable only for Class B Customers</v>
      </c>
      <c r="C45" s="78"/>
      <c r="D45" s="271" t="str">
        <f>IF(Rates!D165=$A$37,Rates!E165," ")</f>
        <v>kW</v>
      </c>
      <c r="E45" s="79"/>
      <c r="F45" s="235">
        <f>IF(Rates!$J$1="BRT 2018",Rates!J165," ")</f>
        <v>0</v>
      </c>
      <c r="G45" s="81">
        <f t="shared" si="12"/>
        <v>60</v>
      </c>
      <c r="H45" s="126">
        <f t="shared" si="15"/>
        <v>0</v>
      </c>
      <c r="I45" s="91"/>
      <c r="J45" s="469">
        <f>IF(Rates!$L$1="E+ 2019",Rates!L165," ")</f>
        <v>1.5625881795421066E-3</v>
      </c>
      <c r="K45" s="108">
        <f t="shared" si="13"/>
        <v>60</v>
      </c>
      <c r="L45" s="82">
        <f t="shared" si="1"/>
        <v>9.3755290772526395E-2</v>
      </c>
      <c r="M45" s="91"/>
      <c r="N45" s="84">
        <f t="shared" si="2"/>
        <v>9.3755290772526395E-2</v>
      </c>
      <c r="O45" s="85" t="str">
        <f t="shared" si="14"/>
        <v/>
      </c>
      <c r="Q45" s="128"/>
      <c r="R45" s="129"/>
      <c r="S45" s="88"/>
      <c r="T45" s="87"/>
      <c r="U45" s="89"/>
      <c r="V45" s="90"/>
      <c r="W45" s="69"/>
      <c r="X45" s="128"/>
      <c r="Y45" s="129"/>
      <c r="Z45" s="88"/>
      <c r="AA45" s="87"/>
      <c r="AB45" s="89"/>
      <c r="AC45" s="90"/>
      <c r="AD45" s="69"/>
      <c r="AE45" s="128"/>
      <c r="AF45" s="129"/>
      <c r="AG45" s="88"/>
      <c r="AH45" s="87"/>
      <c r="AI45" s="89"/>
      <c r="AJ45" s="90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</row>
    <row r="46" spans="1:49" hidden="1" x14ac:dyDescent="0.25">
      <c r="A46" s="1"/>
      <c r="B46" s="271"/>
      <c r="C46" s="78"/>
      <c r="D46" s="271"/>
      <c r="E46" s="79"/>
      <c r="F46" s="235"/>
      <c r="G46" s="81"/>
      <c r="H46" s="126"/>
      <c r="I46" s="91"/>
      <c r="J46" s="469"/>
      <c r="K46" s="108"/>
      <c r="L46" s="82"/>
      <c r="M46" s="91"/>
      <c r="N46" s="84"/>
      <c r="O46" s="85"/>
      <c r="Q46" s="128"/>
      <c r="R46" s="129"/>
      <c r="S46" s="88"/>
      <c r="T46" s="87"/>
      <c r="U46" s="89"/>
      <c r="V46" s="90"/>
      <c r="W46" s="69"/>
      <c r="X46" s="128"/>
      <c r="Y46" s="129"/>
      <c r="Z46" s="88"/>
      <c r="AA46" s="87"/>
      <c r="AB46" s="89"/>
      <c r="AC46" s="90"/>
      <c r="AD46" s="69"/>
      <c r="AE46" s="128"/>
      <c r="AF46" s="129"/>
      <c r="AG46" s="88"/>
      <c r="AH46" s="87"/>
      <c r="AI46" s="89"/>
      <c r="AJ46" s="90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</row>
    <row r="47" spans="1:49" x14ac:dyDescent="0.25">
      <c r="A47" s="1"/>
      <c r="B47" s="132" t="s">
        <v>80</v>
      </c>
      <c r="C47" s="133"/>
      <c r="D47" s="133"/>
      <c r="E47" s="133"/>
      <c r="F47" s="134"/>
      <c r="G47" s="135"/>
      <c r="H47" s="136">
        <f>SUM(H37:H46)+H36</f>
        <v>511.5298321566861</v>
      </c>
      <c r="I47" s="91"/>
      <c r="J47" s="135"/>
      <c r="K47" s="137"/>
      <c r="L47" s="136">
        <f>SUM(L37:L46)+L36</f>
        <v>387.68389938682679</v>
      </c>
      <c r="M47" s="91"/>
      <c r="N47" s="117">
        <f t="shared" si="2"/>
        <v>-123.8459327698593</v>
      </c>
      <c r="O47" s="138">
        <f>IF(OR(H47=0,L47=0),"",(N47/H47))</f>
        <v>-0.24210891522730232</v>
      </c>
      <c r="Q47" s="87"/>
      <c r="R47" s="87"/>
      <c r="S47" s="121"/>
      <c r="T47" s="87"/>
      <c r="U47" s="121"/>
      <c r="V47" s="139"/>
      <c r="W47" s="69"/>
      <c r="X47" s="87"/>
      <c r="Y47" s="87"/>
      <c r="Z47" s="121"/>
      <c r="AA47" s="87"/>
      <c r="AB47" s="121"/>
      <c r="AC47" s="139"/>
      <c r="AD47" s="69"/>
      <c r="AE47" s="87"/>
      <c r="AF47" s="87"/>
      <c r="AG47" s="121"/>
      <c r="AH47" s="87"/>
      <c r="AI47" s="121"/>
      <c r="AJ47" s="13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</row>
    <row r="48" spans="1:49" x14ac:dyDescent="0.25">
      <c r="A48" s="38" t="s">
        <v>16</v>
      </c>
      <c r="B48" s="271" t="str">
        <f>IF(Rates!D166=$A$48,Rates!B166," ")</f>
        <v>Retail Transmission Rate – Network Service Rate</v>
      </c>
      <c r="C48" s="83"/>
      <c r="D48" s="271" t="str">
        <f>IF(Rates!D166= $A$48,Rates!E166," ")</f>
        <v>kW</v>
      </c>
      <c r="E48" s="91"/>
      <c r="F48" s="235">
        <f>IF(Rates!$J$1="BRT 2018",Rates!J166," ")</f>
        <v>2.2263999999999999</v>
      </c>
      <c r="G48" s="140">
        <v>0</v>
      </c>
      <c r="H48" s="82">
        <f>G48*F48</f>
        <v>0</v>
      </c>
      <c r="I48" s="91"/>
      <c r="J48" s="235">
        <f>IF(Rates!$L$1="E+ 2019",Rates!L166," ")</f>
        <v>3.039109007035127</v>
      </c>
      <c r="K48" s="140">
        <v>0</v>
      </c>
      <c r="L48" s="82">
        <f>K48*J48</f>
        <v>0</v>
      </c>
      <c r="M48" s="91"/>
      <c r="N48" s="84">
        <f t="shared" si="2"/>
        <v>0</v>
      </c>
      <c r="O48" s="85" t="str">
        <f>IF(OR(H48=0,L48=0),"",(N48/H48))</f>
        <v/>
      </c>
      <c r="Q48" s="119"/>
      <c r="R48" s="141"/>
      <c r="S48" s="294">
        <f>F48*K48</f>
        <v>0</v>
      </c>
      <c r="T48" s="87"/>
      <c r="U48" s="89"/>
      <c r="V48" s="90"/>
      <c r="W48" s="69"/>
      <c r="X48" s="119"/>
      <c r="Y48" s="141"/>
      <c r="Z48" s="88"/>
      <c r="AA48" s="87"/>
      <c r="AB48" s="89"/>
      <c r="AC48" s="90"/>
      <c r="AD48" s="69"/>
      <c r="AE48" s="119"/>
      <c r="AF48" s="141"/>
      <c r="AG48" s="88"/>
      <c r="AH48" s="87"/>
      <c r="AI48" s="89"/>
      <c r="AJ48" s="90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</row>
    <row r="49" spans="1:49" ht="28.5" x14ac:dyDescent="0.25">
      <c r="A49" s="1"/>
      <c r="B49" s="271" t="str">
        <f>IF(Rates!D167=$A$48,Rates!B167," ")</f>
        <v>Retail Transmission Rate – Network Service Rate Interval Metered &lt;1,000 kW</v>
      </c>
      <c r="C49" s="83"/>
      <c r="D49" s="271" t="str">
        <f>IF(Rates!D167= $A$48,Rates!E167," ")</f>
        <v>kW</v>
      </c>
      <c r="E49" s="91"/>
      <c r="F49" s="235">
        <f>IF(Rates!$J$1="BRT 2018",Rates!J167," ")</f>
        <v>2.3616999999999999</v>
      </c>
      <c r="G49" s="404">
        <f t="shared" si="12"/>
        <v>60</v>
      </c>
      <c r="H49" s="82">
        <f t="shared" ref="H49:H51" si="16">G49*F49</f>
        <v>141.702</v>
      </c>
      <c r="I49" s="91"/>
      <c r="J49" s="235">
        <f>IF(Rates!$L$1="E+ 2019",Rates!L167," ")</f>
        <v>3.0547851757037856</v>
      </c>
      <c r="K49" s="404">
        <f t="shared" si="13"/>
        <v>60</v>
      </c>
      <c r="L49" s="82">
        <f t="shared" ref="L49:L51" si="17">K49*J49</f>
        <v>183.28711054222714</v>
      </c>
      <c r="M49" s="91"/>
      <c r="N49" s="84">
        <f t="shared" si="2"/>
        <v>41.585110542227142</v>
      </c>
      <c r="O49" s="85">
        <f t="shared" ref="O49:O51" si="18">IF(OR(H49=0,L49=0),"",(N49/H49))</f>
        <v>0.29346876220679413</v>
      </c>
      <c r="Q49" s="119"/>
      <c r="R49" s="141"/>
      <c r="S49" s="295">
        <f>F49*K49</f>
        <v>141.702</v>
      </c>
      <c r="T49" s="87"/>
      <c r="U49" s="89"/>
      <c r="V49" s="90"/>
      <c r="W49" s="69"/>
      <c r="X49" s="119"/>
      <c r="Y49" s="141"/>
      <c r="Z49" s="88"/>
      <c r="AA49" s="87"/>
      <c r="AB49" s="89"/>
      <c r="AC49" s="90"/>
      <c r="AD49" s="69"/>
      <c r="AE49" s="119"/>
      <c r="AF49" s="141"/>
      <c r="AG49" s="88"/>
      <c r="AH49" s="87"/>
      <c r="AI49" s="89"/>
      <c r="AJ49" s="90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</row>
    <row r="50" spans="1:49" ht="28.5" x14ac:dyDescent="0.25">
      <c r="A50" s="1"/>
      <c r="B50" s="271" t="str">
        <f>IF(Rates!D168=$A$48,Rates!B168," ")</f>
        <v>Retail Transmission Rate – Line and Transformation Connection Service Rate</v>
      </c>
      <c r="C50" s="83"/>
      <c r="D50" s="271" t="str">
        <f>IF(Rates!D168= $A$48,Rates!E168," ")</f>
        <v>kW</v>
      </c>
      <c r="E50" s="91"/>
      <c r="F50" s="235">
        <f>IF(Rates!$J$1="BRT 2018",Rates!J168," ")</f>
        <v>1.1812</v>
      </c>
      <c r="G50" s="140">
        <f>$G$48</f>
        <v>0</v>
      </c>
      <c r="H50" s="82">
        <f t="shared" si="16"/>
        <v>0</v>
      </c>
      <c r="I50" s="91"/>
      <c r="J50" s="235">
        <f>IF(Rates!$L$1="E+ 2019",Rates!L168," ")</f>
        <v>2.2794726540731611</v>
      </c>
      <c r="K50" s="140">
        <v>0</v>
      </c>
      <c r="L50" s="82">
        <f t="shared" si="17"/>
        <v>0</v>
      </c>
      <c r="M50" s="91"/>
      <c r="N50" s="84">
        <f t="shared" si="2"/>
        <v>0</v>
      </c>
      <c r="O50" s="85" t="str">
        <f t="shared" si="18"/>
        <v/>
      </c>
      <c r="Q50" s="119"/>
      <c r="R50" s="141"/>
      <c r="S50" s="295">
        <f t="shared" ref="S50:S51" si="19">F50*K50</f>
        <v>0</v>
      </c>
      <c r="T50" s="87"/>
      <c r="U50" s="89"/>
      <c r="V50" s="90"/>
      <c r="W50" s="69"/>
      <c r="X50" s="119"/>
      <c r="Y50" s="141"/>
      <c r="Z50" s="88"/>
      <c r="AA50" s="87"/>
      <c r="AB50" s="89"/>
      <c r="AC50" s="90"/>
      <c r="AD50" s="69"/>
      <c r="AE50" s="119"/>
      <c r="AF50" s="141"/>
      <c r="AG50" s="88"/>
      <c r="AH50" s="87"/>
      <c r="AI50" s="89"/>
      <c r="AJ50" s="90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</row>
    <row r="51" spans="1:49" ht="28.5" x14ac:dyDescent="0.25">
      <c r="A51" s="1"/>
      <c r="B51" s="271" t="str">
        <f>IF(Rates!D169=$A$48,Rates!B169," ")</f>
        <v>Retail Transmission Rate – Line and Transformation Connection Service Rate - Interval Metered &lt; 1,000 kW</v>
      </c>
      <c r="C51" s="83"/>
      <c r="D51" s="271" t="str">
        <f>IF(Rates!D169= $A$48,Rates!E169," ")</f>
        <v>kW</v>
      </c>
      <c r="E51" s="91"/>
      <c r="F51" s="235">
        <f>IF(Rates!$J$1="BRT 2018",Rates!J169," ")</f>
        <v>1.3052999999999999</v>
      </c>
      <c r="G51" s="404">
        <f t="shared" si="12"/>
        <v>60</v>
      </c>
      <c r="H51" s="82">
        <f t="shared" si="16"/>
        <v>78.317999999999998</v>
      </c>
      <c r="I51" s="91"/>
      <c r="J51" s="235">
        <f>IF(Rates!$L$1="E+ 2019",Rates!L169," ")</f>
        <v>2.2957713829409307</v>
      </c>
      <c r="K51" s="404">
        <f t="shared" si="13"/>
        <v>60</v>
      </c>
      <c r="L51" s="82">
        <f t="shared" si="17"/>
        <v>137.74628297645586</v>
      </c>
      <c r="M51" s="91"/>
      <c r="N51" s="84">
        <f t="shared" si="2"/>
        <v>59.428282976455861</v>
      </c>
      <c r="O51" s="85">
        <f t="shared" si="18"/>
        <v>0.75880746413922551</v>
      </c>
      <c r="Q51" s="119"/>
      <c r="R51" s="141"/>
      <c r="S51" s="295">
        <f t="shared" si="19"/>
        <v>78.317999999999998</v>
      </c>
      <c r="T51" s="87"/>
      <c r="U51" s="89"/>
      <c r="V51" s="90"/>
      <c r="W51" s="69"/>
      <c r="X51" s="119"/>
      <c r="Y51" s="141"/>
      <c r="Z51" s="88"/>
      <c r="AA51" s="87"/>
      <c r="AB51" s="89"/>
      <c r="AC51" s="90"/>
      <c r="AD51" s="69"/>
      <c r="AE51" s="119"/>
      <c r="AF51" s="141"/>
      <c r="AG51" s="88"/>
      <c r="AH51" s="87"/>
      <c r="AI51" s="89"/>
      <c r="AJ51" s="90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</row>
    <row r="52" spans="1:49" x14ac:dyDescent="0.25">
      <c r="A52" s="1"/>
      <c r="B52" s="132" t="s">
        <v>81</v>
      </c>
      <c r="C52" s="110"/>
      <c r="D52" s="110"/>
      <c r="E52" s="110"/>
      <c r="F52" s="142"/>
      <c r="G52" s="135"/>
      <c r="H52" s="136">
        <f>SUM(H47:H51)</f>
        <v>731.54983215668608</v>
      </c>
      <c r="I52" s="277"/>
      <c r="J52" s="144"/>
      <c r="K52" s="145"/>
      <c r="L52" s="136">
        <f>SUM(L47:L51)</f>
        <v>708.71729290550979</v>
      </c>
      <c r="M52" s="277"/>
      <c r="N52" s="117">
        <f>L52-H52</f>
        <v>-22.832539251176286</v>
      </c>
      <c r="O52" s="138">
        <f>IF(OR(H52=0,L52=0),"",(N52/H52))</f>
        <v>-3.1211187874739237E-2</v>
      </c>
      <c r="Q52" s="146"/>
      <c r="R52" s="146"/>
      <c r="S52" s="296">
        <f>SUM(S48:S51)</f>
        <v>220.01999999999998</v>
      </c>
      <c r="T52" s="146"/>
      <c r="U52" s="121"/>
      <c r="V52" s="139"/>
      <c r="W52" s="69"/>
      <c r="X52" s="146"/>
      <c r="Y52" s="146"/>
      <c r="Z52" s="121"/>
      <c r="AA52" s="146"/>
      <c r="AB52" s="121"/>
      <c r="AC52" s="139"/>
      <c r="AD52" s="69"/>
      <c r="AE52" s="146"/>
      <c r="AF52" s="146"/>
      <c r="AG52" s="121"/>
      <c r="AH52" s="146"/>
      <c r="AI52" s="121"/>
      <c r="AJ52" s="13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</row>
    <row r="53" spans="1:49" ht="28.5" x14ac:dyDescent="0.25">
      <c r="A53" s="4" t="s">
        <v>17</v>
      </c>
      <c r="B53" s="271" t="str">
        <f>IF(Rates!D8=$A$53,Rates!B8," ")</f>
        <v>Standard Supply Service – Administrative Charge (if applicable)</v>
      </c>
      <c r="C53" s="78"/>
      <c r="D53" s="271" t="str">
        <f>IF(Rates!D8=$A$53,Rates!E8," ")</f>
        <v>customer</v>
      </c>
      <c r="E53" s="79"/>
      <c r="F53" s="235">
        <f>IF(Rates!$J$1="BRT 2018",Rates!J8," ")</f>
        <v>0.25</v>
      </c>
      <c r="G53" s="81">
        <f t="shared" si="12"/>
        <v>1</v>
      </c>
      <c r="H53" s="370">
        <f t="shared" ref="H53:H62" si="20">G53*F53</f>
        <v>0.25</v>
      </c>
      <c r="I53" s="91"/>
      <c r="J53" s="405">
        <f>IF(Rates!$L$1="E+ 2019",Rates!L8," ")</f>
        <v>0.25</v>
      </c>
      <c r="K53" s="81">
        <f t="shared" si="13"/>
        <v>1</v>
      </c>
      <c r="L53" s="148">
        <f t="shared" ref="L53:L62" si="21">K53*J53</f>
        <v>0.25</v>
      </c>
      <c r="M53" s="91"/>
      <c r="N53" s="84">
        <f t="shared" si="2"/>
        <v>0</v>
      </c>
      <c r="O53" s="85">
        <f>IF(OR(H53=0,L53=0),"",(N53/H53))</f>
        <v>0</v>
      </c>
      <c r="Q53" s="150"/>
      <c r="R53" s="224"/>
      <c r="S53" s="151"/>
      <c r="T53" s="87"/>
      <c r="U53" s="89"/>
      <c r="V53" s="90"/>
      <c r="W53" s="69"/>
      <c r="X53" s="150"/>
      <c r="Y53" s="224"/>
      <c r="Z53" s="151"/>
      <c r="AA53" s="87"/>
      <c r="AB53" s="89"/>
      <c r="AC53" s="90"/>
      <c r="AD53" s="69"/>
      <c r="AE53" s="150"/>
      <c r="AF53" s="224"/>
      <c r="AG53" s="151"/>
      <c r="AH53" s="87"/>
      <c r="AI53" s="89"/>
      <c r="AJ53" s="90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</row>
    <row r="54" spans="1:49" x14ac:dyDescent="0.25">
      <c r="A54" s="1"/>
      <c r="B54" s="271" t="str">
        <f>IF(Rates!D9=$A$53,Rates!B9," ")</f>
        <v xml:space="preserve">Wholesale Market Service Rate </v>
      </c>
      <c r="C54" s="78"/>
      <c r="D54" s="271" t="str">
        <f>IF(Rates!D9=$A$53,Rates!E9," ")</f>
        <v>kWh</v>
      </c>
      <c r="E54" s="79"/>
      <c r="F54" s="235">
        <f>IF(Rates!$J$1="BRT 2018",Rates!J9," ")</f>
        <v>3.2000000000000002E-3</v>
      </c>
      <c r="G54" s="225">
        <f>$F$19*(1+$F$76)</f>
        <v>20990.000000000004</v>
      </c>
      <c r="H54" s="148">
        <f t="shared" si="20"/>
        <v>67.168000000000021</v>
      </c>
      <c r="I54" s="91"/>
      <c r="J54" s="235">
        <f>IF(Rates!$L$1="E+ 2019",Rates!L9," ")</f>
        <v>3.2000000000000002E-3</v>
      </c>
      <c r="K54" s="225">
        <f>$F$19*(1+$J$76)</f>
        <v>20613.692998880539</v>
      </c>
      <c r="L54" s="148">
        <f t="shared" si="21"/>
        <v>65.963817596417726</v>
      </c>
      <c r="M54" s="91"/>
      <c r="N54" s="84">
        <f t="shared" si="2"/>
        <v>-1.2041824035822941</v>
      </c>
      <c r="O54" s="85">
        <f t="shared" ref="O54:O73" si="22">IF(OR(H54=0,L54=0),"",(N54/H54))</f>
        <v>-1.7927918109550585E-2</v>
      </c>
      <c r="Q54" s="150"/>
      <c r="R54" s="224"/>
      <c r="S54" s="151"/>
      <c r="T54" s="87"/>
      <c r="U54" s="89"/>
      <c r="V54" s="90"/>
      <c r="W54" s="69"/>
      <c r="X54" s="150"/>
      <c r="Y54" s="224"/>
      <c r="Z54" s="151"/>
      <c r="AA54" s="87"/>
      <c r="AB54" s="89"/>
      <c r="AC54" s="90"/>
      <c r="AD54" s="69"/>
      <c r="AE54" s="150"/>
      <c r="AF54" s="224"/>
      <c r="AG54" s="151"/>
      <c r="AH54" s="87"/>
      <c r="AI54" s="89"/>
      <c r="AJ54" s="90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</row>
    <row r="55" spans="1:49" x14ac:dyDescent="0.25">
      <c r="A55" s="1"/>
      <c r="B55" s="271" t="str">
        <f>IF(Rates!D10=$A$53,Rates!B10," ")</f>
        <v>Capacity Based Rcovery(CBR) - Class B Customers</v>
      </c>
      <c r="C55" s="78"/>
      <c r="D55" s="271" t="str">
        <f>IF(Rates!D10=$A$53,Rates!E10," ")</f>
        <v>kWh</v>
      </c>
      <c r="E55" s="79"/>
      <c r="F55" s="235">
        <f>IF(Rates!$J$1="BRT 2018",Rates!J10," ")</f>
        <v>4.0000000000000002E-4</v>
      </c>
      <c r="G55" s="225">
        <f t="shared" ref="G55:G56" si="23">$F$19*(1+$F$76)</f>
        <v>20990.000000000004</v>
      </c>
      <c r="H55" s="148">
        <f t="shared" si="20"/>
        <v>8.3960000000000026</v>
      </c>
      <c r="I55" s="91"/>
      <c r="J55" s="235">
        <f>IF(Rates!$L$1="E+ 2019",Rates!L10," ")</f>
        <v>4.0000000000000002E-4</v>
      </c>
      <c r="K55" s="225">
        <f t="shared" ref="K55:K56" si="24">$F$19*(1+$J$76)</f>
        <v>20613.692998880539</v>
      </c>
      <c r="L55" s="148">
        <f t="shared" si="21"/>
        <v>8.2454771995522158</v>
      </c>
      <c r="M55" s="91"/>
      <c r="N55" s="84">
        <f t="shared" si="2"/>
        <v>-0.15052280044778676</v>
      </c>
      <c r="O55" s="85">
        <f t="shared" si="22"/>
        <v>-1.7927918109550585E-2</v>
      </c>
      <c r="Q55" s="150"/>
      <c r="R55" s="224"/>
      <c r="S55" s="151"/>
      <c r="T55" s="87"/>
      <c r="U55" s="89"/>
      <c r="V55" s="90"/>
      <c r="W55" s="69"/>
      <c r="X55" s="150"/>
      <c r="Y55" s="224"/>
      <c r="Z55" s="151"/>
      <c r="AA55" s="87"/>
      <c r="AB55" s="89"/>
      <c r="AC55" s="90"/>
      <c r="AD55" s="69"/>
      <c r="AE55" s="150"/>
      <c r="AF55" s="224"/>
      <c r="AG55" s="151"/>
      <c r="AH55" s="87"/>
      <c r="AI55" s="89"/>
      <c r="AJ55" s="90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</row>
    <row r="56" spans="1:49" x14ac:dyDescent="0.25">
      <c r="A56" s="1"/>
      <c r="B56" s="271" t="str">
        <f>IF(Rates!D11=$A$53,Rates!B11," ")</f>
        <v xml:space="preserve">Rural Rate Protection Charge </v>
      </c>
      <c r="C56" s="78"/>
      <c r="D56" s="271" t="str">
        <f>IF(Rates!D11=$A$53,Rates!E11," ")</f>
        <v>kWh</v>
      </c>
      <c r="E56" s="79"/>
      <c r="F56" s="235">
        <f>IF(Rates!$J$1="BRT 2018",Rates!J11," ")</f>
        <v>2.9999999999999997E-4</v>
      </c>
      <c r="G56" s="225">
        <f t="shared" si="23"/>
        <v>20990.000000000004</v>
      </c>
      <c r="H56" s="148">
        <f t="shared" si="20"/>
        <v>6.2970000000000006</v>
      </c>
      <c r="I56" s="91"/>
      <c r="J56" s="235">
        <f>IF(Rates!$L$1="E+ 2019",Rates!L11," ")</f>
        <v>2.9999999999999997E-4</v>
      </c>
      <c r="K56" s="225">
        <f t="shared" si="24"/>
        <v>20613.692998880539</v>
      </c>
      <c r="L56" s="148">
        <f t="shared" si="21"/>
        <v>6.184107899664161</v>
      </c>
      <c r="M56" s="91"/>
      <c r="N56" s="84">
        <f t="shared" si="2"/>
        <v>-0.11289210033583963</v>
      </c>
      <c r="O56" s="85">
        <f t="shared" si="22"/>
        <v>-1.7927918109550519E-2</v>
      </c>
      <c r="Q56" s="153"/>
      <c r="R56" s="87"/>
      <c r="S56" s="151"/>
      <c r="T56" s="87"/>
      <c r="U56" s="89"/>
      <c r="V56" s="90"/>
      <c r="W56" s="69"/>
      <c r="X56" s="153"/>
      <c r="Y56" s="87"/>
      <c r="Z56" s="151"/>
      <c r="AA56" s="87"/>
      <c r="AB56" s="89"/>
      <c r="AC56" s="90"/>
      <c r="AD56" s="69"/>
      <c r="AE56" s="153"/>
      <c r="AF56" s="87"/>
      <c r="AG56" s="151"/>
      <c r="AH56" s="87"/>
      <c r="AI56" s="89"/>
      <c r="AJ56" s="90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</row>
    <row r="57" spans="1:49" x14ac:dyDescent="0.25">
      <c r="A57" s="1"/>
      <c r="B57" s="271" t="str">
        <f>IF(Rates!D12=$A$53,Rates!B12," ")</f>
        <v>Debt Retirement Charge</v>
      </c>
      <c r="C57" s="78"/>
      <c r="D57" s="271" t="str">
        <f>IF(Rates!D12=$A$53,Rates!E12," ")</f>
        <v>kWh</v>
      </c>
      <c r="E57" s="79"/>
      <c r="F57" s="235">
        <f>IF(Rates!$J$1="BRT 2018",Rates!J12," ")</f>
        <v>7.0000000000000001E-3</v>
      </c>
      <c r="G57" s="225">
        <f>$F$19</f>
        <v>20000</v>
      </c>
      <c r="H57" s="148">
        <f t="shared" si="20"/>
        <v>140</v>
      </c>
      <c r="I57" s="91"/>
      <c r="J57" s="235">
        <f>IF(Rates!$L$1="E+ 2019",Rates!L12," ")</f>
        <v>7.0000000000000001E-3</v>
      </c>
      <c r="K57" s="225">
        <f>F19</f>
        <v>20000</v>
      </c>
      <c r="L57" s="148">
        <f t="shared" si="21"/>
        <v>140</v>
      </c>
      <c r="M57" s="91"/>
      <c r="N57" s="84">
        <f t="shared" si="2"/>
        <v>0</v>
      </c>
      <c r="O57" s="85">
        <f t="shared" si="22"/>
        <v>0</v>
      </c>
      <c r="Q57" s="153"/>
      <c r="R57" s="87"/>
      <c r="S57" s="151"/>
      <c r="T57" s="87"/>
      <c r="U57" s="89"/>
      <c r="V57" s="90"/>
      <c r="W57" s="69"/>
      <c r="X57" s="153"/>
      <c r="Y57" s="87"/>
      <c r="Z57" s="151"/>
      <c r="AA57" s="87"/>
      <c r="AB57" s="89"/>
      <c r="AC57" s="90"/>
      <c r="AD57" s="69"/>
      <c r="AE57" s="153"/>
      <c r="AF57" s="87"/>
      <c r="AG57" s="151"/>
      <c r="AH57" s="87"/>
      <c r="AI57" s="89"/>
      <c r="AJ57" s="90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</row>
    <row r="58" spans="1:49" x14ac:dyDescent="0.25">
      <c r="A58" s="6" t="s">
        <v>14</v>
      </c>
      <c r="B58" s="271" t="str">
        <f>IF(Rates!D2=$A$58,Rates!B2," ")</f>
        <v>TOU - Off Peak</v>
      </c>
      <c r="C58" s="78"/>
      <c r="D58" s="271" t="str">
        <f>IF(Rates!D2=$A$58,Rates!E2," ")</f>
        <v>kWh</v>
      </c>
      <c r="E58" s="79"/>
      <c r="F58" s="235">
        <f>IF(Rates!$J$1="BRT 2018",Rates!J2," ")</f>
        <v>6.5000000000000002E-2</v>
      </c>
      <c r="G58" s="226">
        <f>IF($G$61=0,0.65*($F$19*(1+$F$76)),0)</f>
        <v>0</v>
      </c>
      <c r="H58" s="148">
        <f t="shared" si="20"/>
        <v>0</v>
      </c>
      <c r="I58" s="91"/>
      <c r="J58" s="152">
        <f>IF(Rates!$L$1="E+ 2019",Rates!L2," ")</f>
        <v>6.5000000000000002E-2</v>
      </c>
      <c r="K58" s="226">
        <f>IF($K$61=0,0.65*$F$19,0)</f>
        <v>0</v>
      </c>
      <c r="L58" s="148">
        <f t="shared" si="21"/>
        <v>0</v>
      </c>
      <c r="M58" s="91"/>
      <c r="N58" s="84">
        <f t="shared" si="2"/>
        <v>0</v>
      </c>
      <c r="O58" s="85" t="str">
        <f t="shared" si="22"/>
        <v/>
      </c>
      <c r="Q58" s="150"/>
      <c r="R58" s="224"/>
      <c r="S58" s="151"/>
      <c r="T58" s="87"/>
      <c r="U58" s="89"/>
      <c r="V58" s="90"/>
      <c r="W58" s="69"/>
      <c r="X58" s="150"/>
      <c r="Y58" s="224"/>
      <c r="Z58" s="151"/>
      <c r="AA58" s="87"/>
      <c r="AB58" s="89"/>
      <c r="AC58" s="90"/>
      <c r="AD58" s="69"/>
      <c r="AE58" s="150"/>
      <c r="AF58" s="224"/>
      <c r="AG58" s="151"/>
      <c r="AH58" s="87"/>
      <c r="AI58" s="89"/>
      <c r="AJ58" s="90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</row>
    <row r="59" spans="1:49" x14ac:dyDescent="0.25">
      <c r="A59" s="1"/>
      <c r="B59" s="271" t="str">
        <f>IF(Rates!D3=$A$58,Rates!B3," ")</f>
        <v>TOU - Mid Peak</v>
      </c>
      <c r="C59" s="78"/>
      <c r="D59" s="271" t="str">
        <f>IF(Rates!D3=$A$58,Rates!E3," ")</f>
        <v>kWh</v>
      </c>
      <c r="E59" s="79"/>
      <c r="F59" s="235">
        <f>IF(Rates!$J$1="BRT 2018",Rates!J3," ")</f>
        <v>9.5000000000000001E-2</v>
      </c>
      <c r="G59" s="226">
        <f>IF($G$61=0,0.17*($F$19*(1+$F$76)),0)</f>
        <v>0</v>
      </c>
      <c r="H59" s="148">
        <f t="shared" si="20"/>
        <v>0</v>
      </c>
      <c r="I59" s="91"/>
      <c r="J59" s="147">
        <f t="shared" ref="J59:J62" si="25">+F59</f>
        <v>9.5000000000000001E-2</v>
      </c>
      <c r="K59" s="226">
        <f>IF($K$61=0,0.17*$F$19,0)</f>
        <v>0</v>
      </c>
      <c r="L59" s="148">
        <f t="shared" si="21"/>
        <v>0</v>
      </c>
      <c r="M59" s="91"/>
      <c r="N59" s="84">
        <f t="shared" si="2"/>
        <v>0</v>
      </c>
      <c r="O59" s="85" t="str">
        <f t="shared" si="22"/>
        <v/>
      </c>
      <c r="Q59" s="157"/>
      <c r="R59" s="227"/>
      <c r="S59" s="151"/>
      <c r="T59" s="87"/>
      <c r="U59" s="89"/>
      <c r="V59" s="90"/>
      <c r="W59" s="69"/>
      <c r="X59" s="157"/>
      <c r="Y59" s="227"/>
      <c r="Z59" s="151"/>
      <c r="AA59" s="87"/>
      <c r="AB59" s="89"/>
      <c r="AC59" s="90"/>
      <c r="AD59" s="69"/>
      <c r="AE59" s="157"/>
      <c r="AF59" s="227"/>
      <c r="AG59" s="151"/>
      <c r="AH59" s="87"/>
      <c r="AI59" s="89"/>
      <c r="AJ59" s="90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</row>
    <row r="60" spans="1:49" x14ac:dyDescent="0.25">
      <c r="A60" s="1"/>
      <c r="B60" s="271" t="str">
        <f>IF(Rates!D4=$A$58,Rates!B4," ")</f>
        <v>TOU - On Peak</v>
      </c>
      <c r="C60" s="78"/>
      <c r="D60" s="271" t="str">
        <f>IF(Rates!D4=$A$58,Rates!E4," ")</f>
        <v>kWh</v>
      </c>
      <c r="E60" s="79"/>
      <c r="F60" s="235">
        <f>IF(Rates!$J$1="BRT 2018",Rates!J4," ")</f>
        <v>0.13200000000000001</v>
      </c>
      <c r="G60" s="226">
        <f>IF($G$61=0,0.18*($F$19*(1+$F$76)),0)</f>
        <v>0</v>
      </c>
      <c r="H60" s="148">
        <f t="shared" si="20"/>
        <v>0</v>
      </c>
      <c r="I60" s="91"/>
      <c r="J60" s="147">
        <f t="shared" si="25"/>
        <v>0.13200000000000001</v>
      </c>
      <c r="K60" s="226">
        <f>IF($K$61=0,0.18*$F$19,0)</f>
        <v>0</v>
      </c>
      <c r="L60" s="148">
        <f t="shared" si="21"/>
        <v>0</v>
      </c>
      <c r="M60" s="91"/>
      <c r="N60" s="84">
        <f t="shared" si="2"/>
        <v>0</v>
      </c>
      <c r="O60" s="85" t="str">
        <f t="shared" si="22"/>
        <v/>
      </c>
      <c r="Q60" s="157"/>
      <c r="R60" s="227"/>
      <c r="S60" s="151"/>
      <c r="T60" s="87"/>
      <c r="U60" s="89"/>
      <c r="V60" s="90"/>
      <c r="W60" s="69"/>
      <c r="X60" s="157"/>
      <c r="Y60" s="227"/>
      <c r="Z60" s="151"/>
      <c r="AA60" s="87"/>
      <c r="AB60" s="89"/>
      <c r="AC60" s="90"/>
      <c r="AD60" s="69"/>
      <c r="AE60" s="157"/>
      <c r="AF60" s="227"/>
      <c r="AG60" s="151"/>
      <c r="AH60" s="87"/>
      <c r="AI60" s="89"/>
      <c r="AJ60" s="90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</row>
    <row r="61" spans="1:49" x14ac:dyDescent="0.25">
      <c r="A61" s="1"/>
      <c r="B61" s="271" t="str">
        <f>IF(Rates!D5=$A$58,Rates!B5," ")</f>
        <v>Commodity</v>
      </c>
      <c r="C61" s="160"/>
      <c r="D61" s="271" t="str">
        <f>IF(Rates!D5=$A$58,Rates!E5," ")</f>
        <v>kWh</v>
      </c>
      <c r="E61" s="161"/>
      <c r="F61" s="235">
        <f>IF(Rates!$J$1="BRT 2018",Rates!J5," ")</f>
        <v>1.8855833333333332E-2</v>
      </c>
      <c r="G61" s="225">
        <f t="shared" ref="G61:G62" si="26">$F$19*(1+$F$76)</f>
        <v>20990.000000000004</v>
      </c>
      <c r="H61" s="148">
        <f t="shared" si="20"/>
        <v>395.78394166666669</v>
      </c>
      <c r="I61" s="278"/>
      <c r="J61" s="147">
        <f t="shared" si="25"/>
        <v>1.8855833333333332E-2</v>
      </c>
      <c r="K61" s="225">
        <f t="shared" ref="K61:K62" si="27">$F$19*(1+$J$76)</f>
        <v>20613.692998880539</v>
      </c>
      <c r="L61" s="148">
        <f t="shared" si="21"/>
        <v>388.68835957139157</v>
      </c>
      <c r="M61" s="278"/>
      <c r="N61" s="84">
        <f t="shared" si="2"/>
        <v>-7.0955820952751196</v>
      </c>
      <c r="O61" s="85">
        <f t="shared" si="22"/>
        <v>-1.7927918109550519E-2</v>
      </c>
      <c r="Q61" s="157"/>
      <c r="R61" s="227"/>
      <c r="S61" s="151"/>
      <c r="T61" s="166"/>
      <c r="U61" s="89"/>
      <c r="V61" s="90"/>
      <c r="W61" s="69"/>
      <c r="X61" s="157"/>
      <c r="Y61" s="227"/>
      <c r="Z61" s="151"/>
      <c r="AA61" s="166"/>
      <c r="AB61" s="89"/>
      <c r="AC61" s="90"/>
      <c r="AD61" s="69"/>
      <c r="AE61" s="157"/>
      <c r="AF61" s="227"/>
      <c r="AG61" s="151"/>
      <c r="AH61" s="166"/>
      <c r="AI61" s="89"/>
      <c r="AJ61" s="90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</row>
    <row r="62" spans="1:49" ht="15.75" thickBot="1" x14ac:dyDescent="0.3">
      <c r="A62" s="159"/>
      <c r="B62" s="271" t="str">
        <f>IF(Rates!D6=$A$58,Rates!B6," ")</f>
        <v>Global Adjustment</v>
      </c>
      <c r="C62" s="160"/>
      <c r="D62" s="271" t="str">
        <f>IF(Rates!D6=$A$58,Rates!E6," ")</f>
        <v>kWh</v>
      </c>
      <c r="E62" s="161"/>
      <c r="F62" s="235">
        <f>IF(Rates!$J$1="BRT 2018",Rates!J6," ")</f>
        <v>0.10303000000000001</v>
      </c>
      <c r="G62" s="225">
        <f t="shared" si="26"/>
        <v>20990.000000000004</v>
      </c>
      <c r="H62" s="148">
        <f t="shared" si="20"/>
        <v>2162.5997000000007</v>
      </c>
      <c r="I62" s="278"/>
      <c r="J62" s="169">
        <f t="shared" si="25"/>
        <v>0.10303000000000001</v>
      </c>
      <c r="K62" s="225">
        <f t="shared" si="27"/>
        <v>20613.692998880539</v>
      </c>
      <c r="L62" s="148">
        <f t="shared" si="21"/>
        <v>2123.8287896746619</v>
      </c>
      <c r="M62" s="278"/>
      <c r="N62" s="84">
        <f t="shared" si="2"/>
        <v>-38.770910325338718</v>
      </c>
      <c r="O62" s="85">
        <f t="shared" si="22"/>
        <v>-1.7927918109550606E-2</v>
      </c>
      <c r="Q62" s="157"/>
      <c r="R62" s="227"/>
      <c r="S62" s="151"/>
      <c r="T62" s="166"/>
      <c r="U62" s="89"/>
      <c r="V62" s="90"/>
      <c r="W62" s="69"/>
      <c r="X62" s="157"/>
      <c r="Y62" s="227"/>
      <c r="Z62" s="151"/>
      <c r="AA62" s="166"/>
      <c r="AB62" s="89"/>
      <c r="AC62" s="90"/>
      <c r="AD62" s="69"/>
      <c r="AE62" s="157"/>
      <c r="AF62" s="227"/>
      <c r="AG62" s="151"/>
      <c r="AH62" s="166"/>
      <c r="AI62" s="89"/>
      <c r="AJ62" s="90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</row>
    <row r="63" spans="1:49" ht="15.75" thickBot="1" x14ac:dyDescent="0.3">
      <c r="A63" s="159"/>
      <c r="B63" s="211"/>
      <c r="C63" s="212"/>
      <c r="D63" s="213"/>
      <c r="E63" s="212"/>
      <c r="F63" s="266"/>
      <c r="G63" s="214"/>
      <c r="H63" s="267"/>
      <c r="I63" s="87"/>
      <c r="J63" s="266"/>
      <c r="K63" s="216"/>
      <c r="L63" s="267"/>
      <c r="M63" s="87"/>
      <c r="N63" s="217"/>
      <c r="O63" s="205"/>
      <c r="Q63" s="157"/>
      <c r="R63" s="120"/>
      <c r="S63" s="151"/>
      <c r="T63" s="87"/>
      <c r="U63" s="89"/>
      <c r="V63" s="174"/>
      <c r="W63" s="69"/>
      <c r="X63" s="157"/>
      <c r="Y63" s="120"/>
      <c r="Z63" s="151"/>
      <c r="AA63" s="87"/>
      <c r="AB63" s="89"/>
      <c r="AC63" s="174"/>
      <c r="AD63" s="69"/>
      <c r="AE63" s="157"/>
      <c r="AF63" s="120"/>
      <c r="AG63" s="151"/>
      <c r="AH63" s="87"/>
      <c r="AI63" s="89"/>
      <c r="AJ63" s="174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</row>
    <row r="64" spans="1:49" x14ac:dyDescent="0.25">
      <c r="A64" s="159"/>
      <c r="B64" s="175" t="s">
        <v>97</v>
      </c>
      <c r="C64" s="78"/>
      <c r="D64" s="78"/>
      <c r="E64" s="78"/>
      <c r="F64" s="176"/>
      <c r="G64" s="177"/>
      <c r="H64" s="179">
        <f>SUM(H53:H57,H52,H61,,H62,)</f>
        <v>3512.0444738233537</v>
      </c>
      <c r="I64" s="146"/>
      <c r="J64" s="178"/>
      <c r="K64" s="178"/>
      <c r="L64" s="179">
        <f>SUM(L53:L57,L52,L61,,L62,)</f>
        <v>3441.8778448471976</v>
      </c>
      <c r="M64" s="146"/>
      <c r="N64" s="179">
        <f>L64-H64</f>
        <v>-70.166628976156062</v>
      </c>
      <c r="O64" s="180">
        <f t="shared" si="22"/>
        <v>-1.9978855478378903E-2</v>
      </c>
      <c r="Q64" s="181"/>
      <c r="R64" s="181"/>
      <c r="S64" s="121"/>
      <c r="T64" s="146"/>
      <c r="U64" s="89"/>
      <c r="V64" s="90"/>
      <c r="W64" s="69"/>
      <c r="X64" s="181"/>
      <c r="Y64" s="181"/>
      <c r="Z64" s="121"/>
      <c r="AA64" s="146"/>
      <c r="AB64" s="89"/>
      <c r="AC64" s="90"/>
      <c r="AD64" s="69"/>
      <c r="AE64" s="181"/>
      <c r="AF64" s="181"/>
      <c r="AG64" s="121"/>
      <c r="AH64" s="146"/>
      <c r="AI64" s="89"/>
      <c r="AJ64" s="90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</row>
    <row r="65" spans="1:49" x14ac:dyDescent="0.25">
      <c r="A65" s="159"/>
      <c r="B65" s="182" t="s">
        <v>9</v>
      </c>
      <c r="C65" s="78"/>
      <c r="D65" s="78"/>
      <c r="E65" s="78"/>
      <c r="F65" s="183">
        <v>0.13</v>
      </c>
      <c r="G65" s="87"/>
      <c r="H65" s="188">
        <f>H64*F65</f>
        <v>456.56578159703599</v>
      </c>
      <c r="I65" s="187"/>
      <c r="J65" s="185">
        <v>0.13</v>
      </c>
      <c r="K65" s="184"/>
      <c r="L65" s="188">
        <f>L64*J65</f>
        <v>447.44411983013572</v>
      </c>
      <c r="M65" s="187"/>
      <c r="N65" s="188">
        <f>L65-H65</f>
        <v>-9.1216617669002744</v>
      </c>
      <c r="O65" s="85">
        <f t="shared" si="22"/>
        <v>-1.9978855478378871E-2</v>
      </c>
      <c r="Q65" s="189"/>
      <c r="R65" s="187"/>
      <c r="S65" s="190"/>
      <c r="T65" s="187"/>
      <c r="U65" s="89"/>
      <c r="V65" s="90"/>
      <c r="W65" s="69"/>
      <c r="X65" s="189"/>
      <c r="Y65" s="187"/>
      <c r="Z65" s="190"/>
      <c r="AA65" s="187"/>
      <c r="AB65" s="89"/>
      <c r="AC65" s="90"/>
      <c r="AD65" s="69"/>
      <c r="AE65" s="189"/>
      <c r="AF65" s="187"/>
      <c r="AG65" s="190"/>
      <c r="AH65" s="187"/>
      <c r="AI65" s="89"/>
      <c r="AJ65" s="90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</row>
    <row r="66" spans="1:49" ht="15.75" thickBot="1" x14ac:dyDescent="0.3">
      <c r="A66" s="1"/>
      <c r="B66" s="515" t="s">
        <v>98</v>
      </c>
      <c r="C66" s="515"/>
      <c r="D66" s="515"/>
      <c r="E66" s="192"/>
      <c r="F66" s="218"/>
      <c r="G66" s="219"/>
      <c r="H66" s="222">
        <f>SUM(H64:H65)</f>
        <v>3968.6102554203899</v>
      </c>
      <c r="I66" s="146"/>
      <c r="J66" s="220"/>
      <c r="K66" s="220"/>
      <c r="L66" s="222">
        <f>SUM(L64:L65)</f>
        <v>3889.3219646773332</v>
      </c>
      <c r="M66" s="146"/>
      <c r="N66" s="222">
        <f>L66-H66</f>
        <v>-79.288290743056677</v>
      </c>
      <c r="O66" s="197">
        <f t="shared" si="22"/>
        <v>-1.9978855478378986E-2</v>
      </c>
      <c r="Q66" s="146"/>
      <c r="R66" s="146"/>
      <c r="S66" s="121"/>
      <c r="T66" s="146"/>
      <c r="U66" s="121"/>
      <c r="V66" s="223"/>
      <c r="W66" s="69"/>
      <c r="X66" s="146"/>
      <c r="Y66" s="146"/>
      <c r="Z66" s="121"/>
      <c r="AA66" s="146"/>
      <c r="AB66" s="121"/>
      <c r="AC66" s="223"/>
      <c r="AD66" s="69"/>
      <c r="AE66" s="146"/>
      <c r="AF66" s="146"/>
      <c r="AG66" s="121"/>
      <c r="AH66" s="146"/>
      <c r="AI66" s="121"/>
      <c r="AJ66" s="223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</row>
    <row r="67" spans="1:49" ht="15.75" thickBot="1" x14ac:dyDescent="0.3">
      <c r="A67" s="1"/>
      <c r="B67" s="198"/>
      <c r="C67" s="199"/>
      <c r="D67" s="200"/>
      <c r="E67" s="199"/>
      <c r="F67" s="266"/>
      <c r="G67" s="201"/>
      <c r="H67" s="267"/>
      <c r="I67" s="166"/>
      <c r="J67" s="266"/>
      <c r="K67" s="203"/>
      <c r="L67" s="267"/>
      <c r="M67" s="166"/>
      <c r="N67" s="204"/>
      <c r="O67" s="205"/>
      <c r="Q67" s="157"/>
      <c r="R67" s="206"/>
      <c r="S67" s="151"/>
      <c r="T67" s="166"/>
      <c r="U67" s="207"/>
      <c r="V67" s="174"/>
      <c r="W67" s="69"/>
      <c r="X67" s="157"/>
      <c r="Y67" s="206"/>
      <c r="Z67" s="151"/>
      <c r="AA67" s="166"/>
      <c r="AB67" s="207"/>
      <c r="AC67" s="174"/>
      <c r="AD67" s="69"/>
      <c r="AE67" s="157"/>
      <c r="AF67" s="206"/>
      <c r="AG67" s="151"/>
      <c r="AH67" s="166"/>
      <c r="AI67" s="207"/>
      <c r="AJ67" s="174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</row>
    <row r="68" spans="1:49" x14ac:dyDescent="0.25">
      <c r="A68" s="1"/>
      <c r="B68" s="236" t="s">
        <v>99</v>
      </c>
      <c r="C68" s="160"/>
      <c r="D68" s="160"/>
      <c r="E68" s="160"/>
      <c r="F68" s="237"/>
      <c r="G68" s="238"/>
      <c r="H68" s="241">
        <f>IF($G$58&gt;0,SUM(H52,H53:H60),0)</f>
        <v>0</v>
      </c>
      <c r="I68" s="240"/>
      <c r="J68" s="239"/>
      <c r="K68" s="239"/>
      <c r="L68" s="241">
        <f>IF($K$58&gt;0,SUM(L52,L53:L60),0)</f>
        <v>0</v>
      </c>
      <c r="M68" s="240"/>
      <c r="N68" s="241">
        <f t="shared" ref="N68:N73" si="28">L68-H68</f>
        <v>0</v>
      </c>
      <c r="O68" s="180" t="str">
        <f t="shared" si="22"/>
        <v/>
      </c>
      <c r="Q68" s="242"/>
      <c r="R68" s="242"/>
      <c r="S68" s="243"/>
      <c r="T68" s="240"/>
      <c r="U68" s="89"/>
      <c r="V68" s="90"/>
      <c r="W68" s="69"/>
      <c r="X68" s="242"/>
      <c r="Y68" s="242"/>
      <c r="Z68" s="243"/>
      <c r="AA68" s="240"/>
      <c r="AB68" s="89"/>
      <c r="AC68" s="90"/>
      <c r="AD68" s="69"/>
      <c r="AE68" s="242"/>
      <c r="AF68" s="242"/>
      <c r="AG68" s="243"/>
      <c r="AH68" s="240"/>
      <c r="AI68" s="89"/>
      <c r="AJ68" s="90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</row>
    <row r="69" spans="1:49" x14ac:dyDescent="0.25">
      <c r="A69" s="1"/>
      <c r="B69" s="244" t="s">
        <v>9</v>
      </c>
      <c r="C69" s="160"/>
      <c r="D69" s="160"/>
      <c r="E69" s="160"/>
      <c r="F69" s="245">
        <v>0.13</v>
      </c>
      <c r="G69" s="238"/>
      <c r="H69" s="250">
        <f>$H$68*F69</f>
        <v>0</v>
      </c>
      <c r="I69" s="249"/>
      <c r="J69" s="247">
        <v>0.13</v>
      </c>
      <c r="K69" s="248"/>
      <c r="L69" s="250">
        <f>$L$68*J69</f>
        <v>0</v>
      </c>
      <c r="M69" s="249"/>
      <c r="N69" s="250">
        <f t="shared" si="28"/>
        <v>0</v>
      </c>
      <c r="O69" s="85" t="str">
        <f t="shared" si="22"/>
        <v/>
      </c>
      <c r="Q69" s="251"/>
      <c r="R69" s="252"/>
      <c r="S69" s="253"/>
      <c r="T69" s="249"/>
      <c r="U69" s="89"/>
      <c r="V69" s="90"/>
      <c r="W69" s="69"/>
      <c r="X69" s="251"/>
      <c r="Y69" s="252"/>
      <c r="Z69" s="253"/>
      <c r="AA69" s="249"/>
      <c r="AB69" s="89"/>
      <c r="AC69" s="90"/>
      <c r="AD69" s="69"/>
      <c r="AE69" s="251"/>
      <c r="AF69" s="252"/>
      <c r="AG69" s="253"/>
      <c r="AH69" s="249"/>
      <c r="AI69" s="89"/>
      <c r="AJ69" s="90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</row>
    <row r="70" spans="1:49" x14ac:dyDescent="0.25">
      <c r="A70" s="1"/>
      <c r="B70" s="182" t="s">
        <v>106</v>
      </c>
      <c r="C70" s="78"/>
      <c r="D70" s="78"/>
      <c r="E70" s="78"/>
      <c r="F70" s="183">
        <v>-0.05</v>
      </c>
      <c r="G70" s="87"/>
      <c r="H70" s="188">
        <f>$H$68*F70</f>
        <v>0</v>
      </c>
      <c r="I70" s="187"/>
      <c r="J70" s="183">
        <v>-0.05</v>
      </c>
      <c r="K70" s="184"/>
      <c r="L70" s="188">
        <f>$L$68*J70</f>
        <v>0</v>
      </c>
      <c r="M70" s="187"/>
      <c r="N70" s="188">
        <f t="shared" si="28"/>
        <v>0</v>
      </c>
      <c r="O70" s="85" t="str">
        <f t="shared" si="22"/>
        <v/>
      </c>
      <c r="Q70" s="189"/>
      <c r="R70" s="187"/>
      <c r="S70" s="190"/>
      <c r="T70" s="187"/>
      <c r="U70" s="89"/>
      <c r="V70" s="90"/>
      <c r="W70" s="69"/>
      <c r="X70" s="189"/>
      <c r="Y70" s="187"/>
      <c r="Z70" s="253"/>
      <c r="AA70" s="249"/>
      <c r="AB70" s="89"/>
      <c r="AC70" s="90"/>
      <c r="AD70" s="69"/>
      <c r="AE70" s="251"/>
      <c r="AF70" s="252"/>
      <c r="AG70" s="253"/>
      <c r="AH70" s="249"/>
      <c r="AI70" s="89"/>
      <c r="AJ70" s="90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</row>
    <row r="71" spans="1:49" x14ac:dyDescent="0.25">
      <c r="A71" s="159"/>
      <c r="B71" s="254" t="s">
        <v>100</v>
      </c>
      <c r="C71" s="160"/>
      <c r="D71" s="160"/>
      <c r="E71" s="160"/>
      <c r="F71" s="255"/>
      <c r="G71" s="166"/>
      <c r="H71" s="250">
        <f>SUM(H68:H70)</f>
        <v>0</v>
      </c>
      <c r="I71" s="249"/>
      <c r="J71" s="246"/>
      <c r="K71" s="246"/>
      <c r="L71" s="250">
        <f>SUM(L68:L70)</f>
        <v>0</v>
      </c>
      <c r="M71" s="249"/>
      <c r="N71" s="250">
        <f t="shared" si="28"/>
        <v>0</v>
      </c>
      <c r="O71" s="85" t="str">
        <f t="shared" si="22"/>
        <v/>
      </c>
      <c r="Q71" s="249"/>
      <c r="R71" s="249"/>
      <c r="S71" s="253"/>
      <c r="T71" s="249"/>
      <c r="U71" s="89"/>
      <c r="V71" s="90"/>
      <c r="W71" s="69"/>
      <c r="X71" s="249"/>
      <c r="Y71" s="249"/>
      <c r="Z71" s="253"/>
      <c r="AA71" s="249"/>
      <c r="AB71" s="89"/>
      <c r="AC71" s="90"/>
      <c r="AD71" s="69"/>
      <c r="AE71" s="249"/>
      <c r="AF71" s="249"/>
      <c r="AG71" s="253"/>
      <c r="AH71" s="249"/>
      <c r="AI71" s="89"/>
      <c r="AJ71" s="90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</row>
    <row r="72" spans="1:49" x14ac:dyDescent="0.25">
      <c r="A72" s="159"/>
      <c r="B72" s="516" t="s">
        <v>101</v>
      </c>
      <c r="C72" s="516"/>
      <c r="D72" s="516"/>
      <c r="E72" s="160"/>
      <c r="F72" s="255"/>
      <c r="G72" s="166"/>
      <c r="H72" s="256">
        <f>ROUND(-H71*0%,2)</f>
        <v>0</v>
      </c>
      <c r="I72" s="249"/>
      <c r="J72" s="246"/>
      <c r="K72" s="246"/>
      <c r="L72" s="256">
        <f>ROUND(-L71*0%,2)</f>
        <v>0</v>
      </c>
      <c r="M72" s="249"/>
      <c r="N72" s="256">
        <f t="shared" si="28"/>
        <v>0</v>
      </c>
      <c r="O72" s="257" t="str">
        <f>IF(OR(H72=0,L72=0),"",(N72/H72))</f>
        <v/>
      </c>
      <c r="Q72" s="249"/>
      <c r="R72" s="249"/>
      <c r="S72" s="258"/>
      <c r="T72" s="249"/>
      <c r="U72" s="259"/>
      <c r="V72" s="90"/>
      <c r="W72" s="69"/>
      <c r="X72" s="249"/>
      <c r="Y72" s="249"/>
      <c r="Z72" s="258"/>
      <c r="AA72" s="249"/>
      <c r="AB72" s="259"/>
      <c r="AC72" s="90"/>
      <c r="AD72" s="69"/>
      <c r="AE72" s="249"/>
      <c r="AF72" s="249"/>
      <c r="AG72" s="258"/>
      <c r="AH72" s="249"/>
      <c r="AI72" s="259"/>
      <c r="AJ72" s="90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</row>
    <row r="73" spans="1:49" ht="15.75" thickBot="1" x14ac:dyDescent="0.3">
      <c r="A73" s="159"/>
      <c r="B73" s="513" t="s">
        <v>102</v>
      </c>
      <c r="C73" s="513"/>
      <c r="D73" s="513"/>
      <c r="E73" s="260"/>
      <c r="F73" s="261"/>
      <c r="G73" s="262"/>
      <c r="H73" s="265">
        <f>SUM(H71:H72)</f>
        <v>0</v>
      </c>
      <c r="I73" s="240"/>
      <c r="J73" s="263"/>
      <c r="K73" s="263"/>
      <c r="L73" s="265">
        <f>SUM(L71:L72)</f>
        <v>0</v>
      </c>
      <c r="M73" s="240"/>
      <c r="N73" s="265">
        <f t="shared" si="28"/>
        <v>0</v>
      </c>
      <c r="O73" s="197" t="str">
        <f t="shared" si="22"/>
        <v/>
      </c>
      <c r="Q73" s="240"/>
      <c r="R73" s="240"/>
      <c r="S73" s="243"/>
      <c r="T73" s="240"/>
      <c r="U73" s="121"/>
      <c r="V73" s="223"/>
      <c r="W73" s="69"/>
      <c r="X73" s="240"/>
      <c r="Y73" s="240"/>
      <c r="Z73" s="243"/>
      <c r="AA73" s="240"/>
      <c r="AB73" s="121"/>
      <c r="AC73" s="223"/>
      <c r="AD73" s="69"/>
      <c r="AE73" s="240"/>
      <c r="AF73" s="240"/>
      <c r="AG73" s="243"/>
      <c r="AH73" s="240"/>
      <c r="AI73" s="121"/>
      <c r="AJ73" s="223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</row>
    <row r="74" spans="1:49" ht="15.75" thickBot="1" x14ac:dyDescent="0.3">
      <c r="A74" s="159"/>
      <c r="B74" s="198"/>
      <c r="C74" s="199"/>
      <c r="D74" s="200"/>
      <c r="E74" s="199"/>
      <c r="F74" s="390"/>
      <c r="G74" s="400"/>
      <c r="H74" s="401"/>
      <c r="I74" s="166"/>
      <c r="J74" s="390"/>
      <c r="K74" s="391"/>
      <c r="L74" s="392"/>
      <c r="M74" s="166"/>
      <c r="N74" s="268"/>
      <c r="O74" s="205"/>
      <c r="Q74" s="157"/>
      <c r="R74" s="206"/>
      <c r="S74" s="151"/>
      <c r="T74" s="166"/>
      <c r="U74" s="207"/>
      <c r="V74" s="174"/>
      <c r="W74" s="69"/>
      <c r="X74" s="157"/>
      <c r="Y74" s="206"/>
      <c r="Z74" s="151"/>
      <c r="AA74" s="166"/>
      <c r="AB74" s="207"/>
      <c r="AC74" s="174"/>
      <c r="AD74" s="69"/>
      <c r="AE74" s="157"/>
      <c r="AF74" s="206"/>
      <c r="AG74" s="151"/>
      <c r="AH74" s="166"/>
      <c r="AI74" s="207"/>
      <c r="AJ74" s="174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</row>
    <row r="75" spans="1:49" x14ac:dyDescent="0.25">
      <c r="A75" s="159"/>
      <c r="B75" s="1"/>
      <c r="C75" s="1"/>
      <c r="D75" s="1"/>
      <c r="E75" s="1"/>
      <c r="F75" s="1"/>
      <c r="G75" s="1"/>
      <c r="H75" s="67"/>
      <c r="I75" s="3"/>
      <c r="J75" s="1"/>
      <c r="K75" s="1"/>
      <c r="L75" s="67"/>
      <c r="M75" s="3"/>
      <c r="N75" s="1"/>
      <c r="O75" s="1"/>
      <c r="Q75" s="2"/>
      <c r="R75" s="2"/>
      <c r="S75" s="208"/>
      <c r="T75" s="2"/>
      <c r="U75" s="2"/>
      <c r="V75" s="2"/>
      <c r="W75" s="69"/>
      <c r="X75" s="2"/>
      <c r="Y75" s="2"/>
      <c r="Z75" s="208"/>
      <c r="AA75" s="2"/>
      <c r="AB75" s="2"/>
      <c r="AC75" s="2"/>
      <c r="AD75" s="69"/>
      <c r="AE75" s="2"/>
      <c r="AF75" s="2"/>
      <c r="AG75" s="208"/>
      <c r="AH75" s="2"/>
      <c r="AI75" s="2"/>
      <c r="AJ75" s="2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</row>
    <row r="76" spans="1:49" x14ac:dyDescent="0.25">
      <c r="A76" s="159"/>
      <c r="B76" s="65" t="s">
        <v>10</v>
      </c>
      <c r="C76" s="1"/>
      <c r="D76" s="1"/>
      <c r="E76" s="1"/>
      <c r="F76" s="209">
        <f>Rates!$S$2-1</f>
        <v>4.9500000000000099E-2</v>
      </c>
      <c r="G76" s="1"/>
      <c r="H76" s="1"/>
      <c r="I76" s="1"/>
      <c r="J76" s="209">
        <f>Rates!$T$2-1</f>
        <v>3.0684649944026976E-2</v>
      </c>
      <c r="K76" s="1"/>
      <c r="L76" s="67"/>
      <c r="M76" s="3"/>
      <c r="N76" s="1"/>
      <c r="O76" s="1"/>
      <c r="Q76" s="210"/>
      <c r="R76" s="2"/>
      <c r="S76" s="2"/>
      <c r="T76" s="2"/>
      <c r="U76" s="2"/>
      <c r="V76" s="2"/>
      <c r="W76" s="69"/>
      <c r="X76" s="210"/>
      <c r="Y76" s="2"/>
      <c r="Z76" s="2"/>
      <c r="AA76" s="2"/>
      <c r="AB76" s="2"/>
      <c r="AC76" s="2"/>
      <c r="AD76" s="69"/>
      <c r="AE76" s="210"/>
      <c r="AF76" s="2"/>
      <c r="AG76" s="2"/>
      <c r="AH76" s="2"/>
      <c r="AI76" s="2"/>
      <c r="AJ76" s="2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</row>
    <row r="77" spans="1:49" x14ac:dyDescent="0.25">
      <c r="A77" s="159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3"/>
      <c r="N77" s="1"/>
      <c r="O77" s="1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4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4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5">
      <c r="A81" s="1" t="s">
        <v>84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25">
      <c r="A82" s="1" t="s">
        <v>85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25">
      <c r="A84" s="64" t="s">
        <v>86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25">
      <c r="A85" s="64" t="s">
        <v>87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25">
      <c r="A87" s="1" t="s">
        <v>88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25">
      <c r="A88" s="1" t="s">
        <v>89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25">
      <c r="A89" s="1" t="s">
        <v>90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x14ac:dyDescent="0.25">
      <c r="A90" s="1" t="s">
        <v>91</v>
      </c>
      <c r="B90" s="1" t="s">
        <v>93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x14ac:dyDescent="0.25">
      <c r="A91" s="1" t="s">
        <v>92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</sheetData>
  <mergeCells count="24">
    <mergeCell ref="AI20:AJ20"/>
    <mergeCell ref="A3:K3"/>
    <mergeCell ref="B10:O10"/>
    <mergeCell ref="B11:O11"/>
    <mergeCell ref="D14:O14"/>
    <mergeCell ref="F20:H20"/>
    <mergeCell ref="J20:L20"/>
    <mergeCell ref="N20:O20"/>
    <mergeCell ref="Q20:S20"/>
    <mergeCell ref="U20:V20"/>
    <mergeCell ref="X20:Z20"/>
    <mergeCell ref="AB20:AC20"/>
    <mergeCell ref="AE20:AG20"/>
    <mergeCell ref="AI21:AI22"/>
    <mergeCell ref="AJ21:AJ22"/>
    <mergeCell ref="B66:D66"/>
    <mergeCell ref="B72:D72"/>
    <mergeCell ref="B73:D73"/>
    <mergeCell ref="N21:N22"/>
    <mergeCell ref="O21:O22"/>
    <mergeCell ref="U21:U22"/>
    <mergeCell ref="V21:V22"/>
    <mergeCell ref="AB21:AB22"/>
    <mergeCell ref="AC21:AC22"/>
  </mergeCells>
  <dataValidations count="3">
    <dataValidation type="list" allowBlank="1" showInputMessage="1" showErrorMessage="1" sqref="D16">
      <formula1>"TOU, non-TOU"</formula1>
    </dataValidation>
    <dataValidation type="list" allowBlank="1" showInputMessage="1" showErrorMessage="1" prompt="Select Charge Unit - monthly, per kWh, per kW" sqref="D74 D63 D67">
      <formula1>"Monthly, per kWh, per kW"</formula1>
    </dataValidation>
    <dataValidation type="list" allowBlank="1" showInputMessage="1" showErrorMessage="1" sqref="E48:E51 E74 E67 E53:E63 E37:E46 E23:E35">
      <formula1>#REF!</formula1>
    </dataValidation>
  </dataValidations>
  <printOptions horizontalCentered="1"/>
  <pageMargins left="0.3" right="0.35" top="0.92" bottom="0.7" header="0.56999999999999995" footer="0.41"/>
  <pageSetup paperSize="256" scale="60" fitToHeight="0" orientation="landscape" r:id="rId1"/>
  <headerFooter>
    <oddHeader xml:space="preserve">&amp;RToronto Hydro-Electric System Limited
</oddHeader>
    <oddFooter>&amp;C&amp;A</oddFooter>
  </headerFooter>
  <ignoredErrors>
    <ignoredError sqref="F76:J76 J23:J35 J37:J4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6433" r:id="rId4" name="Option Button 1">
              <controlPr defaultSize="0" autoFill="0" autoLine="0" autoPict="0">
                <anchor moveWithCells="1">
                  <from>
                    <xdr:col>9</xdr:col>
                    <xdr:colOff>361950</xdr:colOff>
                    <xdr:row>91</xdr:row>
                    <xdr:rowOff>0</xdr:rowOff>
                  </from>
                  <to>
                    <xdr:col>14</xdr:col>
                    <xdr:colOff>647700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34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91</xdr:row>
                    <xdr:rowOff>0</xdr:rowOff>
                  </from>
                  <to>
                    <xdr:col>9</xdr:col>
                    <xdr:colOff>95250</xdr:colOff>
                    <xdr:row>92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35" r:id="rId6" name="Option Button 3">
              <controlPr defaultSize="0" autoFill="0" autoLine="0" autoPict="0">
                <anchor moveWithCells="1">
                  <from>
                    <xdr:col>9</xdr:col>
                    <xdr:colOff>361950</xdr:colOff>
                    <xdr:row>91</xdr:row>
                    <xdr:rowOff>0</xdr:rowOff>
                  </from>
                  <to>
                    <xdr:col>14</xdr:col>
                    <xdr:colOff>647700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36" r:id="rId7" name="Option Button 4">
              <controlPr defaultSize="0" autoFill="0" autoLine="0" autoPict="0">
                <anchor moveWithCells="1">
                  <from>
                    <xdr:col>6</xdr:col>
                    <xdr:colOff>381000</xdr:colOff>
                    <xdr:row>91</xdr:row>
                    <xdr:rowOff>0</xdr:rowOff>
                  </from>
                  <to>
                    <xdr:col>9</xdr:col>
                    <xdr:colOff>95250</xdr:colOff>
                    <xdr:row>92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37" r:id="rId8" name="Option Button 5">
              <controlPr defaultSize="0" autoFill="0" autoLine="0" autoPict="0">
                <anchor moveWithCells="1">
                  <from>
                    <xdr:col>9</xdr:col>
                    <xdr:colOff>361950</xdr:colOff>
                    <xdr:row>91</xdr:row>
                    <xdr:rowOff>0</xdr:rowOff>
                  </from>
                  <to>
                    <xdr:col>14</xdr:col>
                    <xdr:colOff>647700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38" r:id="rId9" name="Option Button 6">
              <controlPr defaultSize="0" autoFill="0" autoLine="0" autoPict="0">
                <anchor moveWithCells="1">
                  <from>
                    <xdr:col>6</xdr:col>
                    <xdr:colOff>381000</xdr:colOff>
                    <xdr:row>91</xdr:row>
                    <xdr:rowOff>0</xdr:rowOff>
                  </from>
                  <to>
                    <xdr:col>9</xdr:col>
                    <xdr:colOff>95250</xdr:colOff>
                    <xdr:row>92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39" r:id="rId10" name="Option Button 7">
              <controlPr defaultSize="0" autoFill="0" autoLine="0" autoPict="0">
                <anchor moveWithCells="1">
                  <from>
                    <xdr:col>9</xdr:col>
                    <xdr:colOff>361950</xdr:colOff>
                    <xdr:row>91</xdr:row>
                    <xdr:rowOff>0</xdr:rowOff>
                  </from>
                  <to>
                    <xdr:col>14</xdr:col>
                    <xdr:colOff>647700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40" r:id="rId11" name="Option Button 8">
              <controlPr defaultSize="0" autoFill="0" autoLine="0" autoPict="0">
                <anchor moveWithCells="1">
                  <from>
                    <xdr:col>6</xdr:col>
                    <xdr:colOff>381000</xdr:colOff>
                    <xdr:row>91</xdr:row>
                    <xdr:rowOff>0</xdr:rowOff>
                  </from>
                  <to>
                    <xdr:col>9</xdr:col>
                    <xdr:colOff>95250</xdr:colOff>
                    <xdr:row>92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41" r:id="rId12" name="Option Button 9">
              <controlPr defaultSize="0" autoFill="0" autoLine="0" autoPict="0">
                <anchor moveWithCells="1">
                  <from>
                    <xdr:col>9</xdr:col>
                    <xdr:colOff>361950</xdr:colOff>
                    <xdr:row>91</xdr:row>
                    <xdr:rowOff>0</xdr:rowOff>
                  </from>
                  <to>
                    <xdr:col>14</xdr:col>
                    <xdr:colOff>647700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42" r:id="rId13" name="Option Button 10">
              <controlPr defaultSize="0" autoFill="0" autoLine="0" autoPict="0">
                <anchor moveWithCells="1">
                  <from>
                    <xdr:col>6</xdr:col>
                    <xdr:colOff>381000</xdr:colOff>
                    <xdr:row>91</xdr:row>
                    <xdr:rowOff>0</xdr:rowOff>
                  </from>
                  <to>
                    <xdr:col>9</xdr:col>
                    <xdr:colOff>95250</xdr:colOff>
                    <xdr:row>92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A1:AW89"/>
  <sheetViews>
    <sheetView showGridLines="0" topLeftCell="B22" zoomScale="80" zoomScaleNormal="80" workbookViewId="0">
      <selection activeCell="J35" sqref="J35"/>
    </sheetView>
  </sheetViews>
  <sheetFormatPr defaultColWidth="9.140625" defaultRowHeight="15" x14ac:dyDescent="0.25"/>
  <cols>
    <col min="1" max="1" width="48.28515625" customWidth="1"/>
    <col min="2" max="2" width="122" customWidth="1"/>
    <col min="3" max="3" width="1.5703125" customWidth="1"/>
    <col min="4" max="4" width="12.42578125" customWidth="1"/>
    <col min="5" max="5" width="1.7109375" customWidth="1"/>
    <col min="6" max="6" width="12" customWidth="1"/>
    <col min="7" max="7" width="11.7109375" customWidth="1"/>
    <col min="8" max="8" width="16.42578125" customWidth="1"/>
    <col min="9" max="9" width="1" style="69" customWidth="1"/>
    <col min="10" max="10" width="12.28515625" customWidth="1"/>
    <col min="11" max="11" width="10.5703125" customWidth="1"/>
    <col min="12" max="12" width="16.28515625" customWidth="1"/>
    <col min="13" max="13" width="0.85546875" style="340" customWidth="1"/>
    <col min="14" max="14" width="14.7109375" customWidth="1"/>
    <col min="15" max="15" width="10.5703125" customWidth="1"/>
    <col min="16" max="16" width="1.42578125" customWidth="1"/>
    <col min="17" max="17" width="1.7109375" customWidth="1"/>
    <col min="18" max="18" width="9.42578125" customWidth="1"/>
    <col min="19" max="19" width="12.5703125" customWidth="1"/>
    <col min="20" max="20" width="1.28515625" customWidth="1"/>
    <col min="21" max="21" width="10.85546875" customWidth="1"/>
    <col min="22" max="22" width="10.140625" customWidth="1"/>
    <col min="23" max="23" width="1.28515625" customWidth="1"/>
    <col min="24" max="24" width="11" customWidth="1"/>
    <col min="25" max="25" width="9.5703125" customWidth="1"/>
    <col min="26" max="26" width="12.42578125" customWidth="1"/>
    <col min="27" max="27" width="1.28515625" customWidth="1"/>
    <col min="28" max="28" width="10" customWidth="1"/>
    <col min="30" max="30" width="0.85546875" customWidth="1"/>
    <col min="31" max="31" width="11.140625" customWidth="1"/>
    <col min="32" max="32" width="9.5703125" customWidth="1"/>
    <col min="33" max="33" width="12.42578125" customWidth="1"/>
    <col min="34" max="34" width="1.140625" customWidth="1"/>
    <col min="35" max="35" width="10.42578125" customWidth="1"/>
    <col min="37" max="37" width="0.85546875" customWidth="1"/>
  </cols>
  <sheetData>
    <row r="1" spans="1:21" ht="21.75" x14ac:dyDescent="0.25">
      <c r="A1" s="50"/>
      <c r="B1" s="51"/>
      <c r="C1" s="51"/>
      <c r="D1" s="51"/>
      <c r="E1" s="51"/>
      <c r="F1" s="51"/>
      <c r="G1" s="51"/>
      <c r="H1" s="51"/>
      <c r="I1" s="443"/>
      <c r="J1" s="51"/>
      <c r="K1" s="51"/>
      <c r="L1" s="50"/>
      <c r="M1" s="50"/>
      <c r="N1" s="52" t="s">
        <v>68</v>
      </c>
      <c r="O1" s="53">
        <v>0</v>
      </c>
      <c r="T1">
        <v>1</v>
      </c>
      <c r="U1">
        <v>0</v>
      </c>
    </row>
    <row r="2" spans="1:21" ht="18" x14ac:dyDescent="0.25">
      <c r="A2" s="54"/>
      <c r="B2" s="54"/>
      <c r="C2" s="54"/>
      <c r="D2" s="54"/>
      <c r="E2" s="54"/>
      <c r="F2" s="54"/>
      <c r="G2" s="54"/>
      <c r="H2" s="54"/>
      <c r="I2" s="385"/>
      <c r="J2" s="54"/>
      <c r="K2" s="54"/>
      <c r="L2" s="50"/>
      <c r="M2" s="50"/>
      <c r="N2" s="52" t="s">
        <v>69</v>
      </c>
      <c r="O2" s="55"/>
    </row>
    <row r="3" spans="1:21" ht="18" x14ac:dyDescent="0.25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"/>
      <c r="M3" s="50"/>
      <c r="N3" s="52" t="s">
        <v>70</v>
      </c>
      <c r="O3" s="55"/>
    </row>
    <row r="4" spans="1:21" ht="18" x14ac:dyDescent="0.25">
      <c r="A4" s="54"/>
      <c r="B4" s="54"/>
      <c r="C4" s="54"/>
      <c r="D4" s="54"/>
      <c r="E4" s="54"/>
      <c r="F4" s="54"/>
      <c r="G4" s="54"/>
      <c r="H4" s="54"/>
      <c r="I4" s="386"/>
      <c r="J4" s="56"/>
      <c r="K4" s="56"/>
      <c r="L4" s="50"/>
      <c r="M4" s="50"/>
      <c r="N4" s="52" t="s">
        <v>71</v>
      </c>
      <c r="O4" s="55"/>
    </row>
    <row r="5" spans="1:21" ht="15.75" x14ac:dyDescent="0.25">
      <c r="A5" s="50"/>
      <c r="B5" s="50"/>
      <c r="C5" s="57"/>
      <c r="D5" s="57"/>
      <c r="E5" s="57"/>
      <c r="F5" s="50"/>
      <c r="G5" s="50"/>
      <c r="H5" s="50"/>
      <c r="I5" s="2"/>
      <c r="J5" s="50"/>
      <c r="K5" s="50"/>
      <c r="L5" s="50"/>
      <c r="M5" s="50"/>
      <c r="N5" s="52" t="s">
        <v>72</v>
      </c>
      <c r="O5" s="58"/>
    </row>
    <row r="6" spans="1:21" x14ac:dyDescent="0.25">
      <c r="A6" s="50"/>
      <c r="B6" s="50"/>
      <c r="C6" s="50"/>
      <c r="D6" s="50"/>
      <c r="E6" s="50"/>
      <c r="F6" s="50"/>
      <c r="G6" s="50"/>
      <c r="H6" s="50"/>
      <c r="I6" s="2"/>
      <c r="J6" s="50"/>
      <c r="K6" s="50"/>
      <c r="L6" s="50"/>
      <c r="M6" s="50"/>
      <c r="N6" s="52"/>
      <c r="O6" s="53"/>
    </row>
    <row r="7" spans="1:21" x14ac:dyDescent="0.25">
      <c r="A7" s="50"/>
      <c r="B7" s="50"/>
      <c r="C7" s="50"/>
      <c r="D7" s="50"/>
      <c r="E7" s="50"/>
      <c r="F7" s="50"/>
      <c r="G7" s="50"/>
      <c r="H7" s="50"/>
      <c r="I7" s="2"/>
      <c r="J7" s="50"/>
      <c r="K7" s="50"/>
      <c r="L7" s="50"/>
      <c r="M7" s="50"/>
      <c r="N7" s="52" t="s">
        <v>73</v>
      </c>
      <c r="O7" s="58"/>
    </row>
    <row r="8" spans="1:21" x14ac:dyDescent="0.25">
      <c r="A8" s="59"/>
      <c r="B8" s="50"/>
      <c r="C8" s="50"/>
      <c r="D8" s="50"/>
      <c r="E8" s="50"/>
      <c r="F8" s="50"/>
      <c r="G8" s="50"/>
      <c r="H8" s="50"/>
      <c r="I8" s="2"/>
      <c r="J8" s="50"/>
      <c r="K8" s="50"/>
      <c r="L8" s="50"/>
      <c r="M8" s="50"/>
      <c r="N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2"/>
      <c r="J9" s="1"/>
      <c r="K9" s="1"/>
    </row>
    <row r="10" spans="1:21" ht="18" x14ac:dyDescent="0.25">
      <c r="A10" s="1"/>
      <c r="B10" s="508" t="s">
        <v>74</v>
      </c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508"/>
      <c r="N10" s="508"/>
      <c r="O10" s="508"/>
    </row>
    <row r="11" spans="1:21" ht="18" x14ac:dyDescent="0.25">
      <c r="A11" s="1"/>
      <c r="B11" s="508" t="s">
        <v>75</v>
      </c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2"/>
      <c r="J12" s="1"/>
      <c r="K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2"/>
      <c r="J13" s="1"/>
      <c r="K13" s="1"/>
    </row>
    <row r="14" spans="1:21" ht="15.75" x14ac:dyDescent="0.25">
      <c r="A14" s="1"/>
      <c r="B14" s="60" t="s">
        <v>0</v>
      </c>
      <c r="C14" s="1"/>
      <c r="D14" s="509" t="s">
        <v>120</v>
      </c>
      <c r="E14" s="509"/>
      <c r="F14" s="509"/>
      <c r="G14" s="509"/>
      <c r="H14" s="509"/>
      <c r="I14" s="509"/>
      <c r="J14" s="509"/>
      <c r="K14" s="509"/>
      <c r="L14" s="509"/>
      <c r="M14" s="509"/>
      <c r="N14" s="509"/>
      <c r="O14" s="509"/>
    </row>
    <row r="15" spans="1:21" ht="15.75" x14ac:dyDescent="0.25">
      <c r="A15" s="1"/>
      <c r="B15" s="61"/>
      <c r="C15" s="1"/>
      <c r="D15" s="62"/>
      <c r="E15" s="62"/>
      <c r="F15" s="62"/>
      <c r="G15" s="62"/>
      <c r="H15" s="62"/>
      <c r="I15" s="444"/>
      <c r="J15" s="62"/>
      <c r="K15" s="62"/>
      <c r="L15" s="62"/>
      <c r="M15" s="442"/>
      <c r="N15" s="62"/>
      <c r="O15" s="62"/>
    </row>
    <row r="16" spans="1:21" ht="15.75" x14ac:dyDescent="0.25">
      <c r="A16" s="1"/>
      <c r="B16" s="60" t="s">
        <v>76</v>
      </c>
      <c r="C16" s="1"/>
      <c r="D16" s="63" t="s">
        <v>94</v>
      </c>
      <c r="E16" s="62"/>
      <c r="F16" s="228" t="s">
        <v>95</v>
      </c>
      <c r="G16" s="62"/>
      <c r="H16" s="62"/>
      <c r="I16" s="444"/>
      <c r="J16" s="62"/>
      <c r="K16" s="62"/>
      <c r="L16" s="62"/>
      <c r="M16" s="442"/>
      <c r="N16" s="62"/>
      <c r="O16" s="62"/>
    </row>
    <row r="17" spans="1:49" ht="15.75" x14ac:dyDescent="0.25">
      <c r="A17" s="1"/>
      <c r="B17" s="61"/>
      <c r="C17" s="1"/>
      <c r="D17" s="62"/>
      <c r="E17" s="62"/>
      <c r="F17" s="229">
        <f>ROUND(+F18*0.9,0)</f>
        <v>2000</v>
      </c>
      <c r="G17" s="230" t="s">
        <v>96</v>
      </c>
      <c r="H17" s="231"/>
      <c r="I17" s="444"/>
      <c r="J17" s="62"/>
      <c r="K17" s="62"/>
      <c r="L17" s="62"/>
      <c r="M17" s="442"/>
      <c r="N17" s="62"/>
      <c r="O17" s="62"/>
    </row>
    <row r="18" spans="1:49" x14ac:dyDescent="0.25">
      <c r="A18" s="1"/>
      <c r="B18" s="64"/>
      <c r="C18" s="1"/>
      <c r="D18" s="65"/>
      <c r="E18" s="65"/>
      <c r="F18" s="229">
        <f>ROUND(2000/0.9,0)</f>
        <v>2222</v>
      </c>
      <c r="G18" s="65" t="s">
        <v>113</v>
      </c>
      <c r="H18" s="1"/>
      <c r="I18" s="2"/>
      <c r="J18" s="1"/>
      <c r="K18" s="1"/>
      <c r="L18" s="1"/>
      <c r="M18" s="398"/>
      <c r="N18" s="1"/>
      <c r="O18" s="1"/>
    </row>
    <row r="19" spans="1:49" x14ac:dyDescent="0.25">
      <c r="A19" s="1"/>
      <c r="B19" s="64"/>
      <c r="C19" s="1"/>
      <c r="D19" s="65" t="s">
        <v>1</v>
      </c>
      <c r="E19" s="1"/>
      <c r="F19" s="232">
        <v>800000</v>
      </c>
      <c r="G19" s="230" t="s">
        <v>78</v>
      </c>
      <c r="H19" s="67"/>
      <c r="I19" s="2"/>
      <c r="J19" s="67"/>
      <c r="K19" s="233"/>
      <c r="L19" s="67"/>
      <c r="M19" s="398"/>
      <c r="N19" s="233"/>
      <c r="O19" s="1"/>
      <c r="S19" s="234"/>
    </row>
    <row r="20" spans="1:49" x14ac:dyDescent="0.25">
      <c r="A20" s="1"/>
      <c r="B20" s="64"/>
      <c r="C20" s="1"/>
      <c r="D20" s="68"/>
      <c r="E20" s="68"/>
      <c r="F20" s="510" t="s">
        <v>105</v>
      </c>
      <c r="G20" s="511"/>
      <c r="H20" s="512"/>
      <c r="I20" s="2"/>
      <c r="J20" s="510" t="s">
        <v>104</v>
      </c>
      <c r="K20" s="511"/>
      <c r="L20" s="512"/>
      <c r="M20" s="398"/>
      <c r="N20" s="510" t="s">
        <v>61</v>
      </c>
      <c r="O20" s="512"/>
      <c r="Q20" s="506"/>
      <c r="R20" s="506"/>
      <c r="S20" s="506"/>
      <c r="T20" s="2"/>
      <c r="U20" s="506"/>
      <c r="V20" s="506"/>
      <c r="W20" s="69"/>
      <c r="X20" s="506"/>
      <c r="Y20" s="506"/>
      <c r="Z20" s="506"/>
      <c r="AA20" s="2"/>
      <c r="AB20" s="506"/>
      <c r="AC20" s="506"/>
      <c r="AD20" s="69"/>
      <c r="AE20" s="506"/>
      <c r="AF20" s="506"/>
      <c r="AG20" s="506"/>
      <c r="AH20" s="2"/>
      <c r="AI20" s="506"/>
      <c r="AJ20" s="506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</row>
    <row r="21" spans="1:49" ht="15" customHeight="1" x14ac:dyDescent="0.25">
      <c r="A21" s="1"/>
      <c r="B21" s="64"/>
      <c r="C21" s="1"/>
      <c r="D21" s="1"/>
      <c r="E21" s="70"/>
      <c r="F21" s="71" t="s">
        <v>2</v>
      </c>
      <c r="G21" s="71" t="s">
        <v>3</v>
      </c>
      <c r="H21" s="72" t="s">
        <v>4</v>
      </c>
      <c r="I21" s="2"/>
      <c r="J21" s="71" t="s">
        <v>2</v>
      </c>
      <c r="K21" s="73" t="s">
        <v>3</v>
      </c>
      <c r="L21" s="72" t="s">
        <v>4</v>
      </c>
      <c r="M21" s="398"/>
      <c r="N21" s="502" t="s">
        <v>62</v>
      </c>
      <c r="O21" s="504" t="s">
        <v>63</v>
      </c>
      <c r="Q21" s="270"/>
      <c r="R21" s="270"/>
      <c r="S21" s="270"/>
      <c r="T21" s="2"/>
      <c r="U21" s="501"/>
      <c r="V21" s="501"/>
      <c r="W21" s="69"/>
      <c r="X21" s="270"/>
      <c r="Y21" s="270"/>
      <c r="Z21" s="270"/>
      <c r="AA21" s="2"/>
      <c r="AB21" s="501"/>
      <c r="AC21" s="501"/>
      <c r="AD21" s="69"/>
      <c r="AE21" s="270"/>
      <c r="AF21" s="270"/>
      <c r="AG21" s="270"/>
      <c r="AH21" s="2"/>
      <c r="AI21" s="501"/>
      <c r="AJ21" s="501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</row>
    <row r="22" spans="1:49" x14ac:dyDescent="0.25">
      <c r="A22" s="1"/>
      <c r="B22" s="64"/>
      <c r="C22" s="1"/>
      <c r="D22" s="1"/>
      <c r="E22" s="70"/>
      <c r="F22" s="75" t="s">
        <v>79</v>
      </c>
      <c r="G22" s="75"/>
      <c r="H22" s="76" t="s">
        <v>79</v>
      </c>
      <c r="I22" s="2"/>
      <c r="J22" s="75" t="s">
        <v>79</v>
      </c>
      <c r="K22" s="76"/>
      <c r="L22" s="76" t="s">
        <v>79</v>
      </c>
      <c r="M22" s="398"/>
      <c r="N22" s="503"/>
      <c r="O22" s="505"/>
      <c r="Q22" s="77"/>
      <c r="R22" s="77"/>
      <c r="S22" s="77"/>
      <c r="T22" s="2"/>
      <c r="U22" s="514"/>
      <c r="V22" s="514"/>
      <c r="W22" s="69"/>
      <c r="X22" s="77"/>
      <c r="Y22" s="77"/>
      <c r="Z22" s="77"/>
      <c r="AA22" s="2"/>
      <c r="AB22" s="514"/>
      <c r="AC22" s="514"/>
      <c r="AD22" s="69"/>
      <c r="AE22" s="77"/>
      <c r="AF22" s="77"/>
      <c r="AG22" s="77"/>
      <c r="AH22" s="2"/>
      <c r="AI22" s="514"/>
      <c r="AJ22" s="514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</row>
    <row r="23" spans="1:49" x14ac:dyDescent="0.25">
      <c r="A23" s="7" t="s">
        <v>15</v>
      </c>
      <c r="B23" s="271" t="str">
        <f>IF(Rates!D170=$A$23,Rates!B170," ")</f>
        <v>Service Charge</v>
      </c>
      <c r="C23" s="78"/>
      <c r="D23" s="271" t="str">
        <f>IF(Rates!D170=$A$23,Rates!E170," ")</f>
        <v>customer</v>
      </c>
      <c r="E23" s="79"/>
      <c r="F23" s="80">
        <f>IF(Rates!$G$1="CND 2018",Rates!G170," ")</f>
        <v>1047.7657799999999</v>
      </c>
      <c r="G23" s="438">
        <f>IF(D23="customer",1,IF(D23="kWh",$F$19,$F$17))</f>
        <v>1</v>
      </c>
      <c r="H23" s="82">
        <f t="shared" ref="H23:H34" si="0">G23*F23</f>
        <v>1047.7657799999999</v>
      </c>
      <c r="I23" s="87"/>
      <c r="J23" s="80">
        <f>IF(Rates!$L$1="E+ 2019",Rates!L170," ")</f>
        <v>904.08</v>
      </c>
      <c r="K23" s="439">
        <f>IF(D23="customer",1,IF(D23="kWh",$F$19,$F$17))</f>
        <v>1</v>
      </c>
      <c r="L23" s="82">
        <f t="shared" ref="L23:L44" si="1">K23*J23</f>
        <v>904.08</v>
      </c>
      <c r="M23" s="399"/>
      <c r="N23" s="84">
        <f t="shared" ref="N23:N60" si="2">L23-H23</f>
        <v>-143.68577999999991</v>
      </c>
      <c r="O23" s="85">
        <f>IF(OR(H23=0,L23=0),"",(N23/H23))</f>
        <v>-0.13713540062360113</v>
      </c>
      <c r="Q23" s="86"/>
      <c r="R23" s="87"/>
      <c r="S23" s="88"/>
      <c r="T23" s="87"/>
      <c r="U23" s="89"/>
      <c r="V23" s="90"/>
      <c r="W23" s="69"/>
      <c r="X23" s="86"/>
      <c r="Y23" s="87"/>
      <c r="Z23" s="88"/>
      <c r="AA23" s="87"/>
      <c r="AB23" s="89"/>
      <c r="AC23" s="90"/>
      <c r="AD23" s="69"/>
      <c r="AE23" s="86"/>
      <c r="AF23" s="87"/>
      <c r="AG23" s="88"/>
      <c r="AH23" s="87"/>
      <c r="AI23" s="89"/>
      <c r="AJ23" s="90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</row>
    <row r="24" spans="1:49" x14ac:dyDescent="0.25">
      <c r="A24" s="1"/>
      <c r="B24" s="271" t="str">
        <f>IF(Rates!D171=$A$23,Rates!B171," ")</f>
        <v>Rate Rider ACM</v>
      </c>
      <c r="C24" s="78"/>
      <c r="D24" s="271" t="str">
        <f>IF(Rates!D171=$A$23,Rates!E171," ")</f>
        <v>customer</v>
      </c>
      <c r="E24" s="79"/>
      <c r="F24" s="80">
        <f>IF(Rates!$G$1="CND 2018",Rates!G171," ")</f>
        <v>0</v>
      </c>
      <c r="G24" s="438">
        <f t="shared" ref="G24:G34" si="3">IF(D24="customer",1,IF(D24="kWh",$F$19,$F$17))</f>
        <v>1</v>
      </c>
      <c r="H24" s="82">
        <f t="shared" si="0"/>
        <v>0</v>
      </c>
      <c r="I24" s="87"/>
      <c r="J24" s="80">
        <f>IF(Rates!$L$1="E+ 2019",Rates!L171," ")</f>
        <v>0</v>
      </c>
      <c r="K24" s="439">
        <f t="shared" ref="K24:K34" si="4">IF(D24="customer",1,IF(D24="kWh",$F$19,$F$17))</f>
        <v>1</v>
      </c>
      <c r="L24" s="82">
        <f t="shared" si="1"/>
        <v>0</v>
      </c>
      <c r="M24" s="399"/>
      <c r="N24" s="84">
        <f t="shared" si="2"/>
        <v>0</v>
      </c>
      <c r="O24" s="85" t="str">
        <f t="shared" ref="O24:O34" si="5">IF(OR(H24=0,L24=0),"",(N24/H24))</f>
        <v/>
      </c>
      <c r="Q24" s="86"/>
      <c r="R24" s="87"/>
      <c r="S24" s="88"/>
      <c r="T24" s="87"/>
      <c r="U24" s="89"/>
      <c r="V24" s="90"/>
      <c r="W24" s="69"/>
      <c r="X24" s="86"/>
      <c r="Y24" s="87"/>
      <c r="Z24" s="88"/>
      <c r="AA24" s="87"/>
      <c r="AB24" s="89"/>
      <c r="AC24" s="90"/>
      <c r="AD24" s="69"/>
      <c r="AE24" s="86"/>
      <c r="AF24" s="87"/>
      <c r="AG24" s="88"/>
      <c r="AH24" s="87"/>
      <c r="AI24" s="89"/>
      <c r="AJ24" s="90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</row>
    <row r="25" spans="1:49" s="94" customFormat="1" x14ac:dyDescent="0.25">
      <c r="A25" s="3"/>
      <c r="B25" s="271" t="str">
        <f>IF(Rates!D172=$A$23,Rates!B172," ")</f>
        <v>Distribution Volumetric Rate</v>
      </c>
      <c r="C25" s="78"/>
      <c r="D25" s="271" t="str">
        <f>IF(Rates!D172=$A$23,Rates!E172," ")</f>
        <v>kW</v>
      </c>
      <c r="E25" s="79"/>
      <c r="F25" s="235">
        <f>IF(Rates!$G$1="CND 2018",Rates!G172," ")</f>
        <v>3.6470304999999996</v>
      </c>
      <c r="G25" s="438">
        <f t="shared" si="3"/>
        <v>2000</v>
      </c>
      <c r="H25" s="82">
        <f t="shared" si="0"/>
        <v>7294.0609999999997</v>
      </c>
      <c r="I25" s="87"/>
      <c r="J25" s="235">
        <f>IF(Rates!$L$1="E+ 2019",Rates!L172," ")</f>
        <v>3.8454000000000002</v>
      </c>
      <c r="K25" s="439">
        <f t="shared" si="4"/>
        <v>2000</v>
      </c>
      <c r="L25" s="82">
        <f t="shared" si="1"/>
        <v>7690.8</v>
      </c>
      <c r="M25" s="87"/>
      <c r="N25" s="84">
        <f t="shared" si="2"/>
        <v>396.73900000000049</v>
      </c>
      <c r="O25" s="85">
        <f t="shared" si="5"/>
        <v>5.4392059512526771E-2</v>
      </c>
      <c r="Q25" s="95"/>
      <c r="R25" s="87"/>
      <c r="S25" s="88"/>
      <c r="T25" s="87"/>
      <c r="U25" s="89"/>
      <c r="V25" s="90"/>
      <c r="W25" s="69"/>
      <c r="X25" s="95"/>
      <c r="Y25" s="87"/>
      <c r="Z25" s="88"/>
      <c r="AA25" s="87"/>
      <c r="AB25" s="89"/>
      <c r="AC25" s="90"/>
      <c r="AD25" s="69"/>
      <c r="AE25" s="95"/>
      <c r="AF25" s="87"/>
      <c r="AG25" s="88"/>
      <c r="AH25" s="87"/>
      <c r="AI25" s="89"/>
      <c r="AJ25" s="90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</row>
    <row r="26" spans="1:49" s="94" customFormat="1" x14ac:dyDescent="0.25">
      <c r="A26" s="3"/>
      <c r="B26" s="271" t="str">
        <f>IF(Rates!D173=$A$23,Rates!B173," ")</f>
        <v>Rate Rider ACM</v>
      </c>
      <c r="C26" s="78"/>
      <c r="D26" s="271" t="str">
        <f>IF(Rates!D173=$A$23,Rates!E173," ")</f>
        <v>kW</v>
      </c>
      <c r="E26" s="79"/>
      <c r="F26" s="80">
        <f>IF(Rates!$G$1="CND 2018",Rates!G173," ")</f>
        <v>0</v>
      </c>
      <c r="G26" s="438">
        <f t="shared" si="3"/>
        <v>2000</v>
      </c>
      <c r="H26" s="82">
        <f t="shared" si="0"/>
        <v>0</v>
      </c>
      <c r="I26" s="87"/>
      <c r="J26" s="80">
        <f>IF(Rates!$L$1="E+ 2019",Rates!L173," ")</f>
        <v>0</v>
      </c>
      <c r="K26" s="439">
        <f t="shared" si="4"/>
        <v>2000</v>
      </c>
      <c r="L26" s="82">
        <f t="shared" si="1"/>
        <v>0</v>
      </c>
      <c r="M26" s="87"/>
      <c r="N26" s="84">
        <f t="shared" si="2"/>
        <v>0</v>
      </c>
      <c r="O26" s="85" t="str">
        <f t="shared" si="5"/>
        <v/>
      </c>
      <c r="Q26" s="95"/>
      <c r="R26" s="87"/>
      <c r="S26" s="88"/>
      <c r="T26" s="87"/>
      <c r="U26" s="89"/>
      <c r="V26" s="90"/>
      <c r="W26" s="69"/>
      <c r="X26" s="95"/>
      <c r="Y26" s="87"/>
      <c r="Z26" s="88"/>
      <c r="AA26" s="87"/>
      <c r="AB26" s="89"/>
      <c r="AC26" s="90"/>
      <c r="AD26" s="69"/>
      <c r="AE26" s="95"/>
      <c r="AF26" s="87"/>
      <c r="AG26" s="88"/>
      <c r="AH26" s="87"/>
      <c r="AI26" s="89"/>
      <c r="AJ26" s="90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</row>
    <row r="27" spans="1:49" x14ac:dyDescent="0.25">
      <c r="A27" s="3"/>
      <c r="B27" s="271" t="str">
        <f>IF(Rates!D174=$A$23,Rates!B174," ")</f>
        <v>Rate Rider for Disposition of Account 1575 and 1576</v>
      </c>
      <c r="C27" s="78"/>
      <c r="D27" s="271" t="str">
        <f>IF(Rates!D174=$A$23,Rates!E174," ")</f>
        <v>kW</v>
      </c>
      <c r="E27" s="79"/>
      <c r="F27" s="80">
        <f>IF(Rates!$G$1="CND 2018",Rates!G174," ")</f>
        <v>0</v>
      </c>
      <c r="G27" s="438">
        <f t="shared" si="3"/>
        <v>2000</v>
      </c>
      <c r="H27" s="82">
        <f t="shared" si="0"/>
        <v>0</v>
      </c>
      <c r="I27" s="87"/>
      <c r="J27" s="235">
        <f>IF(Rates!$L$1="E+ 2019",Rates!L174," ")</f>
        <v>-0.14117530117823188</v>
      </c>
      <c r="K27" s="439">
        <f t="shared" si="4"/>
        <v>2000</v>
      </c>
      <c r="L27" s="82">
        <f t="shared" si="1"/>
        <v>-282.35060235646375</v>
      </c>
      <c r="M27" s="399"/>
      <c r="N27" s="84">
        <f t="shared" si="2"/>
        <v>-282.35060235646375</v>
      </c>
      <c r="O27" s="85" t="str">
        <f t="shared" si="5"/>
        <v/>
      </c>
      <c r="Q27" s="86"/>
      <c r="R27" s="87"/>
      <c r="S27" s="88"/>
      <c r="T27" s="87"/>
      <c r="U27" s="89"/>
      <c r="V27" s="90"/>
      <c r="W27" s="69"/>
      <c r="X27" s="86"/>
      <c r="Y27" s="87"/>
      <c r="Z27" s="88"/>
      <c r="AA27" s="87"/>
      <c r="AB27" s="89"/>
      <c r="AC27" s="90"/>
      <c r="AD27" s="69"/>
      <c r="AE27" s="86"/>
      <c r="AF27" s="87"/>
      <c r="AG27" s="88"/>
      <c r="AH27" s="87"/>
      <c r="AI27" s="89"/>
      <c r="AJ27" s="90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</row>
    <row r="28" spans="1:49" x14ac:dyDescent="0.25">
      <c r="A28" s="3"/>
      <c r="B28" s="271" t="str">
        <f>IF(Rates!D175=$A$23,Rates!B175," ")</f>
        <v>Rate Rider for Disposition of Account 1575 and 1576</v>
      </c>
      <c r="C28" s="78"/>
      <c r="D28" s="271" t="str">
        <f>IF(Rates!D175=$A$23,Rates!E175," ")</f>
        <v>customer</v>
      </c>
      <c r="E28" s="79"/>
      <c r="F28" s="80">
        <f>IF(Rates!$G$1="CND 2018",Rates!G175," ")</f>
        <v>0</v>
      </c>
      <c r="G28" s="438">
        <f t="shared" si="3"/>
        <v>1</v>
      </c>
      <c r="H28" s="82">
        <f t="shared" si="0"/>
        <v>0</v>
      </c>
      <c r="I28" s="87"/>
      <c r="J28" s="80">
        <f>IF(Rates!$L$1="E+ 2019",Rates!L175," ")</f>
        <v>0</v>
      </c>
      <c r="K28" s="439">
        <f t="shared" si="4"/>
        <v>1</v>
      </c>
      <c r="L28" s="82">
        <f t="shared" si="1"/>
        <v>0</v>
      </c>
      <c r="M28" s="399"/>
      <c r="N28" s="84">
        <f t="shared" si="2"/>
        <v>0</v>
      </c>
      <c r="O28" s="85" t="str">
        <f t="shared" si="5"/>
        <v/>
      </c>
      <c r="Q28" s="119"/>
      <c r="R28" s="87"/>
      <c r="S28" s="88"/>
      <c r="T28" s="87"/>
      <c r="U28" s="89"/>
      <c r="V28" s="90"/>
      <c r="W28" s="69"/>
      <c r="X28" s="119"/>
      <c r="Y28" s="87"/>
      <c r="Z28" s="88"/>
      <c r="AA28" s="87"/>
      <c r="AB28" s="89"/>
      <c r="AC28" s="90"/>
      <c r="AD28" s="69"/>
      <c r="AE28" s="119"/>
      <c r="AF28" s="87"/>
      <c r="AG28" s="88"/>
      <c r="AH28" s="87"/>
      <c r="AI28" s="89"/>
      <c r="AJ28" s="90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</row>
    <row r="29" spans="1:49" x14ac:dyDescent="0.25">
      <c r="A29" s="3"/>
      <c r="B29" s="271" t="str">
        <f>IF(Rates!D176=$A$23,Rates!B176," ")</f>
        <v>Rate Rider for Disposition of Account 1575 and 1576</v>
      </c>
      <c r="C29" s="78"/>
      <c r="D29" s="271" t="str">
        <f>IF(Rates!D176=$A$23,Rates!E176," ")</f>
        <v>kW</v>
      </c>
      <c r="E29" s="79"/>
      <c r="F29" s="80">
        <f>IF(Rates!$G$1="CND 2018",Rates!G176," ")</f>
        <v>0</v>
      </c>
      <c r="G29" s="438">
        <f t="shared" si="3"/>
        <v>2000</v>
      </c>
      <c r="H29" s="82">
        <f t="shared" si="0"/>
        <v>0</v>
      </c>
      <c r="I29" s="87"/>
      <c r="J29" s="80">
        <f>IF(Rates!$L$1="E+ 2019",Rates!L176," ")</f>
        <v>0</v>
      </c>
      <c r="K29" s="439">
        <f t="shared" si="4"/>
        <v>2000</v>
      </c>
      <c r="L29" s="82">
        <f t="shared" si="1"/>
        <v>0</v>
      </c>
      <c r="M29" s="399"/>
      <c r="N29" s="84">
        <f t="shared" si="2"/>
        <v>0</v>
      </c>
      <c r="O29" s="85" t="str">
        <f t="shared" si="5"/>
        <v/>
      </c>
      <c r="Q29" s="119"/>
      <c r="R29" s="87"/>
      <c r="S29" s="88"/>
      <c r="T29" s="87"/>
      <c r="U29" s="89"/>
      <c r="V29" s="90"/>
      <c r="W29" s="69"/>
      <c r="X29" s="119"/>
      <c r="Y29" s="87"/>
      <c r="Z29" s="88"/>
      <c r="AA29" s="87"/>
      <c r="AB29" s="89"/>
      <c r="AC29" s="90"/>
      <c r="AD29" s="69"/>
      <c r="AE29" s="119"/>
      <c r="AF29" s="87"/>
      <c r="AG29" s="88"/>
      <c r="AH29" s="87"/>
      <c r="AI29" s="89"/>
      <c r="AJ29" s="90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</row>
    <row r="30" spans="1:49" s="94" customFormat="1" x14ac:dyDescent="0.25">
      <c r="A30" s="99"/>
      <c r="B30" s="271" t="str">
        <f>IF(Rates!D177=$A$23,Rates!B177," ")</f>
        <v>Rate Rider for Disposition of Account 1575 and 1576</v>
      </c>
      <c r="C30" s="78"/>
      <c r="D30" s="271" t="str">
        <f>IF(Rates!D177=$A$23,Rates!E177," ")</f>
        <v>customer</v>
      </c>
      <c r="E30" s="79"/>
      <c r="F30" s="80">
        <f>IF(Rates!$G$1="CND 2018",Rates!G177," ")</f>
        <v>0</v>
      </c>
      <c r="G30" s="438">
        <f t="shared" si="3"/>
        <v>1</v>
      </c>
      <c r="H30" s="82">
        <f t="shared" si="0"/>
        <v>0</v>
      </c>
      <c r="I30" s="87"/>
      <c r="J30" s="80">
        <f>IF(Rates!$L$1="E+ 2019",Rates!L177," ")</f>
        <v>0</v>
      </c>
      <c r="K30" s="439">
        <f t="shared" si="4"/>
        <v>1</v>
      </c>
      <c r="L30" s="82">
        <f t="shared" si="1"/>
        <v>0</v>
      </c>
      <c r="M30" s="87"/>
      <c r="N30" s="84">
        <f t="shared" si="2"/>
        <v>0</v>
      </c>
      <c r="O30" s="85" t="str">
        <f t="shared" si="5"/>
        <v/>
      </c>
      <c r="Q30" s="119"/>
      <c r="R30" s="87"/>
      <c r="S30" s="88"/>
      <c r="T30" s="87"/>
      <c r="U30" s="89"/>
      <c r="V30" s="90"/>
      <c r="W30" s="69"/>
      <c r="X30" s="119"/>
      <c r="Y30" s="87"/>
      <c r="Z30" s="88"/>
      <c r="AA30" s="87"/>
      <c r="AB30" s="89"/>
      <c r="AC30" s="90"/>
      <c r="AD30" s="69"/>
      <c r="AE30" s="119"/>
      <c r="AF30" s="87"/>
      <c r="AG30" s="88"/>
      <c r="AH30" s="87"/>
      <c r="AI30" s="89"/>
      <c r="AJ30" s="90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</row>
    <row r="31" spans="1:49" s="94" customFormat="1" x14ac:dyDescent="0.25">
      <c r="A31" s="3"/>
      <c r="B31" s="271" t="str">
        <f>IF(Rates!D178=$A$23,Rates!B178," ")</f>
        <v>Rate Rider for LRAMVA</v>
      </c>
      <c r="C31" s="78"/>
      <c r="D31" s="271" t="str">
        <f>IF(Rates!D178=$A$23,Rates!E178," ")</f>
        <v>kW</v>
      </c>
      <c r="E31" s="79"/>
      <c r="F31" s="96">
        <f>IF(Rates!$G$1="CND 2018",Rates!G178," ")</f>
        <v>0</v>
      </c>
      <c r="G31" s="438">
        <f t="shared" si="3"/>
        <v>2000</v>
      </c>
      <c r="H31" s="82">
        <f t="shared" si="0"/>
        <v>0</v>
      </c>
      <c r="I31" s="87"/>
      <c r="J31" s="235">
        <f>IF(Rates!$L$1="E+ 2019",Rates!L178," ")</f>
        <v>7.282843324020509E-2</v>
      </c>
      <c r="K31" s="439">
        <f t="shared" si="4"/>
        <v>2000</v>
      </c>
      <c r="L31" s="82">
        <f t="shared" si="1"/>
        <v>145.65686648041017</v>
      </c>
      <c r="M31" s="87"/>
      <c r="N31" s="84">
        <f t="shared" si="2"/>
        <v>145.65686648041017</v>
      </c>
      <c r="O31" s="85" t="str">
        <f t="shared" si="5"/>
        <v/>
      </c>
      <c r="Q31" s="119"/>
      <c r="R31" s="87"/>
      <c r="S31" s="88"/>
      <c r="T31" s="87"/>
      <c r="U31" s="89"/>
      <c r="V31" s="90"/>
      <c r="W31" s="69"/>
      <c r="X31" s="119"/>
      <c r="Y31" s="87"/>
      <c r="Z31" s="88"/>
      <c r="AA31" s="87"/>
      <c r="AB31" s="89"/>
      <c r="AC31" s="90"/>
      <c r="AD31" s="69"/>
      <c r="AE31" s="119"/>
      <c r="AF31" s="87"/>
      <c r="AG31" s="88"/>
      <c r="AH31" s="87"/>
      <c r="AI31" s="89"/>
      <c r="AJ31" s="90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</row>
    <row r="32" spans="1:49" x14ac:dyDescent="0.25">
      <c r="A32" s="3"/>
      <c r="B32" s="271" t="str">
        <f>IF(Rates!D179=$A$23,Rates!B179," ")</f>
        <v>Rate Rider MIST</v>
      </c>
      <c r="C32" s="78"/>
      <c r="D32" s="271" t="str">
        <f>IF(Rates!D179=$A$23,Rates!E179," ")</f>
        <v>customer</v>
      </c>
      <c r="E32" s="79"/>
      <c r="F32" s="80">
        <f>IF(Rates!$G$1="CND 2018",Rates!G179," ")</f>
        <v>0</v>
      </c>
      <c r="G32" s="438">
        <f t="shared" si="3"/>
        <v>1</v>
      </c>
      <c r="H32" s="82">
        <f t="shared" si="0"/>
        <v>0</v>
      </c>
      <c r="I32" s="87"/>
      <c r="J32" s="80">
        <f>IF(Rates!$L$1="E+ 2019",Rates!L179," ")</f>
        <v>0</v>
      </c>
      <c r="K32" s="439">
        <f t="shared" si="4"/>
        <v>1</v>
      </c>
      <c r="L32" s="82">
        <f t="shared" si="1"/>
        <v>0</v>
      </c>
      <c r="M32" s="399"/>
      <c r="N32" s="84">
        <f t="shared" si="2"/>
        <v>0</v>
      </c>
      <c r="O32" s="85" t="str">
        <f t="shared" si="5"/>
        <v/>
      </c>
      <c r="Q32" s="98"/>
      <c r="R32" s="87"/>
      <c r="S32" s="88"/>
      <c r="T32" s="87"/>
      <c r="U32" s="89"/>
      <c r="V32" s="90"/>
      <c r="W32" s="69"/>
      <c r="X32" s="98"/>
      <c r="Y32" s="87"/>
      <c r="Z32" s="88"/>
      <c r="AA32" s="87"/>
      <c r="AB32" s="89"/>
      <c r="AC32" s="90"/>
      <c r="AD32" s="69"/>
      <c r="AE32" s="98"/>
      <c r="AF32" s="87"/>
      <c r="AG32" s="88"/>
      <c r="AH32" s="87"/>
      <c r="AI32" s="89"/>
      <c r="AJ32" s="90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</row>
    <row r="33" spans="1:49" x14ac:dyDescent="0.25">
      <c r="A33" s="3"/>
      <c r="B33" s="271" t="str">
        <f>IF(Rates!D180=$A$23,Rates!B180," ")</f>
        <v>Other Fixed</v>
      </c>
      <c r="C33" s="78"/>
      <c r="D33" s="271" t="str">
        <f>IF(Rates!D180=$A$23,Rates!E180," ")</f>
        <v>customer</v>
      </c>
      <c r="E33" s="79"/>
      <c r="F33" s="80">
        <f>IF(Rates!$G$1="CND 2018",Rates!G180," ")</f>
        <v>0</v>
      </c>
      <c r="G33" s="438">
        <f t="shared" si="3"/>
        <v>1</v>
      </c>
      <c r="H33" s="82">
        <f t="shared" si="0"/>
        <v>0</v>
      </c>
      <c r="I33" s="87"/>
      <c r="J33" s="80">
        <f>IF(Rates!$L$1="E+ 2019",Rates!L180," ")</f>
        <v>0</v>
      </c>
      <c r="K33" s="439">
        <f t="shared" si="4"/>
        <v>1</v>
      </c>
      <c r="L33" s="82">
        <f t="shared" si="1"/>
        <v>0</v>
      </c>
      <c r="M33" s="399"/>
      <c r="N33" s="84">
        <f t="shared" si="2"/>
        <v>0</v>
      </c>
      <c r="O33" s="85" t="str">
        <f t="shared" si="5"/>
        <v/>
      </c>
      <c r="Q33" s="98"/>
      <c r="R33" s="87"/>
      <c r="S33" s="88"/>
      <c r="T33" s="87"/>
      <c r="U33" s="89"/>
      <c r="V33" s="90"/>
      <c r="W33" s="69"/>
      <c r="X33" s="98"/>
      <c r="Y33" s="87"/>
      <c r="Z33" s="88"/>
      <c r="AA33" s="87"/>
      <c r="AB33" s="89"/>
      <c r="AC33" s="90"/>
      <c r="AD33" s="69"/>
      <c r="AE33" s="98"/>
      <c r="AF33" s="87"/>
      <c r="AG33" s="88"/>
      <c r="AH33" s="87"/>
      <c r="AI33" s="89"/>
      <c r="AJ33" s="90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</row>
    <row r="34" spans="1:49" x14ac:dyDescent="0.25">
      <c r="A34" s="3"/>
      <c r="B34" s="271" t="str">
        <f>IF(Rates!D181=$A$23,Rates!B181," ")</f>
        <v>Other Volumetric</v>
      </c>
      <c r="C34" s="78"/>
      <c r="D34" s="271" t="str">
        <f>IF(Rates!D181=$A$23,Rates!E181," ")</f>
        <v>kW</v>
      </c>
      <c r="E34" s="79"/>
      <c r="F34" s="80">
        <f>IF(Rates!$G$1="CND 2018",Rates!G181," ")</f>
        <v>0</v>
      </c>
      <c r="G34" s="438">
        <f t="shared" si="3"/>
        <v>2000</v>
      </c>
      <c r="H34" s="82">
        <f t="shared" si="0"/>
        <v>0</v>
      </c>
      <c r="I34" s="87"/>
      <c r="J34" s="80">
        <f>IF(Rates!$L$1="E+ 2019",Rates!L181," ")</f>
        <v>0</v>
      </c>
      <c r="K34" s="439">
        <f t="shared" si="4"/>
        <v>2000</v>
      </c>
      <c r="L34" s="82">
        <f t="shared" si="1"/>
        <v>0</v>
      </c>
      <c r="M34" s="399"/>
      <c r="N34" s="84">
        <f t="shared" si="2"/>
        <v>0</v>
      </c>
      <c r="O34" s="85" t="str">
        <f t="shared" si="5"/>
        <v/>
      </c>
      <c r="Q34" s="98"/>
      <c r="R34" s="87"/>
      <c r="S34" s="88"/>
      <c r="T34" s="87"/>
      <c r="U34" s="89"/>
      <c r="V34" s="90"/>
      <c r="W34" s="69"/>
      <c r="X34" s="98"/>
      <c r="Y34" s="87"/>
      <c r="Z34" s="88"/>
      <c r="AA34" s="87"/>
      <c r="AB34" s="89"/>
      <c r="AC34" s="90"/>
      <c r="AD34" s="69"/>
      <c r="AE34" s="98"/>
      <c r="AF34" s="87"/>
      <c r="AG34" s="88"/>
      <c r="AH34" s="87"/>
      <c r="AI34" s="89"/>
      <c r="AJ34" s="90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</row>
    <row r="35" spans="1:49" x14ac:dyDescent="0.25">
      <c r="A35" s="3"/>
      <c r="B35" s="271" t="str">
        <f>IF(Rates!D182=$A$23,Rates!B182," ")</f>
        <v>Rate Rider for gain on Sale of Property</v>
      </c>
      <c r="C35" s="78"/>
      <c r="D35" s="271" t="str">
        <f>IF(Rates!D182=$A$23,Rates!E182," ")</f>
        <v>kW</v>
      </c>
      <c r="E35" s="79"/>
      <c r="F35" s="80">
        <f>IF(Rates!$G$1="CND 2018",Rates!G182," ")</f>
        <v>0</v>
      </c>
      <c r="G35" s="438">
        <f t="shared" ref="G35" si="6">IF(D35="customer",1,IF(D35="kWh",$F$19,$F$17))</f>
        <v>2000</v>
      </c>
      <c r="H35" s="82">
        <f t="shared" ref="H35" si="7">G35*F35</f>
        <v>0</v>
      </c>
      <c r="I35" s="87"/>
      <c r="J35" s="235">
        <f>IF(Rates!$L$1="E+ 2019",Rates!L182," ")</f>
        <v>-0.10836892517016627</v>
      </c>
      <c r="K35" s="439">
        <f t="shared" ref="K35" si="8">IF(D35="customer",1,IF(D35="kWh",$F$19,$F$17))</f>
        <v>2000</v>
      </c>
      <c r="L35" s="82">
        <f t="shared" ref="L35" si="9">K35*J35</f>
        <v>-216.73785034033256</v>
      </c>
      <c r="M35" s="399"/>
      <c r="N35" s="84">
        <f t="shared" ref="N35" si="10">L35-H35</f>
        <v>-216.73785034033256</v>
      </c>
      <c r="O35" s="85" t="str">
        <f t="shared" ref="O35" si="11">IF(OR(H35=0,L35=0),"",(N35/H35))</f>
        <v/>
      </c>
      <c r="Q35" s="98"/>
      <c r="R35" s="87"/>
      <c r="S35" s="88"/>
      <c r="T35" s="87"/>
      <c r="U35" s="89"/>
      <c r="V35" s="90"/>
      <c r="W35" s="69"/>
      <c r="X35" s="98"/>
      <c r="Y35" s="87"/>
      <c r="Z35" s="88"/>
      <c r="AA35" s="87"/>
      <c r="AB35" s="89"/>
      <c r="AC35" s="90"/>
      <c r="AD35" s="69"/>
      <c r="AE35" s="98"/>
      <c r="AF35" s="87"/>
      <c r="AG35" s="88"/>
      <c r="AH35" s="87"/>
      <c r="AI35" s="89"/>
      <c r="AJ35" s="90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</row>
    <row r="36" spans="1:49" x14ac:dyDescent="0.25">
      <c r="A36" s="3"/>
      <c r="B36" s="109" t="s">
        <v>64</v>
      </c>
      <c r="C36" s="110"/>
      <c r="D36" s="110"/>
      <c r="E36" s="110"/>
      <c r="F36" s="111"/>
      <c r="G36" s="112"/>
      <c r="H36" s="113">
        <f>SUM(H23:H35)</f>
        <v>8341.8267799999994</v>
      </c>
      <c r="I36" s="87"/>
      <c r="J36" s="115"/>
      <c r="K36" s="116"/>
      <c r="L36" s="113">
        <f>SUM(L23:L35)</f>
        <v>8241.4484137836153</v>
      </c>
      <c r="M36" s="87"/>
      <c r="N36" s="117">
        <f t="shared" si="2"/>
        <v>-100.37836621638417</v>
      </c>
      <c r="O36" s="118">
        <f>IF(OR(H36=0, L36=0),"",(N36/H36))</f>
        <v>-1.2033139606428531E-2</v>
      </c>
      <c r="Q36" s="119"/>
      <c r="R36" s="120"/>
      <c r="S36" s="88"/>
      <c r="T36" s="87"/>
      <c r="U36" s="121"/>
      <c r="V36" s="122"/>
      <c r="W36" s="69"/>
      <c r="X36" s="119"/>
      <c r="Y36" s="120"/>
      <c r="Z36" s="88"/>
      <c r="AA36" s="87"/>
      <c r="AB36" s="121"/>
      <c r="AC36" s="122"/>
      <c r="AD36" s="69"/>
      <c r="AE36" s="119"/>
      <c r="AF36" s="120"/>
      <c r="AG36" s="88"/>
      <c r="AH36" s="87"/>
      <c r="AI36" s="121"/>
      <c r="AJ36" s="122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</row>
    <row r="37" spans="1:49" x14ac:dyDescent="0.25">
      <c r="A37" s="5" t="s">
        <v>18</v>
      </c>
      <c r="B37" s="271" t="str">
        <f>IF(Rates!D183=$A$37,Rates!B183," ")</f>
        <v>Low Voltage Service Rate</v>
      </c>
      <c r="C37" s="78"/>
      <c r="D37" s="271" t="str">
        <f>IF(Rates!D183=$A$37,Rates!E183," ")</f>
        <v>kW</v>
      </c>
      <c r="E37" s="79"/>
      <c r="F37" s="469">
        <f>IF(Rates!$G$1="CND 2018",Rates!G183," ")</f>
        <v>4.2099999999999999E-2</v>
      </c>
      <c r="G37" s="438">
        <f t="shared" ref="G37:G51" si="12">IF(D37="customer",1,IF(D37="kWh",$F$19,$F$17))</f>
        <v>2000</v>
      </c>
      <c r="H37" s="126">
        <f>G37*F37</f>
        <v>84.2</v>
      </c>
      <c r="I37" s="87"/>
      <c r="J37" s="469">
        <f>IF(Rates!$L$1="E+ 2019",Rates!L183," ")</f>
        <v>0.18090000000000001</v>
      </c>
      <c r="K37" s="439">
        <f t="shared" ref="K37:K45" si="13">IF(D37="customer",1,IF(D37="kWh",$F$19,$F$17))</f>
        <v>2000</v>
      </c>
      <c r="L37" s="82">
        <f t="shared" si="1"/>
        <v>361.8</v>
      </c>
      <c r="M37" s="87"/>
      <c r="N37" s="84">
        <f t="shared" si="2"/>
        <v>277.60000000000002</v>
      </c>
      <c r="O37" s="85">
        <f t="shared" ref="O37:O44" si="14">IF(OR(H37=0,L37=0),"",(N37/H37))</f>
        <v>3.2969121140142521</v>
      </c>
      <c r="Q37" s="119"/>
      <c r="R37" s="87"/>
      <c r="S37" s="88"/>
      <c r="T37" s="87"/>
      <c r="U37" s="89"/>
      <c r="V37" s="90"/>
      <c r="W37" s="69"/>
      <c r="X37" s="119"/>
      <c r="Y37" s="87"/>
      <c r="Z37" s="88"/>
      <c r="AA37" s="87"/>
      <c r="AB37" s="89"/>
      <c r="AC37" s="90"/>
      <c r="AD37" s="69"/>
      <c r="AE37" s="119"/>
      <c r="AF37" s="87"/>
      <c r="AG37" s="88"/>
      <c r="AH37" s="87"/>
      <c r="AI37" s="89"/>
      <c r="AJ37" s="90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</row>
    <row r="38" spans="1:49" x14ac:dyDescent="0.25">
      <c r="A38" s="1"/>
      <c r="B38" s="124" t="s">
        <v>116</v>
      </c>
      <c r="C38" s="78"/>
      <c r="D38" s="271" t="s">
        <v>13</v>
      </c>
      <c r="E38" s="79"/>
      <c r="F38" s="469">
        <v>0</v>
      </c>
      <c r="G38" s="125"/>
      <c r="H38" s="126">
        <f t="shared" ref="H38:H44" si="15">G38*F38</f>
        <v>0</v>
      </c>
      <c r="I38" s="87"/>
      <c r="J38" s="469"/>
      <c r="K38" s="125"/>
      <c r="L38" s="82">
        <f t="shared" si="1"/>
        <v>0</v>
      </c>
      <c r="M38" s="87"/>
      <c r="N38" s="84">
        <f t="shared" si="2"/>
        <v>0</v>
      </c>
      <c r="O38" s="85" t="str">
        <f t="shared" si="14"/>
        <v/>
      </c>
      <c r="Q38" s="128"/>
      <c r="R38" s="129"/>
      <c r="S38" s="88"/>
      <c r="T38" s="87"/>
      <c r="U38" s="89"/>
      <c r="V38" s="90"/>
      <c r="W38" s="69"/>
      <c r="X38" s="128"/>
      <c r="Y38" s="129"/>
      <c r="Z38" s="88"/>
      <c r="AA38" s="87"/>
      <c r="AB38" s="89"/>
      <c r="AC38" s="90"/>
      <c r="AD38" s="69"/>
      <c r="AE38" s="128"/>
      <c r="AF38" s="129"/>
      <c r="AG38" s="88"/>
      <c r="AH38" s="87"/>
      <c r="AI38" s="89"/>
      <c r="AJ38" s="90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</row>
    <row r="39" spans="1:49" x14ac:dyDescent="0.25">
      <c r="A39" s="130"/>
      <c r="B39" s="271" t="str">
        <f>IF(Rates!D184=$A$37,Rates!B184," ")</f>
        <v>Rate Rider Other Fixed</v>
      </c>
      <c r="C39" s="78"/>
      <c r="D39" s="271" t="str">
        <f>IF(Rates!D184=$A$37,Rates!E184," ")</f>
        <v>customer</v>
      </c>
      <c r="E39" s="79"/>
      <c r="F39" s="469">
        <f>IF(Rates!$G$1="CND 2018",Rates!G184," ")</f>
        <v>0</v>
      </c>
      <c r="G39" s="438">
        <f t="shared" si="12"/>
        <v>1</v>
      </c>
      <c r="H39" s="126">
        <f t="shared" si="15"/>
        <v>0</v>
      </c>
      <c r="I39" s="87"/>
      <c r="J39" s="469">
        <f>IF(Rates!$L$1="E+ 2019",Rates!L184," ")</f>
        <v>0</v>
      </c>
      <c r="K39" s="439">
        <f t="shared" si="13"/>
        <v>1</v>
      </c>
      <c r="L39" s="82">
        <f t="shared" si="1"/>
        <v>0</v>
      </c>
      <c r="M39" s="87"/>
      <c r="N39" s="84">
        <f t="shared" si="2"/>
        <v>0</v>
      </c>
      <c r="O39" s="85" t="str">
        <f t="shared" si="14"/>
        <v/>
      </c>
      <c r="Q39" s="119"/>
      <c r="R39" s="87"/>
      <c r="S39" s="88"/>
      <c r="T39" s="87"/>
      <c r="U39" s="89"/>
      <c r="V39" s="90"/>
      <c r="W39" s="69"/>
      <c r="X39" s="119"/>
      <c r="Y39" s="87"/>
      <c r="Z39" s="88"/>
      <c r="AA39" s="87"/>
      <c r="AB39" s="89"/>
      <c r="AC39" s="90"/>
      <c r="AD39" s="69"/>
      <c r="AE39" s="119"/>
      <c r="AF39" s="87"/>
      <c r="AG39" s="88"/>
      <c r="AH39" s="87"/>
      <c r="AI39" s="89"/>
      <c r="AJ39" s="90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</row>
    <row r="40" spans="1:49" x14ac:dyDescent="0.25">
      <c r="A40" s="130"/>
      <c r="B40" s="271" t="str">
        <f>IF(Rates!D185=$A$37,Rates!B185," ")</f>
        <v>Rate Rider Other Volumetric</v>
      </c>
      <c r="C40" s="78"/>
      <c r="D40" s="271" t="str">
        <f>IF(Rates!D185=$A$37,Rates!E185," ")</f>
        <v>kW</v>
      </c>
      <c r="E40" s="79"/>
      <c r="F40" s="469">
        <f>IF(Rates!$G$1="CND 2018",Rates!G185," ")</f>
        <v>0</v>
      </c>
      <c r="G40" s="438">
        <f t="shared" si="12"/>
        <v>2000</v>
      </c>
      <c r="H40" s="126">
        <f t="shared" si="15"/>
        <v>0</v>
      </c>
      <c r="I40" s="87"/>
      <c r="J40" s="469">
        <f>IF(Rates!$L$1="E+ 2019",Rates!L185," ")</f>
        <v>7.7022646877985754E-2</v>
      </c>
      <c r="K40" s="439">
        <f t="shared" si="13"/>
        <v>2000</v>
      </c>
      <c r="L40" s="82">
        <f t="shared" si="1"/>
        <v>154.0452937559715</v>
      </c>
      <c r="M40" s="87"/>
      <c r="N40" s="84">
        <f t="shared" si="2"/>
        <v>154.0452937559715</v>
      </c>
      <c r="O40" s="85" t="str">
        <f t="shared" si="14"/>
        <v/>
      </c>
      <c r="Q40" s="119"/>
      <c r="R40" s="87"/>
      <c r="S40" s="88"/>
      <c r="T40" s="87"/>
      <c r="U40" s="89"/>
      <c r="V40" s="90"/>
      <c r="W40" s="69"/>
      <c r="X40" s="119"/>
      <c r="Y40" s="87"/>
      <c r="Z40" s="88"/>
      <c r="AA40" s="87"/>
      <c r="AB40" s="89"/>
      <c r="AC40" s="90"/>
      <c r="AD40" s="69"/>
      <c r="AE40" s="119"/>
      <c r="AF40" s="87"/>
      <c r="AG40" s="88"/>
      <c r="AH40" s="87"/>
      <c r="AI40" s="89"/>
      <c r="AJ40" s="90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</row>
    <row r="41" spans="1:49" x14ac:dyDescent="0.25">
      <c r="A41" s="130"/>
      <c r="B41" s="271" t="str">
        <f>IF(Rates!D186=$A$37,Rates!B186," ")</f>
        <v>Rate Rider Other Volumetric</v>
      </c>
      <c r="C41" s="78"/>
      <c r="D41" s="271" t="str">
        <f>IF(Rates!D186=$A$37,Rates!E186," ")</f>
        <v>kW</v>
      </c>
      <c r="E41" s="79"/>
      <c r="F41" s="469">
        <f>IF(Rates!$G$1="CND 2018",Rates!G186," ")</f>
        <v>0</v>
      </c>
      <c r="G41" s="438">
        <f t="shared" si="12"/>
        <v>2000</v>
      </c>
      <c r="H41" s="126">
        <f t="shared" si="15"/>
        <v>0</v>
      </c>
      <c r="I41" s="87"/>
      <c r="J41" s="469">
        <f>IF(Rates!$L$1="E+ 2019",Rates!L186," ")</f>
        <v>0</v>
      </c>
      <c r="K41" s="439">
        <f t="shared" si="13"/>
        <v>2000</v>
      </c>
      <c r="L41" s="82">
        <f t="shared" si="1"/>
        <v>0</v>
      </c>
      <c r="M41" s="87"/>
      <c r="N41" s="84">
        <f t="shared" si="2"/>
        <v>0</v>
      </c>
      <c r="O41" s="85" t="str">
        <f t="shared" si="14"/>
        <v/>
      </c>
      <c r="Q41" s="119"/>
      <c r="R41" s="87"/>
      <c r="S41" s="88"/>
      <c r="T41" s="87"/>
      <c r="U41" s="89"/>
      <c r="V41" s="90"/>
      <c r="W41" s="69"/>
      <c r="X41" s="119"/>
      <c r="Y41" s="87"/>
      <c r="Z41" s="88"/>
      <c r="AA41" s="87"/>
      <c r="AB41" s="89"/>
      <c r="AC41" s="90"/>
      <c r="AD41" s="69"/>
      <c r="AE41" s="119"/>
      <c r="AF41" s="87"/>
      <c r="AG41" s="88"/>
      <c r="AH41" s="87"/>
      <c r="AI41" s="89"/>
      <c r="AJ41" s="90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</row>
    <row r="42" spans="1:49" x14ac:dyDescent="0.25">
      <c r="A42" s="1"/>
      <c r="B42" s="271" t="str">
        <f>IF(Rates!D187=$A$37,Rates!B187," ")</f>
        <v xml:space="preserve">Rate Rider for Disposition of Deferral/Variance Accounts </v>
      </c>
      <c r="C42" s="78"/>
      <c r="D42" s="271" t="str">
        <f>IF(Rates!D187=$A$37,Rates!E187," ")</f>
        <v>kW</v>
      </c>
      <c r="E42" s="79"/>
      <c r="F42" s="469">
        <f>IF(Rates!$G$1="CND 2018",Rates!G187," ")</f>
        <v>-0.39842107158418288</v>
      </c>
      <c r="G42" s="438">
        <f t="shared" si="12"/>
        <v>2000</v>
      </c>
      <c r="H42" s="126">
        <f t="shared" si="15"/>
        <v>-796.84214316836574</v>
      </c>
      <c r="I42" s="87"/>
      <c r="J42" s="469">
        <f>IF(Rates!$L$1="E+ 2019",Rates!L187," ")</f>
        <v>-0.61247752516478926</v>
      </c>
      <c r="K42" s="439">
        <f t="shared" si="13"/>
        <v>2000</v>
      </c>
      <c r="L42" s="82">
        <f t="shared" si="1"/>
        <v>-1224.9550503295786</v>
      </c>
      <c r="M42" s="87"/>
      <c r="N42" s="84">
        <f t="shared" si="2"/>
        <v>-428.11290716121289</v>
      </c>
      <c r="O42" s="85">
        <f t="shared" si="14"/>
        <v>0.53726187907051548</v>
      </c>
      <c r="Q42" s="128"/>
      <c r="R42" s="129"/>
      <c r="S42" s="88"/>
      <c r="T42" s="87"/>
      <c r="U42" s="89"/>
      <c r="V42" s="90"/>
      <c r="W42" s="69"/>
      <c r="X42" s="128"/>
      <c r="Y42" s="129"/>
      <c r="Z42" s="88"/>
      <c r="AA42" s="87"/>
      <c r="AB42" s="89"/>
      <c r="AC42" s="90"/>
      <c r="AD42" s="69"/>
      <c r="AE42" s="128"/>
      <c r="AF42" s="129"/>
      <c r="AG42" s="88"/>
      <c r="AH42" s="87"/>
      <c r="AI42" s="89"/>
      <c r="AJ42" s="90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</row>
    <row r="43" spans="1:49" x14ac:dyDescent="0.25">
      <c r="A43" s="1"/>
      <c r="B43" s="271" t="str">
        <f>IF(Rates!D188=$A$37,Rates!B188," ")</f>
        <v>Rate Rider for Disposition of Deferral/Variance Accounts Non-WMP Customers</v>
      </c>
      <c r="C43" s="78"/>
      <c r="D43" s="271" t="str">
        <f>IF(Rates!D188=$A$37,Rates!E188," ")</f>
        <v>kW</v>
      </c>
      <c r="E43" s="79"/>
      <c r="F43" s="469">
        <f>IF(Rates!$G$1="CND 2018",Rates!G188," ")</f>
        <v>-2.2353997609561107</v>
      </c>
      <c r="G43" s="438">
        <f t="shared" si="12"/>
        <v>2000</v>
      </c>
      <c r="H43" s="126">
        <f t="shared" si="15"/>
        <v>-4470.7995219122213</v>
      </c>
      <c r="I43" s="87"/>
      <c r="J43" s="469">
        <f>IF(Rates!$L$1="E+ 2019",Rates!L188," ")</f>
        <v>-0.1166961875706015</v>
      </c>
      <c r="K43" s="439">
        <f t="shared" si="13"/>
        <v>2000</v>
      </c>
      <c r="L43" s="82">
        <f t="shared" si="1"/>
        <v>-233.39237514120302</v>
      </c>
      <c r="M43" s="87"/>
      <c r="N43" s="84">
        <f t="shared" si="2"/>
        <v>4237.4071467710182</v>
      </c>
      <c r="O43" s="85">
        <f t="shared" si="14"/>
        <v>-0.94779627804885824</v>
      </c>
      <c r="Q43" s="128"/>
      <c r="R43" s="129"/>
      <c r="S43" s="88"/>
      <c r="T43" s="87"/>
      <c r="U43" s="89"/>
      <c r="V43" s="90"/>
      <c r="W43" s="69"/>
      <c r="X43" s="128"/>
      <c r="Y43" s="129"/>
      <c r="Z43" s="88"/>
      <c r="AA43" s="87"/>
      <c r="AB43" s="89"/>
      <c r="AC43" s="90"/>
      <c r="AD43" s="69"/>
      <c r="AE43" s="128"/>
      <c r="AF43" s="129"/>
      <c r="AG43" s="88"/>
      <c r="AH43" s="87"/>
      <c r="AI43" s="89"/>
      <c r="AJ43" s="90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</row>
    <row r="44" spans="1:49" x14ac:dyDescent="0.25">
      <c r="A44" s="1"/>
      <c r="B44" s="271" t="str">
        <f>IF(Rates!D189=$A$37,Rates!B189," ")</f>
        <v>Rate Rider for Disposition of GA DV</v>
      </c>
      <c r="C44" s="78"/>
      <c r="D44" s="271" t="str">
        <f>IF(Rates!D189=$A$37,Rates!E189," ")</f>
        <v>kWh</v>
      </c>
      <c r="E44" s="79"/>
      <c r="F44" s="469">
        <f>IF(Rates!$G$1="CND 2018",Rates!G189," ")</f>
        <v>3.3E-3</v>
      </c>
      <c r="G44" s="440">
        <f t="shared" si="12"/>
        <v>800000</v>
      </c>
      <c r="H44" s="126">
        <f t="shared" si="15"/>
        <v>2640</v>
      </c>
      <c r="I44" s="87"/>
      <c r="J44" s="469">
        <f>IF(Rates!$L$1="E+ 2019",Rates!L189," ")</f>
        <v>3.8449181889326281E-4</v>
      </c>
      <c r="K44" s="441">
        <f t="shared" si="13"/>
        <v>800000</v>
      </c>
      <c r="L44" s="82">
        <f t="shared" si="1"/>
        <v>307.59345511461026</v>
      </c>
      <c r="M44" s="87"/>
      <c r="N44" s="84">
        <f t="shared" si="2"/>
        <v>-2332.4065448853898</v>
      </c>
      <c r="O44" s="85">
        <f t="shared" si="14"/>
        <v>-0.88348732760810222</v>
      </c>
      <c r="Q44" s="128"/>
      <c r="R44" s="129"/>
      <c r="S44" s="88"/>
      <c r="T44" s="87"/>
      <c r="U44" s="89"/>
      <c r="V44" s="90"/>
      <c r="W44" s="69"/>
      <c r="X44" s="128"/>
      <c r="Y44" s="129"/>
      <c r="Z44" s="88"/>
      <c r="AA44" s="87"/>
      <c r="AB44" s="89"/>
      <c r="AC44" s="90"/>
      <c r="AD44" s="69"/>
      <c r="AE44" s="128"/>
      <c r="AF44" s="129"/>
      <c r="AG44" s="88"/>
      <c r="AH44" s="87"/>
      <c r="AI44" s="89"/>
      <c r="AJ44" s="90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</row>
    <row r="45" spans="1:49" x14ac:dyDescent="0.25">
      <c r="A45" s="1"/>
      <c r="B45" s="271" t="str">
        <f>IF(Rates!D190=$A$37,Rates!B190," ")</f>
        <v>Rate Rider for Disposition of Capacity Based Recovery Account (2018) - Applicable only for Class B Customers</v>
      </c>
      <c r="C45" s="78"/>
      <c r="D45" s="271" t="str">
        <f>IF(Rates!D190=$A$37,Rates!E190," ")</f>
        <v>kW</v>
      </c>
      <c r="E45" s="79"/>
      <c r="F45" s="469">
        <f>IF(Rates!$G$1="CND 2018",Rates!G190," ")</f>
        <v>0.1709</v>
      </c>
      <c r="G45" s="438">
        <f t="shared" si="12"/>
        <v>2000</v>
      </c>
      <c r="H45" s="126">
        <f t="shared" ref="H45" si="16">G45*F45</f>
        <v>341.8</v>
      </c>
      <c r="I45" s="87"/>
      <c r="J45" s="469">
        <f>IF(Rates!$L$1="E+ 2019",Rates!L190," ")</f>
        <v>1.5235690482471663E-3</v>
      </c>
      <c r="K45" s="439">
        <f t="shared" si="13"/>
        <v>2000</v>
      </c>
      <c r="L45" s="82">
        <f t="shared" ref="L45" si="17">K45*J45</f>
        <v>3.0471380964943324</v>
      </c>
      <c r="M45" s="87"/>
      <c r="N45" s="84">
        <f t="shared" ref="N45" si="18">L45-H45</f>
        <v>-338.75286190350567</v>
      </c>
      <c r="O45" s="85">
        <f t="shared" ref="O45" si="19">IF(OR(H45=0,L45=0),"",(N45/H45))</f>
        <v>-0.99108502604887561</v>
      </c>
      <c r="Q45" s="128"/>
      <c r="R45" s="129"/>
      <c r="S45" s="88"/>
      <c r="T45" s="87"/>
      <c r="U45" s="89"/>
      <c r="V45" s="90"/>
      <c r="W45" s="69"/>
      <c r="X45" s="128"/>
      <c r="Y45" s="129"/>
      <c r="Z45" s="88"/>
      <c r="AA45" s="87"/>
      <c r="AB45" s="89"/>
      <c r="AC45" s="90"/>
      <c r="AD45" s="69"/>
      <c r="AE45" s="128"/>
      <c r="AF45" s="129"/>
      <c r="AG45" s="88"/>
      <c r="AH45" s="87"/>
      <c r="AI45" s="89"/>
      <c r="AJ45" s="90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</row>
    <row r="46" spans="1:49" hidden="1" x14ac:dyDescent="0.25">
      <c r="A46" s="1"/>
      <c r="B46" s="271"/>
      <c r="C46" s="78"/>
      <c r="D46" s="271"/>
      <c r="E46" s="79"/>
      <c r="F46" s="469"/>
      <c r="G46" s="438"/>
      <c r="H46" s="126"/>
      <c r="I46" s="87"/>
      <c r="J46" s="469"/>
      <c r="K46" s="439"/>
      <c r="L46" s="82"/>
      <c r="M46" s="87"/>
      <c r="N46" s="84"/>
      <c r="O46" s="85"/>
      <c r="Q46" s="128"/>
      <c r="R46" s="129"/>
      <c r="S46" s="88"/>
      <c r="T46" s="87"/>
      <c r="U46" s="89"/>
      <c r="V46" s="90"/>
      <c r="W46" s="69"/>
      <c r="X46" s="128"/>
      <c r="Y46" s="129"/>
      <c r="Z46" s="88"/>
      <c r="AA46" s="87"/>
      <c r="AB46" s="89"/>
      <c r="AC46" s="90"/>
      <c r="AD46" s="69"/>
      <c r="AE46" s="128"/>
      <c r="AF46" s="129"/>
      <c r="AG46" s="88"/>
      <c r="AH46" s="87"/>
      <c r="AI46" s="89"/>
      <c r="AJ46" s="90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</row>
    <row r="47" spans="1:49" x14ac:dyDescent="0.25">
      <c r="A47" s="1"/>
      <c r="B47" s="132" t="s">
        <v>80</v>
      </c>
      <c r="C47" s="133"/>
      <c r="D47" s="133"/>
      <c r="E47" s="133"/>
      <c r="F47" s="134"/>
      <c r="G47" s="135"/>
      <c r="H47" s="136">
        <f>SUM(H37:H46)+H36</f>
        <v>6140.1851149194126</v>
      </c>
      <c r="I47" s="87"/>
      <c r="J47" s="135"/>
      <c r="K47" s="137"/>
      <c r="L47" s="136">
        <f>SUM(L37:L46)+L36</f>
        <v>7609.5868752799097</v>
      </c>
      <c r="M47" s="87"/>
      <c r="N47" s="117">
        <f>L47-H47</f>
        <v>1469.4017603604971</v>
      </c>
      <c r="O47" s="138">
        <f>IF(OR(H47=0,L47=0),"",(N47/H47))</f>
        <v>0.23930903268537407</v>
      </c>
      <c r="Q47" s="87"/>
      <c r="R47" s="87"/>
      <c r="S47" s="121"/>
      <c r="T47" s="87"/>
      <c r="U47" s="121"/>
      <c r="V47" s="139"/>
      <c r="W47" s="69"/>
      <c r="X47" s="87"/>
      <c r="Y47" s="87"/>
      <c r="Z47" s="121"/>
      <c r="AA47" s="87"/>
      <c r="AB47" s="121"/>
      <c r="AC47" s="139"/>
      <c r="AD47" s="69"/>
      <c r="AE47" s="87"/>
      <c r="AF47" s="87"/>
      <c r="AG47" s="121"/>
      <c r="AH47" s="87"/>
      <c r="AI47" s="121"/>
      <c r="AJ47" s="13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</row>
    <row r="48" spans="1:49" x14ac:dyDescent="0.25">
      <c r="A48" s="38" t="s">
        <v>16</v>
      </c>
      <c r="B48" s="271" t="str">
        <f>IF(Rates!D191=$A$48,Rates!B191," ")</f>
        <v>Retail Transmission Rate – Network Service Rate</v>
      </c>
      <c r="C48" s="83"/>
      <c r="D48" s="271" t="str">
        <f>IF(Rates!D191= $A$48,Rates!E191," ")</f>
        <v>kW</v>
      </c>
      <c r="E48" s="91"/>
      <c r="F48" s="235">
        <f>IF(Rates!$G$1="CND 2018",Rates!G191," ")</f>
        <v>2.5491000000000001</v>
      </c>
      <c r="G48" s="440">
        <f t="shared" si="12"/>
        <v>2000</v>
      </c>
      <c r="H48" s="82">
        <f>G48*F48</f>
        <v>5098.2000000000007</v>
      </c>
      <c r="I48" s="87"/>
      <c r="J48" s="235">
        <f>IF(Rates!$L$1="E+ 2019",Rates!L191," ")</f>
        <v>2.3620195199576757</v>
      </c>
      <c r="K48" s="440">
        <f t="shared" ref="K48:K49" si="20">IF(H48="customer",1,IF(H48="kWh",$F$19,$F$17))</f>
        <v>2000</v>
      </c>
      <c r="L48" s="82">
        <f>K48*J48</f>
        <v>4724.0390399153512</v>
      </c>
      <c r="M48" s="87"/>
      <c r="N48" s="84">
        <f t="shared" si="2"/>
        <v>-374.16096008464956</v>
      </c>
      <c r="O48" s="85">
        <f>IF(OR(H48=0,L48=0),"",(N48/H48))</f>
        <v>-7.3390796768398547E-2</v>
      </c>
      <c r="Q48" s="119"/>
      <c r="R48" s="141"/>
      <c r="S48" s="88"/>
      <c r="T48" s="87"/>
      <c r="U48" s="89"/>
      <c r="V48" s="90"/>
      <c r="W48" s="69"/>
      <c r="X48" s="119"/>
      <c r="Y48" s="141"/>
      <c r="Z48" s="88"/>
      <c r="AA48" s="87"/>
      <c r="AB48" s="89"/>
      <c r="AC48" s="90"/>
      <c r="AD48" s="69"/>
      <c r="AE48" s="119"/>
      <c r="AF48" s="141"/>
      <c r="AG48" s="88"/>
      <c r="AH48" s="87"/>
      <c r="AI48" s="89"/>
      <c r="AJ48" s="90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</row>
    <row r="49" spans="1:49" x14ac:dyDescent="0.25">
      <c r="A49" s="1"/>
      <c r="B49" s="271" t="str">
        <f>IF(Rates!D192=$A$48,Rates!B192," ")</f>
        <v>Retail Transmission Rate – Line and Transformation Connection Service Rate</v>
      </c>
      <c r="C49" s="83"/>
      <c r="D49" s="271" t="str">
        <f>IF(Rates!D192= $A$48,Rates!E192," ")</f>
        <v>kW</v>
      </c>
      <c r="E49" s="91"/>
      <c r="F49" s="235">
        <f>IF(Rates!$G$1="CND 2018",Rates!G192," ")</f>
        <v>1.9499</v>
      </c>
      <c r="G49" s="440">
        <f t="shared" si="12"/>
        <v>2000</v>
      </c>
      <c r="H49" s="82">
        <f t="shared" ref="H49" si="21">G49*F49</f>
        <v>3899.7999999999997</v>
      </c>
      <c r="I49" s="87"/>
      <c r="J49" s="235">
        <f>IF(Rates!$L$1="E+ 2019",Rates!L192," ")</f>
        <v>1.6223999999999998</v>
      </c>
      <c r="K49" s="440">
        <f t="shared" si="20"/>
        <v>2000</v>
      </c>
      <c r="L49" s="82">
        <f t="shared" ref="L49" si="22">K49*J49</f>
        <v>3244.7999999999997</v>
      </c>
      <c r="M49" s="87"/>
      <c r="N49" s="84">
        <f t="shared" si="2"/>
        <v>-655</v>
      </c>
      <c r="O49" s="85">
        <f t="shared" ref="O49" si="23">IF(OR(H49=0,L49=0),"",(N49/H49))</f>
        <v>-0.16795733114518693</v>
      </c>
      <c r="Q49" s="119"/>
      <c r="R49" s="141"/>
      <c r="S49" s="88"/>
      <c r="T49" s="87"/>
      <c r="U49" s="89"/>
      <c r="V49" s="90"/>
      <c r="W49" s="69"/>
      <c r="X49" s="119"/>
      <c r="Y49" s="141"/>
      <c r="Z49" s="88"/>
      <c r="AA49" s="87"/>
      <c r="AB49" s="89"/>
      <c r="AC49" s="90"/>
      <c r="AD49" s="69"/>
      <c r="AE49" s="119"/>
      <c r="AF49" s="141"/>
      <c r="AG49" s="88"/>
      <c r="AH49" s="87"/>
      <c r="AI49" s="89"/>
      <c r="AJ49" s="90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</row>
    <row r="50" spans="1:49" x14ac:dyDescent="0.25">
      <c r="A50" s="1"/>
      <c r="B50" s="132" t="s">
        <v>81</v>
      </c>
      <c r="C50" s="110"/>
      <c r="D50" s="110"/>
      <c r="E50" s="110"/>
      <c r="F50" s="142"/>
      <c r="G50" s="135"/>
      <c r="H50" s="136">
        <f>SUM(H47:H49)</f>
        <v>15138.185114919412</v>
      </c>
      <c r="I50" s="146"/>
      <c r="J50" s="144"/>
      <c r="K50" s="145"/>
      <c r="L50" s="136">
        <f>SUM(L47:L49)</f>
        <v>15578.425915195261</v>
      </c>
      <c r="M50" s="146"/>
      <c r="N50" s="117">
        <f>L50-H50</f>
        <v>440.24080027584932</v>
      </c>
      <c r="O50" s="138">
        <f>IF(OR(H50=0,L50=0),"",(N50/H50))</f>
        <v>2.9081478191330265E-2</v>
      </c>
      <c r="Q50" s="146"/>
      <c r="R50" s="146"/>
      <c r="S50" s="121"/>
      <c r="T50" s="146"/>
      <c r="U50" s="121"/>
      <c r="V50" s="139"/>
      <c r="W50" s="69"/>
      <c r="X50" s="146"/>
      <c r="Y50" s="146"/>
      <c r="Z50" s="121"/>
      <c r="AA50" s="146"/>
      <c r="AB50" s="121"/>
      <c r="AC50" s="139"/>
      <c r="AD50" s="69"/>
      <c r="AE50" s="146"/>
      <c r="AF50" s="146"/>
      <c r="AG50" s="121"/>
      <c r="AH50" s="146"/>
      <c r="AI50" s="121"/>
      <c r="AJ50" s="13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</row>
    <row r="51" spans="1:49" x14ac:dyDescent="0.25">
      <c r="A51" s="4" t="s">
        <v>17</v>
      </c>
      <c r="B51" s="271" t="str">
        <f>IF(Rates!D8=$A$51,Rates!B8," ")</f>
        <v>Standard Supply Service – Administrative Charge (if applicable)</v>
      </c>
      <c r="C51" s="78"/>
      <c r="D51" s="271" t="str">
        <f>IF(Rates!D8=$A$51,Rates!E8," ")</f>
        <v>customer</v>
      </c>
      <c r="E51" s="79"/>
      <c r="F51" s="235">
        <f>IF(Rates!$G$1="CND 2018",Rates!G8," ")</f>
        <v>0.25</v>
      </c>
      <c r="G51" s="438">
        <f t="shared" si="12"/>
        <v>1</v>
      </c>
      <c r="H51" s="148">
        <f t="shared" ref="H51:H60" si="24">G51*F51</f>
        <v>0.25</v>
      </c>
      <c r="I51" s="87"/>
      <c r="J51" s="80">
        <f>IF(Rates!$L$1="E+ 2019",Rates!L8," ")</f>
        <v>0.25</v>
      </c>
      <c r="K51" s="439">
        <f t="shared" ref="K51" si="25">IF(D51="customer",1,IF(D51="kWh",$F$19,$F$17))</f>
        <v>1</v>
      </c>
      <c r="L51" s="148">
        <f t="shared" ref="L51:L60" si="26">K51*J51</f>
        <v>0.25</v>
      </c>
      <c r="M51" s="87"/>
      <c r="N51" s="84">
        <f t="shared" si="2"/>
        <v>0</v>
      </c>
      <c r="O51" s="85">
        <f>IF(OR(H51=0,L51=0),"",(N51/H51))</f>
        <v>0</v>
      </c>
      <c r="Q51" s="150"/>
      <c r="R51" s="224"/>
      <c r="S51" s="151"/>
      <c r="T51" s="87"/>
      <c r="U51" s="89"/>
      <c r="V51" s="90"/>
      <c r="W51" s="69"/>
      <c r="X51" s="150"/>
      <c r="Y51" s="224"/>
      <c r="Z51" s="151"/>
      <c r="AA51" s="87"/>
      <c r="AB51" s="89"/>
      <c r="AC51" s="90"/>
      <c r="AD51" s="69"/>
      <c r="AE51" s="150"/>
      <c r="AF51" s="224"/>
      <c r="AG51" s="151"/>
      <c r="AH51" s="87"/>
      <c r="AI51" s="89"/>
      <c r="AJ51" s="90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</row>
    <row r="52" spans="1:49" x14ac:dyDescent="0.25">
      <c r="A52" s="1"/>
      <c r="B52" s="271" t="str">
        <f>IF(Rates!D9=$A$51,Rates!B9," ")</f>
        <v xml:space="preserve">Wholesale Market Service Rate </v>
      </c>
      <c r="C52" s="78"/>
      <c r="D52" s="271" t="str">
        <f>IF(Rates!D9=$A$51,Rates!E9," ")</f>
        <v>kWh</v>
      </c>
      <c r="E52" s="79"/>
      <c r="F52" s="235">
        <f>IF(Rates!$G$1="CND 2018",Rates!G9," ")</f>
        <v>3.2000000000000002E-3</v>
      </c>
      <c r="G52" s="225">
        <f>$F$19*(1+$F$74)</f>
        <v>826800.00000000012</v>
      </c>
      <c r="H52" s="148">
        <f t="shared" si="24"/>
        <v>2645.7600000000007</v>
      </c>
      <c r="I52" s="87"/>
      <c r="J52" s="235">
        <f>IF(Rates!$L$1="E+ 2019",Rates!L9," ")</f>
        <v>3.2000000000000002E-3</v>
      </c>
      <c r="K52" s="225">
        <f>$F$19*(1+$J$74)</f>
        <v>824547.71995522163</v>
      </c>
      <c r="L52" s="148">
        <f t="shared" si="26"/>
        <v>2638.5527038567093</v>
      </c>
      <c r="M52" s="87"/>
      <c r="N52" s="84">
        <f t="shared" si="2"/>
        <v>-7.2072961432913871</v>
      </c>
      <c r="O52" s="85">
        <f t="shared" ref="O52:O71" si="27">IF(OR(H52=0,L52=0),"",(N52/H52))</f>
        <v>-2.7240929424027067E-3</v>
      </c>
      <c r="Q52" s="150"/>
      <c r="R52" s="224"/>
      <c r="S52" s="151"/>
      <c r="T52" s="87"/>
      <c r="U52" s="89"/>
      <c r="V52" s="90"/>
      <c r="W52" s="69"/>
      <c r="X52" s="150"/>
      <c r="Y52" s="224"/>
      <c r="Z52" s="151"/>
      <c r="AA52" s="87"/>
      <c r="AB52" s="89"/>
      <c r="AC52" s="90"/>
      <c r="AD52" s="69"/>
      <c r="AE52" s="150"/>
      <c r="AF52" s="224"/>
      <c r="AG52" s="151"/>
      <c r="AH52" s="87"/>
      <c r="AI52" s="89"/>
      <c r="AJ52" s="90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</row>
    <row r="53" spans="1:49" x14ac:dyDescent="0.25">
      <c r="A53" s="1"/>
      <c r="B53" s="271" t="str">
        <f>IF(Rates!D10=$A$51,Rates!B10," ")</f>
        <v>Capacity Based Rcovery(CBR) - Class B Customers</v>
      </c>
      <c r="C53" s="78"/>
      <c r="D53" s="271" t="str">
        <f>IF(Rates!D10=$A$51,Rates!E10," ")</f>
        <v>kWh</v>
      </c>
      <c r="E53" s="79"/>
      <c r="F53" s="235">
        <f>IF(Rates!$G$1="CND 2018",Rates!G10," ")</f>
        <v>4.0000000000000002E-4</v>
      </c>
      <c r="G53" s="225">
        <f>$F$19*(1+$F$74)</f>
        <v>826800.00000000012</v>
      </c>
      <c r="H53" s="148">
        <f t="shared" si="24"/>
        <v>330.72000000000008</v>
      </c>
      <c r="I53" s="87"/>
      <c r="J53" s="235">
        <f>IF(Rates!$L$1="E+ 2019",Rates!L10," ")</f>
        <v>4.0000000000000002E-4</v>
      </c>
      <c r="K53" s="225">
        <f>$F$19*(1+$J$74)</f>
        <v>824547.71995522163</v>
      </c>
      <c r="L53" s="148">
        <f t="shared" si="26"/>
        <v>329.81908798208866</v>
      </c>
      <c r="M53" s="87"/>
      <c r="N53" s="84">
        <f t="shared" si="2"/>
        <v>-0.90091201791142339</v>
      </c>
      <c r="O53" s="85">
        <f t="shared" si="27"/>
        <v>-2.7240929424027067E-3</v>
      </c>
      <c r="Q53" s="150"/>
      <c r="R53" s="224"/>
      <c r="S53" s="151"/>
      <c r="T53" s="87"/>
      <c r="U53" s="89"/>
      <c r="V53" s="90"/>
      <c r="W53" s="69"/>
      <c r="X53" s="150"/>
      <c r="Y53" s="224"/>
      <c r="Z53" s="151"/>
      <c r="AA53" s="87"/>
      <c r="AB53" s="89"/>
      <c r="AC53" s="90"/>
      <c r="AD53" s="69"/>
      <c r="AE53" s="150"/>
      <c r="AF53" s="224"/>
      <c r="AG53" s="151"/>
      <c r="AH53" s="87"/>
      <c r="AI53" s="89"/>
      <c r="AJ53" s="90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</row>
    <row r="54" spans="1:49" x14ac:dyDescent="0.25">
      <c r="A54" s="1"/>
      <c r="B54" s="271" t="str">
        <f>IF(Rates!D11=$A$51,Rates!B11," ")</f>
        <v xml:space="preserve">Rural Rate Protection Charge </v>
      </c>
      <c r="C54" s="78"/>
      <c r="D54" s="271" t="str">
        <f>IF(Rates!D11=$A$51,Rates!E11," ")</f>
        <v>kWh</v>
      </c>
      <c r="E54" s="79"/>
      <c r="F54" s="235">
        <f>IF(Rates!$G$1="CND 2018",Rates!G11," ")</f>
        <v>2.9999999999999997E-4</v>
      </c>
      <c r="G54" s="225">
        <f>$F$19*(1+$F$74)</f>
        <v>826800.00000000012</v>
      </c>
      <c r="H54" s="148">
        <f t="shared" si="24"/>
        <v>248.04000000000002</v>
      </c>
      <c r="I54" s="87"/>
      <c r="J54" s="235">
        <f>IF(Rates!$L$1="E+ 2019",Rates!L11," ")</f>
        <v>2.9999999999999997E-4</v>
      </c>
      <c r="K54" s="225">
        <f>$F$19*(1+$J$74)</f>
        <v>824547.71995522163</v>
      </c>
      <c r="L54" s="148">
        <f t="shared" si="26"/>
        <v>247.36431598656648</v>
      </c>
      <c r="M54" s="87"/>
      <c r="N54" s="84">
        <f t="shared" si="2"/>
        <v>-0.67568401343353912</v>
      </c>
      <c r="O54" s="85">
        <f t="shared" si="27"/>
        <v>-2.7240929424025926E-3</v>
      </c>
      <c r="Q54" s="153"/>
      <c r="R54" s="87"/>
      <c r="S54" s="151"/>
      <c r="T54" s="87"/>
      <c r="U54" s="89"/>
      <c r="V54" s="90"/>
      <c r="W54" s="69"/>
      <c r="X54" s="153"/>
      <c r="Y54" s="87"/>
      <c r="Z54" s="151"/>
      <c r="AA54" s="87"/>
      <c r="AB54" s="89"/>
      <c r="AC54" s="90"/>
      <c r="AD54" s="69"/>
      <c r="AE54" s="153"/>
      <c r="AF54" s="87"/>
      <c r="AG54" s="151"/>
      <c r="AH54" s="87"/>
      <c r="AI54" s="89"/>
      <c r="AJ54" s="90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</row>
    <row r="55" spans="1:49" x14ac:dyDescent="0.25">
      <c r="A55" s="1"/>
      <c r="B55" s="271" t="str">
        <f>IF(Rates!D12=$A$51,Rates!B12," ")</f>
        <v>Debt Retirement Charge</v>
      </c>
      <c r="C55" s="78"/>
      <c r="D55" s="271" t="str">
        <f>IF(Rates!D12=$A$51,Rates!E12," ")</f>
        <v>kWh</v>
      </c>
      <c r="E55" s="79"/>
      <c r="F55" s="235">
        <f>IF(Rates!$G$1="CND 2018",Rates!G12," ")</f>
        <v>7.0000000000000001E-3</v>
      </c>
      <c r="G55" s="225">
        <f>$F$19</f>
        <v>800000</v>
      </c>
      <c r="H55" s="148">
        <f t="shared" si="24"/>
        <v>5600</v>
      </c>
      <c r="I55" s="87"/>
      <c r="J55" s="235">
        <f>IF(Rates!$L$1="E+ 2019",Rates!L12," ")</f>
        <v>7.0000000000000001E-3</v>
      </c>
      <c r="K55" s="225">
        <f>F19</f>
        <v>800000</v>
      </c>
      <c r="L55" s="148">
        <f t="shared" si="26"/>
        <v>5600</v>
      </c>
      <c r="M55" s="87"/>
      <c r="N55" s="84">
        <f t="shared" si="2"/>
        <v>0</v>
      </c>
      <c r="O55" s="85">
        <f t="shared" si="27"/>
        <v>0</v>
      </c>
      <c r="Q55" s="153"/>
      <c r="R55" s="87"/>
      <c r="S55" s="151"/>
      <c r="T55" s="87"/>
      <c r="U55" s="89"/>
      <c r="V55" s="90"/>
      <c r="W55" s="69"/>
      <c r="X55" s="153"/>
      <c r="Y55" s="87"/>
      <c r="Z55" s="151"/>
      <c r="AA55" s="87"/>
      <c r="AB55" s="89"/>
      <c r="AC55" s="90"/>
      <c r="AD55" s="69"/>
      <c r="AE55" s="153"/>
      <c r="AF55" s="87"/>
      <c r="AG55" s="151"/>
      <c r="AH55" s="87"/>
      <c r="AI55" s="89"/>
      <c r="AJ55" s="90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</row>
    <row r="56" spans="1:49" x14ac:dyDescent="0.25">
      <c r="A56" s="6" t="s">
        <v>14</v>
      </c>
      <c r="B56" s="271" t="str">
        <f>IF(Rates!D2=$A$56,Rates!B2," ")</f>
        <v>TOU - Off Peak</v>
      </c>
      <c r="C56" s="78"/>
      <c r="D56" s="271" t="str">
        <f>IF(Rates!D2=$A$56,Rates!E2," ")</f>
        <v>kWh</v>
      </c>
      <c r="E56" s="79"/>
      <c r="F56" s="235">
        <f>IF(Rates!$G$1="CND 2018",Rates!G2," ")</f>
        <v>6.5000000000000002E-2</v>
      </c>
      <c r="G56" s="226">
        <f>IF($G$59=0,0.65*($F$19*(1+$F$74)),0)</f>
        <v>0</v>
      </c>
      <c r="H56" s="148">
        <f>G56*F56</f>
        <v>0</v>
      </c>
      <c r="I56" s="87"/>
      <c r="J56" s="235">
        <f>IF(Rates!$L$1="E+ 2019",Rates!L2," ")</f>
        <v>6.5000000000000002E-2</v>
      </c>
      <c r="K56" s="226">
        <f>IF($K$59=0,0.65*$F$19,0)</f>
        <v>0</v>
      </c>
      <c r="L56" s="148">
        <f t="shared" si="26"/>
        <v>0</v>
      </c>
      <c r="M56" s="87"/>
      <c r="N56" s="84">
        <f t="shared" si="2"/>
        <v>0</v>
      </c>
      <c r="O56" s="85" t="str">
        <f t="shared" si="27"/>
        <v/>
      </c>
      <c r="Q56" s="150"/>
      <c r="R56" s="224"/>
      <c r="S56" s="151"/>
      <c r="T56" s="87"/>
      <c r="U56" s="89"/>
      <c r="V56" s="90"/>
      <c r="W56" s="69"/>
      <c r="X56" s="150"/>
      <c r="Y56" s="224"/>
      <c r="Z56" s="151"/>
      <c r="AA56" s="87"/>
      <c r="AB56" s="89"/>
      <c r="AC56" s="90"/>
      <c r="AD56" s="69"/>
      <c r="AE56" s="150"/>
      <c r="AF56" s="224"/>
      <c r="AG56" s="151"/>
      <c r="AH56" s="87"/>
      <c r="AI56" s="89"/>
      <c r="AJ56" s="90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</row>
    <row r="57" spans="1:49" x14ac:dyDescent="0.25">
      <c r="A57" s="1"/>
      <c r="B57" s="271" t="str">
        <f>IF(Rates!D3=$A$56,Rates!B3," ")</f>
        <v>TOU - Mid Peak</v>
      </c>
      <c r="C57" s="78"/>
      <c r="D57" s="271" t="str">
        <f>IF(Rates!D3=$A$56,Rates!E3," ")</f>
        <v>kWh</v>
      </c>
      <c r="E57" s="79"/>
      <c r="F57" s="235">
        <f>IF(Rates!$G$1="CND 2018",Rates!G3," ")</f>
        <v>9.5000000000000001E-2</v>
      </c>
      <c r="G57" s="226">
        <f>IF($G$59=0,0.17*($F$19*(1+$F$74)),0)</f>
        <v>0</v>
      </c>
      <c r="H57" s="148">
        <f t="shared" si="24"/>
        <v>0</v>
      </c>
      <c r="I57" s="87"/>
      <c r="J57" s="235">
        <f t="shared" ref="J57:J60" si="28">+F57</f>
        <v>9.5000000000000001E-2</v>
      </c>
      <c r="K57" s="226">
        <f>IF($K$59=0,0.17*$F$19,0)</f>
        <v>0</v>
      </c>
      <c r="L57" s="148">
        <f t="shared" si="26"/>
        <v>0</v>
      </c>
      <c r="M57" s="87"/>
      <c r="N57" s="84">
        <f t="shared" si="2"/>
        <v>0</v>
      </c>
      <c r="O57" s="85" t="str">
        <f t="shared" si="27"/>
        <v/>
      </c>
      <c r="Q57" s="157"/>
      <c r="R57" s="227"/>
      <c r="S57" s="151"/>
      <c r="T57" s="87"/>
      <c r="U57" s="89"/>
      <c r="V57" s="90"/>
      <c r="W57" s="69"/>
      <c r="X57" s="157"/>
      <c r="Y57" s="227"/>
      <c r="Z57" s="151"/>
      <c r="AA57" s="87"/>
      <c r="AB57" s="89"/>
      <c r="AC57" s="90"/>
      <c r="AD57" s="69"/>
      <c r="AE57" s="157"/>
      <c r="AF57" s="227"/>
      <c r="AG57" s="151"/>
      <c r="AH57" s="87"/>
      <c r="AI57" s="89"/>
      <c r="AJ57" s="90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</row>
    <row r="58" spans="1:49" x14ac:dyDescent="0.25">
      <c r="A58" s="1"/>
      <c r="B58" s="271" t="str">
        <f>IF(Rates!D4=$A$56,Rates!B4," ")</f>
        <v>TOU - On Peak</v>
      </c>
      <c r="C58" s="78"/>
      <c r="D58" s="271" t="str">
        <f>IF(Rates!D4=$A$56,Rates!E4," ")</f>
        <v>kWh</v>
      </c>
      <c r="E58" s="79"/>
      <c r="F58" s="235">
        <f>IF(Rates!$G$1="CND 2018",Rates!G4," ")</f>
        <v>0.13200000000000001</v>
      </c>
      <c r="G58" s="226">
        <f>IF($G$59=0,0.18*($F$19*(1+$F$74)),0)</f>
        <v>0</v>
      </c>
      <c r="H58" s="148">
        <f t="shared" si="24"/>
        <v>0</v>
      </c>
      <c r="I58" s="87"/>
      <c r="J58" s="235">
        <f t="shared" si="28"/>
        <v>0.13200000000000001</v>
      </c>
      <c r="K58" s="226">
        <f>IF($K$59=0,0.18*$F$19,0)</f>
        <v>0</v>
      </c>
      <c r="L58" s="148">
        <f t="shared" si="26"/>
        <v>0</v>
      </c>
      <c r="M58" s="87"/>
      <c r="N58" s="84">
        <f t="shared" si="2"/>
        <v>0</v>
      </c>
      <c r="O58" s="85" t="str">
        <f t="shared" si="27"/>
        <v/>
      </c>
      <c r="Q58" s="157"/>
      <c r="R58" s="227"/>
      <c r="S58" s="151"/>
      <c r="T58" s="87"/>
      <c r="U58" s="89"/>
      <c r="V58" s="90"/>
      <c r="W58" s="69"/>
      <c r="X58" s="157"/>
      <c r="Y58" s="227"/>
      <c r="Z58" s="151"/>
      <c r="AA58" s="87"/>
      <c r="AB58" s="89"/>
      <c r="AC58" s="90"/>
      <c r="AD58" s="69"/>
      <c r="AE58" s="157"/>
      <c r="AF58" s="227"/>
      <c r="AG58" s="151"/>
      <c r="AH58" s="87"/>
      <c r="AI58" s="89"/>
      <c r="AJ58" s="90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</row>
    <row r="59" spans="1:49" x14ac:dyDescent="0.25">
      <c r="A59" s="1"/>
      <c r="B59" s="271" t="str">
        <f>IF(Rates!D5=$A$56,Rates!B5," ")</f>
        <v>Commodity</v>
      </c>
      <c r="C59" s="160"/>
      <c r="D59" s="271" t="str">
        <f>IF(Rates!D5=$A$56,Rates!E5," ")</f>
        <v>kWh</v>
      </c>
      <c r="E59" s="161"/>
      <c r="F59" s="235">
        <f>IF(Rates!$G$1="CND 2018",Rates!G5," ")</f>
        <v>1.8855833333333332E-2</v>
      </c>
      <c r="G59" s="225">
        <f>$F$19*(1+$F$74)</f>
        <v>826800.00000000012</v>
      </c>
      <c r="H59" s="148">
        <f t="shared" si="24"/>
        <v>15590.003000000001</v>
      </c>
      <c r="I59" s="166"/>
      <c r="J59" s="235">
        <f t="shared" si="28"/>
        <v>1.8855833333333332E-2</v>
      </c>
      <c r="K59" s="225">
        <f>$F$19*(1+$J$74)</f>
        <v>824547.71995522163</v>
      </c>
      <c r="L59" s="148">
        <f t="shared" si="26"/>
        <v>15547.534382855665</v>
      </c>
      <c r="M59" s="166"/>
      <c r="N59" s="84">
        <f t="shared" si="2"/>
        <v>-42.46861714433544</v>
      </c>
      <c r="O59" s="85">
        <f t="shared" si="27"/>
        <v>-2.7240929424026047E-3</v>
      </c>
      <c r="Q59" s="157"/>
      <c r="R59" s="227"/>
      <c r="S59" s="151"/>
      <c r="T59" s="166"/>
      <c r="U59" s="89"/>
      <c r="V59" s="90"/>
      <c r="W59" s="69"/>
      <c r="X59" s="157"/>
      <c r="Y59" s="227"/>
      <c r="Z59" s="151"/>
      <c r="AA59" s="166"/>
      <c r="AB59" s="89"/>
      <c r="AC59" s="90"/>
      <c r="AD59" s="69"/>
      <c r="AE59" s="157"/>
      <c r="AF59" s="227"/>
      <c r="AG59" s="151"/>
      <c r="AH59" s="166"/>
      <c r="AI59" s="89"/>
      <c r="AJ59" s="90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</row>
    <row r="60" spans="1:49" ht="15.75" thickBot="1" x14ac:dyDescent="0.3">
      <c r="A60" s="159"/>
      <c r="B60" s="271" t="str">
        <f>IF(Rates!D6=$A$56,Rates!B6," ")</f>
        <v>Global Adjustment</v>
      </c>
      <c r="C60" s="160"/>
      <c r="D60" s="271" t="str">
        <f>IF(Rates!D6=$A$56,Rates!E6," ")</f>
        <v>kWh</v>
      </c>
      <c r="E60" s="161"/>
      <c r="F60" s="235">
        <f>IF(Rates!$G$1="CND 2018",Rates!G6," ")</f>
        <v>0.10303000000000001</v>
      </c>
      <c r="G60" s="225">
        <f>$F$19*(1+$F$74)</f>
        <v>826800.00000000012</v>
      </c>
      <c r="H60" s="148">
        <f t="shared" si="24"/>
        <v>85185.204000000027</v>
      </c>
      <c r="I60" s="166"/>
      <c r="J60" s="235">
        <f t="shared" si="28"/>
        <v>0.10303000000000001</v>
      </c>
      <c r="K60" s="225">
        <f>$F$19*(1+$J$74)</f>
        <v>824547.71995522163</v>
      </c>
      <c r="L60" s="148">
        <f t="shared" si="26"/>
        <v>84953.151586986496</v>
      </c>
      <c r="M60" s="166"/>
      <c r="N60" s="84">
        <f t="shared" si="2"/>
        <v>-232.0524130135309</v>
      </c>
      <c r="O60" s="85">
        <f t="shared" si="27"/>
        <v>-2.7240929424026598E-3</v>
      </c>
      <c r="Q60" s="157"/>
      <c r="R60" s="227"/>
      <c r="S60" s="151"/>
      <c r="T60" s="166"/>
      <c r="U60" s="89"/>
      <c r="V60" s="90"/>
      <c r="W60" s="69"/>
      <c r="X60" s="157"/>
      <c r="Y60" s="227"/>
      <c r="Z60" s="151"/>
      <c r="AA60" s="166"/>
      <c r="AB60" s="89"/>
      <c r="AC60" s="90"/>
      <c r="AD60" s="69"/>
      <c r="AE60" s="157"/>
      <c r="AF60" s="227"/>
      <c r="AG60" s="151"/>
      <c r="AH60" s="166"/>
      <c r="AI60" s="89"/>
      <c r="AJ60" s="90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</row>
    <row r="61" spans="1:49" ht="15.75" thickBot="1" x14ac:dyDescent="0.3">
      <c r="A61" s="159"/>
      <c r="B61" s="211"/>
      <c r="C61" s="212"/>
      <c r="D61" s="213"/>
      <c r="E61" s="212"/>
      <c r="F61" s="266"/>
      <c r="G61" s="214"/>
      <c r="H61" s="267"/>
      <c r="I61" s="87"/>
      <c r="J61" s="266"/>
      <c r="K61" s="216"/>
      <c r="L61" s="267"/>
      <c r="M61" s="87"/>
      <c r="N61" s="402"/>
      <c r="O61" s="403"/>
      <c r="Q61" s="157"/>
      <c r="R61" s="120"/>
      <c r="S61" s="151"/>
      <c r="T61" s="87"/>
      <c r="U61" s="89"/>
      <c r="V61" s="174"/>
      <c r="W61" s="69"/>
      <c r="X61" s="157"/>
      <c r="Y61" s="120"/>
      <c r="Z61" s="151"/>
      <c r="AA61" s="87"/>
      <c r="AB61" s="89"/>
      <c r="AC61" s="174"/>
      <c r="AD61" s="69"/>
      <c r="AE61" s="157"/>
      <c r="AF61" s="120"/>
      <c r="AG61" s="151"/>
      <c r="AH61" s="87"/>
      <c r="AI61" s="89"/>
      <c r="AJ61" s="174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</row>
    <row r="62" spans="1:49" x14ac:dyDescent="0.25">
      <c r="A62" s="159"/>
      <c r="B62" s="175" t="s">
        <v>97</v>
      </c>
      <c r="C62" s="78"/>
      <c r="D62" s="78"/>
      <c r="E62" s="78"/>
      <c r="F62" s="176"/>
      <c r="G62" s="177"/>
      <c r="H62" s="179">
        <f>SUM(H51:H55,H50,H59,,H60,)</f>
        <v>124738.16211491944</v>
      </c>
      <c r="I62" s="146"/>
      <c r="J62" s="178"/>
      <c r="K62" s="178"/>
      <c r="L62" s="179">
        <f>SUM(L51:L55,L50,L59,,L60,)</f>
        <v>124895.09799286278</v>
      </c>
      <c r="M62" s="146"/>
      <c r="N62" s="179">
        <f>L62-H62</f>
        <v>156.93587794333871</v>
      </c>
      <c r="O62" s="180">
        <f t="shared" si="27"/>
        <v>1.2581224164482717E-3</v>
      </c>
      <c r="Q62" s="181"/>
      <c r="R62" s="181"/>
      <c r="S62" s="121"/>
      <c r="T62" s="146"/>
      <c r="U62" s="89"/>
      <c r="V62" s="90"/>
      <c r="W62" s="69"/>
      <c r="X62" s="181"/>
      <c r="Y62" s="181"/>
      <c r="Z62" s="121"/>
      <c r="AA62" s="146"/>
      <c r="AB62" s="89"/>
      <c r="AC62" s="90"/>
      <c r="AD62" s="69"/>
      <c r="AE62" s="181"/>
      <c r="AF62" s="181"/>
      <c r="AG62" s="121"/>
      <c r="AH62" s="146"/>
      <c r="AI62" s="89"/>
      <c r="AJ62" s="90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</row>
    <row r="63" spans="1:49" x14ac:dyDescent="0.25">
      <c r="A63" s="159"/>
      <c r="B63" s="182" t="s">
        <v>9</v>
      </c>
      <c r="C63" s="78"/>
      <c r="D63" s="78"/>
      <c r="E63" s="78"/>
      <c r="F63" s="183">
        <v>0.13</v>
      </c>
      <c r="G63" s="87"/>
      <c r="H63" s="188">
        <f>H62*F63</f>
        <v>16215.961074939527</v>
      </c>
      <c r="I63" s="187"/>
      <c r="J63" s="185">
        <v>0.13</v>
      </c>
      <c r="K63" s="184"/>
      <c r="L63" s="188">
        <f>L62*J63</f>
        <v>16236.362739072161</v>
      </c>
      <c r="M63" s="187"/>
      <c r="N63" s="188">
        <f>L63-H63</f>
        <v>20.401664132634323</v>
      </c>
      <c r="O63" s="85">
        <f t="shared" si="27"/>
        <v>1.2581224164482897E-3</v>
      </c>
      <c r="Q63" s="189"/>
      <c r="R63" s="187"/>
      <c r="S63" s="190"/>
      <c r="T63" s="187"/>
      <c r="U63" s="89"/>
      <c r="V63" s="90"/>
      <c r="W63" s="69"/>
      <c r="X63" s="189"/>
      <c r="Y63" s="187"/>
      <c r="Z63" s="190"/>
      <c r="AA63" s="187"/>
      <c r="AB63" s="89"/>
      <c r="AC63" s="90"/>
      <c r="AD63" s="69"/>
      <c r="AE63" s="189"/>
      <c r="AF63" s="187"/>
      <c r="AG63" s="190"/>
      <c r="AH63" s="187"/>
      <c r="AI63" s="89"/>
      <c r="AJ63" s="90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</row>
    <row r="64" spans="1:49" ht="15.75" thickBot="1" x14ac:dyDescent="0.3">
      <c r="A64" s="1"/>
      <c r="B64" s="515" t="s">
        <v>98</v>
      </c>
      <c r="C64" s="515"/>
      <c r="D64" s="515"/>
      <c r="E64" s="192"/>
      <c r="F64" s="218"/>
      <c r="G64" s="219"/>
      <c r="H64" s="222">
        <f>SUM(H62:H63)</f>
        <v>140954.12318985898</v>
      </c>
      <c r="I64" s="146"/>
      <c r="J64" s="220"/>
      <c r="K64" s="220"/>
      <c r="L64" s="222">
        <f>SUM(L62:L63)</f>
        <v>141131.46073193493</v>
      </c>
      <c r="M64" s="146"/>
      <c r="N64" s="222">
        <f>L64-H64</f>
        <v>177.33754207595484</v>
      </c>
      <c r="O64" s="197">
        <f t="shared" si="27"/>
        <v>1.2581224164481446E-3</v>
      </c>
      <c r="Q64" s="146"/>
      <c r="R64" s="146"/>
      <c r="S64" s="121"/>
      <c r="T64" s="146"/>
      <c r="U64" s="121"/>
      <c r="V64" s="223"/>
      <c r="W64" s="69"/>
      <c r="X64" s="146"/>
      <c r="Y64" s="146"/>
      <c r="Z64" s="121"/>
      <c r="AA64" s="146"/>
      <c r="AB64" s="121"/>
      <c r="AC64" s="223"/>
      <c r="AD64" s="69"/>
      <c r="AE64" s="146"/>
      <c r="AF64" s="146"/>
      <c r="AG64" s="121"/>
      <c r="AH64" s="146"/>
      <c r="AI64" s="121"/>
      <c r="AJ64" s="223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</row>
    <row r="65" spans="1:49" ht="15.75" thickBot="1" x14ac:dyDescent="0.3">
      <c r="A65" s="1"/>
      <c r="B65" s="198"/>
      <c r="C65" s="199"/>
      <c r="D65" s="200"/>
      <c r="E65" s="199"/>
      <c r="F65" s="266"/>
      <c r="G65" s="201"/>
      <c r="H65" s="267"/>
      <c r="I65" s="166"/>
      <c r="J65" s="266"/>
      <c r="K65" s="203"/>
      <c r="L65" s="267"/>
      <c r="M65" s="166"/>
      <c r="N65" s="268"/>
      <c r="O65" s="403"/>
      <c r="Q65" s="157"/>
      <c r="R65" s="206"/>
      <c r="S65" s="151"/>
      <c r="T65" s="166"/>
      <c r="U65" s="207"/>
      <c r="V65" s="174"/>
      <c r="W65" s="69"/>
      <c r="X65" s="157"/>
      <c r="Y65" s="206"/>
      <c r="Z65" s="151"/>
      <c r="AA65" s="166"/>
      <c r="AB65" s="207"/>
      <c r="AC65" s="174"/>
      <c r="AD65" s="69"/>
      <c r="AE65" s="157"/>
      <c r="AF65" s="206"/>
      <c r="AG65" s="151"/>
      <c r="AH65" s="166"/>
      <c r="AI65" s="207"/>
      <c r="AJ65" s="174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</row>
    <row r="66" spans="1:49" x14ac:dyDescent="0.25">
      <c r="A66" s="1"/>
      <c r="B66" s="236" t="s">
        <v>99</v>
      </c>
      <c r="C66" s="160"/>
      <c r="D66" s="160"/>
      <c r="E66" s="160"/>
      <c r="F66" s="237"/>
      <c r="G66" s="238"/>
      <c r="H66" s="241">
        <f>IF($G$56&gt;0,SUM(H50,H51:H58),0)</f>
        <v>0</v>
      </c>
      <c r="I66" s="240"/>
      <c r="J66" s="239"/>
      <c r="K66" s="239"/>
      <c r="L66" s="241">
        <f>IF($K$56&gt;0,SUM(L50,L51:L58),0)</f>
        <v>0</v>
      </c>
      <c r="M66" s="240"/>
      <c r="N66" s="241">
        <f t="shared" ref="N66:N71" si="29">L66-H66</f>
        <v>0</v>
      </c>
      <c r="O66" s="180" t="str">
        <f t="shared" si="27"/>
        <v/>
      </c>
      <c r="Q66" s="242"/>
      <c r="R66" s="242"/>
      <c r="S66" s="243"/>
      <c r="T66" s="240"/>
      <c r="U66" s="89"/>
      <c r="V66" s="90"/>
      <c r="W66" s="69"/>
      <c r="X66" s="242"/>
      <c r="Y66" s="242"/>
      <c r="Z66" s="243"/>
      <c r="AA66" s="240"/>
      <c r="AB66" s="89"/>
      <c r="AC66" s="90"/>
      <c r="AD66" s="69"/>
      <c r="AE66" s="242"/>
      <c r="AF66" s="242"/>
      <c r="AG66" s="243"/>
      <c r="AH66" s="240"/>
      <c r="AI66" s="89"/>
      <c r="AJ66" s="90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</row>
    <row r="67" spans="1:49" x14ac:dyDescent="0.25">
      <c r="A67" s="1"/>
      <c r="B67" s="244" t="s">
        <v>9</v>
      </c>
      <c r="C67" s="160"/>
      <c r="D67" s="160"/>
      <c r="E67" s="160"/>
      <c r="F67" s="245">
        <v>0.13</v>
      </c>
      <c r="G67" s="238"/>
      <c r="H67" s="250">
        <f>$H$66*F67</f>
        <v>0</v>
      </c>
      <c r="I67" s="249"/>
      <c r="J67" s="247">
        <v>0.13</v>
      </c>
      <c r="K67" s="248"/>
      <c r="L67" s="250">
        <f>$L$66*J67</f>
        <v>0</v>
      </c>
      <c r="M67" s="249"/>
      <c r="N67" s="250">
        <f t="shared" si="29"/>
        <v>0</v>
      </c>
      <c r="O67" s="85" t="str">
        <f t="shared" si="27"/>
        <v/>
      </c>
      <c r="Q67" s="251"/>
      <c r="R67" s="252"/>
      <c r="S67" s="253"/>
      <c r="T67" s="249"/>
      <c r="U67" s="89"/>
      <c r="V67" s="90"/>
      <c r="W67" s="69"/>
      <c r="X67" s="251"/>
      <c r="Y67" s="252"/>
      <c r="Z67" s="253"/>
      <c r="AA67" s="249"/>
      <c r="AB67" s="89"/>
      <c r="AC67" s="90"/>
      <c r="AD67" s="69"/>
      <c r="AE67" s="251"/>
      <c r="AF67" s="252"/>
      <c r="AG67" s="253"/>
      <c r="AH67" s="249"/>
      <c r="AI67" s="89"/>
      <c r="AJ67" s="90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</row>
    <row r="68" spans="1:49" x14ac:dyDescent="0.25">
      <c r="A68" s="1"/>
      <c r="B68" s="182" t="s">
        <v>106</v>
      </c>
      <c r="C68" s="78"/>
      <c r="D68" s="78"/>
      <c r="E68" s="78"/>
      <c r="F68" s="183">
        <v>-0.05</v>
      </c>
      <c r="G68" s="87"/>
      <c r="H68" s="188">
        <f>$H$66*F68</f>
        <v>0</v>
      </c>
      <c r="I68" s="187"/>
      <c r="J68" s="183">
        <v>-0.05</v>
      </c>
      <c r="K68" s="184"/>
      <c r="L68" s="188">
        <f>$L$66*J68</f>
        <v>0</v>
      </c>
      <c r="M68" s="187"/>
      <c r="N68" s="188">
        <f t="shared" si="29"/>
        <v>0</v>
      </c>
      <c r="O68" s="85" t="str">
        <f t="shared" si="27"/>
        <v/>
      </c>
      <c r="Q68" s="189"/>
      <c r="R68" s="187"/>
      <c r="S68" s="190"/>
      <c r="T68" s="187"/>
      <c r="U68" s="89"/>
      <c r="V68" s="90"/>
      <c r="W68" s="69"/>
      <c r="X68" s="189"/>
      <c r="Y68" s="187"/>
      <c r="Z68" s="253"/>
      <c r="AA68" s="249"/>
      <c r="AB68" s="89"/>
      <c r="AC68" s="90"/>
      <c r="AD68" s="69"/>
      <c r="AE68" s="251"/>
      <c r="AF68" s="252"/>
      <c r="AG68" s="253"/>
      <c r="AH68" s="249"/>
      <c r="AI68" s="89"/>
      <c r="AJ68" s="90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</row>
    <row r="69" spans="1:49" x14ac:dyDescent="0.25">
      <c r="A69" s="159"/>
      <c r="B69" s="254" t="s">
        <v>100</v>
      </c>
      <c r="C69" s="160"/>
      <c r="D69" s="160"/>
      <c r="E69" s="160"/>
      <c r="F69" s="255"/>
      <c r="G69" s="166"/>
      <c r="H69" s="250">
        <f>SUM(H66:H68)</f>
        <v>0</v>
      </c>
      <c r="I69" s="249"/>
      <c r="J69" s="246"/>
      <c r="K69" s="246"/>
      <c r="L69" s="250">
        <f>SUM(L66:L68)</f>
        <v>0</v>
      </c>
      <c r="M69" s="249"/>
      <c r="N69" s="250">
        <f t="shared" si="29"/>
        <v>0</v>
      </c>
      <c r="O69" s="85" t="str">
        <f t="shared" si="27"/>
        <v/>
      </c>
      <c r="Q69" s="249"/>
      <c r="R69" s="249"/>
      <c r="S69" s="253"/>
      <c r="T69" s="249"/>
      <c r="U69" s="89"/>
      <c r="V69" s="90"/>
      <c r="W69" s="69"/>
      <c r="X69" s="249"/>
      <c r="Y69" s="249"/>
      <c r="Z69" s="253"/>
      <c r="AA69" s="249"/>
      <c r="AB69" s="89"/>
      <c r="AC69" s="90"/>
      <c r="AD69" s="69"/>
      <c r="AE69" s="249"/>
      <c r="AF69" s="249"/>
      <c r="AG69" s="253"/>
      <c r="AH69" s="249"/>
      <c r="AI69" s="89"/>
      <c r="AJ69" s="90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</row>
    <row r="70" spans="1:49" x14ac:dyDescent="0.25">
      <c r="A70" s="159"/>
      <c r="B70" s="516" t="s">
        <v>101</v>
      </c>
      <c r="C70" s="516"/>
      <c r="D70" s="516"/>
      <c r="E70" s="160"/>
      <c r="F70" s="255"/>
      <c r="G70" s="166"/>
      <c r="H70" s="256">
        <f>ROUND(-H69*0%,2)</f>
        <v>0</v>
      </c>
      <c r="I70" s="249"/>
      <c r="J70" s="246"/>
      <c r="K70" s="246"/>
      <c r="L70" s="256">
        <f>ROUND(-L69*0%,2)</f>
        <v>0</v>
      </c>
      <c r="M70" s="249"/>
      <c r="N70" s="256">
        <f t="shared" si="29"/>
        <v>0</v>
      </c>
      <c r="O70" s="257" t="str">
        <f>IF(OR(H70=0,L70=0),"",(N70/H70))</f>
        <v/>
      </c>
      <c r="Q70" s="249"/>
      <c r="R70" s="249"/>
      <c r="S70" s="258"/>
      <c r="T70" s="249"/>
      <c r="U70" s="259"/>
      <c r="V70" s="90"/>
      <c r="W70" s="69"/>
      <c r="X70" s="249"/>
      <c r="Y70" s="249"/>
      <c r="Z70" s="258"/>
      <c r="AA70" s="249"/>
      <c r="AB70" s="259"/>
      <c r="AC70" s="90"/>
      <c r="AD70" s="69"/>
      <c r="AE70" s="249"/>
      <c r="AF70" s="249"/>
      <c r="AG70" s="258"/>
      <c r="AH70" s="249"/>
      <c r="AI70" s="259"/>
      <c r="AJ70" s="90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</row>
    <row r="71" spans="1:49" ht="15.75" thickBot="1" x14ac:dyDescent="0.3">
      <c r="A71" s="159"/>
      <c r="B71" s="513" t="s">
        <v>102</v>
      </c>
      <c r="C71" s="513"/>
      <c r="D71" s="513"/>
      <c r="E71" s="260"/>
      <c r="F71" s="261"/>
      <c r="G71" s="262"/>
      <c r="H71" s="265">
        <f>SUM(H69:H70)</f>
        <v>0</v>
      </c>
      <c r="I71" s="240"/>
      <c r="J71" s="263"/>
      <c r="K71" s="263"/>
      <c r="L71" s="265">
        <f>SUM(L69:L70)</f>
        <v>0</v>
      </c>
      <c r="M71" s="240"/>
      <c r="N71" s="265">
        <f t="shared" si="29"/>
        <v>0</v>
      </c>
      <c r="O71" s="197" t="str">
        <f t="shared" si="27"/>
        <v/>
      </c>
      <c r="Q71" s="240"/>
      <c r="R71" s="240"/>
      <c r="S71" s="243"/>
      <c r="T71" s="240"/>
      <c r="U71" s="121"/>
      <c r="V71" s="223"/>
      <c r="W71" s="69"/>
      <c r="X71" s="240"/>
      <c r="Y71" s="240"/>
      <c r="Z71" s="243"/>
      <c r="AA71" s="240"/>
      <c r="AB71" s="121"/>
      <c r="AC71" s="223"/>
      <c r="AD71" s="69"/>
      <c r="AE71" s="240"/>
      <c r="AF71" s="240"/>
      <c r="AG71" s="243"/>
      <c r="AH71" s="240"/>
      <c r="AI71" s="121"/>
      <c r="AJ71" s="223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</row>
    <row r="72" spans="1:49" ht="15.75" thickBot="1" x14ac:dyDescent="0.3">
      <c r="A72" s="159"/>
      <c r="B72" s="198"/>
      <c r="C72" s="199"/>
      <c r="D72" s="200"/>
      <c r="E72" s="199"/>
      <c r="F72" s="390"/>
      <c r="G72" s="400"/>
      <c r="H72" s="401"/>
      <c r="I72" s="166"/>
      <c r="J72" s="390"/>
      <c r="K72" s="391"/>
      <c r="L72" s="392"/>
      <c r="M72" s="166"/>
      <c r="N72" s="396"/>
      <c r="O72" s="397"/>
      <c r="Q72" s="157"/>
      <c r="R72" s="206"/>
      <c r="S72" s="151"/>
      <c r="T72" s="166"/>
      <c r="U72" s="207"/>
      <c r="V72" s="174"/>
      <c r="W72" s="69"/>
      <c r="X72" s="157"/>
      <c r="Y72" s="206"/>
      <c r="Z72" s="151"/>
      <c r="AA72" s="166"/>
      <c r="AB72" s="207"/>
      <c r="AC72" s="174"/>
      <c r="AD72" s="69"/>
      <c r="AE72" s="157"/>
      <c r="AF72" s="206"/>
      <c r="AG72" s="151"/>
      <c r="AH72" s="166"/>
      <c r="AI72" s="207"/>
      <c r="AJ72" s="174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</row>
    <row r="73" spans="1:49" x14ac:dyDescent="0.25">
      <c r="A73" s="159"/>
      <c r="B73" s="1"/>
      <c r="C73" s="1"/>
      <c r="D73" s="1"/>
      <c r="E73" s="1"/>
      <c r="F73" s="1"/>
      <c r="G73" s="1"/>
      <c r="H73" s="67"/>
      <c r="I73" s="2"/>
      <c r="J73" s="1"/>
      <c r="K73" s="1"/>
      <c r="L73" s="67"/>
      <c r="M73" s="398"/>
      <c r="N73" s="1"/>
      <c r="O73" s="1"/>
      <c r="Q73" s="2"/>
      <c r="R73" s="2"/>
      <c r="S73" s="208"/>
      <c r="T73" s="2"/>
      <c r="U73" s="2"/>
      <c r="V73" s="2"/>
      <c r="W73" s="69"/>
      <c r="X73" s="2"/>
      <c r="Y73" s="2"/>
      <c r="Z73" s="208"/>
      <c r="AA73" s="2"/>
      <c r="AB73" s="2"/>
      <c r="AC73" s="2"/>
      <c r="AD73" s="69"/>
      <c r="AE73" s="2"/>
      <c r="AF73" s="2"/>
      <c r="AG73" s="208"/>
      <c r="AH73" s="2"/>
      <c r="AI73" s="2"/>
      <c r="AJ73" s="2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</row>
    <row r="74" spans="1:49" x14ac:dyDescent="0.25">
      <c r="A74" s="159"/>
      <c r="B74" s="65" t="s">
        <v>10</v>
      </c>
      <c r="C74" s="1"/>
      <c r="D74" s="1"/>
      <c r="E74" s="1"/>
      <c r="F74" s="209">
        <f>Rates!$R$2-1</f>
        <v>3.3500000000000085E-2</v>
      </c>
      <c r="G74" s="1"/>
      <c r="H74" s="1"/>
      <c r="I74" s="1"/>
      <c r="J74" s="209">
        <f>Rates!$T$2-1</f>
        <v>3.0684649944026976E-2</v>
      </c>
      <c r="K74" s="1"/>
      <c r="L74" s="67"/>
      <c r="M74" s="398"/>
      <c r="N74" s="1"/>
      <c r="O74" s="1"/>
      <c r="Q74" s="210"/>
      <c r="R74" s="2"/>
      <c r="S74" s="2"/>
      <c r="T74" s="2"/>
      <c r="U74" s="2"/>
      <c r="V74" s="2"/>
      <c r="W74" s="69"/>
      <c r="X74" s="210"/>
      <c r="Y74" s="2"/>
      <c r="Z74" s="2"/>
      <c r="AA74" s="2"/>
      <c r="AB74" s="2"/>
      <c r="AC74" s="2"/>
      <c r="AD74" s="69"/>
      <c r="AE74" s="210"/>
      <c r="AF74" s="2"/>
      <c r="AG74" s="2"/>
      <c r="AH74" s="2"/>
      <c r="AI74" s="2"/>
      <c r="AJ74" s="2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</row>
    <row r="75" spans="1:49" x14ac:dyDescent="0.25">
      <c r="A75" s="159"/>
      <c r="B75" s="1"/>
      <c r="C75" s="1"/>
      <c r="D75" s="1"/>
      <c r="E75" s="1"/>
      <c r="F75" s="1"/>
      <c r="G75" s="1"/>
      <c r="H75" s="1"/>
      <c r="I75" s="2"/>
      <c r="J75" s="1"/>
      <c r="K75" s="1"/>
      <c r="L75" s="1"/>
      <c r="M75" s="398"/>
      <c r="N75" s="1"/>
      <c r="O75" s="1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2"/>
      <c r="J76" s="1"/>
      <c r="K76" s="1"/>
      <c r="L76" s="1"/>
      <c r="M76" s="398"/>
      <c r="N76" s="1"/>
      <c r="O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2"/>
      <c r="J77" s="1"/>
      <c r="K77" s="1"/>
      <c r="L77" s="1"/>
      <c r="M77" s="398"/>
      <c r="N77" s="1"/>
      <c r="O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2"/>
      <c r="J78" s="1"/>
      <c r="K78" s="1"/>
      <c r="L78" s="1"/>
      <c r="M78" s="398"/>
      <c r="N78" s="1"/>
      <c r="O78" s="1"/>
    </row>
    <row r="79" spans="1:49" x14ac:dyDescent="0.25">
      <c r="A79" s="1" t="s">
        <v>84</v>
      </c>
      <c r="B79" s="1"/>
      <c r="C79" s="1"/>
      <c r="D79" s="1"/>
      <c r="E79" s="1"/>
      <c r="F79" s="1"/>
      <c r="G79" s="1"/>
      <c r="H79" s="1"/>
      <c r="I79" s="2"/>
      <c r="J79" s="1"/>
      <c r="K79" s="1"/>
      <c r="L79" s="1"/>
      <c r="M79" s="398"/>
      <c r="N79" s="1"/>
      <c r="O79" s="1"/>
    </row>
    <row r="80" spans="1:49" x14ac:dyDescent="0.25">
      <c r="A80" s="1" t="s">
        <v>85</v>
      </c>
      <c r="B80" s="1"/>
      <c r="C80" s="1"/>
      <c r="D80" s="1"/>
      <c r="E80" s="1"/>
      <c r="F80" s="1"/>
      <c r="G80" s="1"/>
      <c r="H80" s="1"/>
      <c r="I80" s="2"/>
      <c r="J80" s="1"/>
      <c r="K80" s="1"/>
      <c r="L80" s="1"/>
      <c r="M80" s="398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2"/>
      <c r="J81" s="1"/>
      <c r="K81" s="1"/>
      <c r="L81" s="1"/>
      <c r="M81" s="398"/>
      <c r="N81" s="1"/>
      <c r="O81" s="1"/>
    </row>
    <row r="82" spans="1:15" x14ac:dyDescent="0.25">
      <c r="A82" s="64" t="s">
        <v>86</v>
      </c>
      <c r="B82" s="1"/>
      <c r="C82" s="1"/>
      <c r="D82" s="1"/>
      <c r="E82" s="1"/>
      <c r="F82" s="1"/>
      <c r="G82" s="1"/>
      <c r="H82" s="1"/>
      <c r="I82" s="2"/>
      <c r="J82" s="1"/>
      <c r="K82" s="1"/>
      <c r="L82" s="1"/>
      <c r="M82" s="398"/>
      <c r="N82" s="1"/>
      <c r="O82" s="1"/>
    </row>
    <row r="83" spans="1:15" x14ac:dyDescent="0.25">
      <c r="A83" s="64" t="s">
        <v>87</v>
      </c>
      <c r="B83" s="1"/>
      <c r="C83" s="1"/>
      <c r="D83" s="1"/>
      <c r="E83" s="1"/>
      <c r="F83" s="1"/>
      <c r="G83" s="1"/>
      <c r="H83" s="1"/>
      <c r="I83" s="2"/>
      <c r="J83" s="1"/>
      <c r="K83" s="1"/>
      <c r="L83" s="1"/>
      <c r="M83" s="398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2"/>
      <c r="J84" s="1"/>
      <c r="K84" s="1"/>
      <c r="L84" s="1"/>
      <c r="M84" s="398"/>
      <c r="N84" s="1"/>
      <c r="O84" s="1"/>
    </row>
    <row r="85" spans="1:15" x14ac:dyDescent="0.25">
      <c r="A85" s="1" t="s">
        <v>88</v>
      </c>
      <c r="B85" s="1"/>
      <c r="C85" s="1"/>
      <c r="D85" s="1"/>
      <c r="E85" s="1"/>
      <c r="F85" s="1"/>
      <c r="G85" s="1"/>
      <c r="H85" s="1"/>
      <c r="I85" s="2"/>
      <c r="J85" s="1"/>
      <c r="K85" s="1"/>
      <c r="L85" s="1"/>
      <c r="M85" s="398"/>
      <c r="N85" s="1"/>
      <c r="O85" s="1"/>
    </row>
    <row r="86" spans="1:15" x14ac:dyDescent="0.25">
      <c r="A86" s="1" t="s">
        <v>89</v>
      </c>
      <c r="B86" s="1"/>
      <c r="C86" s="1"/>
      <c r="D86" s="1"/>
      <c r="E86" s="1"/>
      <c r="F86" s="1"/>
      <c r="G86" s="1"/>
      <c r="H86" s="1"/>
      <c r="I86" s="2"/>
      <c r="J86" s="1"/>
      <c r="K86" s="1"/>
      <c r="L86" s="1"/>
      <c r="M86" s="398"/>
      <c r="N86" s="1"/>
      <c r="O86" s="1"/>
    </row>
    <row r="87" spans="1:15" x14ac:dyDescent="0.25">
      <c r="A87" s="1" t="s">
        <v>90</v>
      </c>
      <c r="B87" s="1"/>
      <c r="C87" s="1"/>
      <c r="D87" s="1"/>
      <c r="E87" s="1"/>
      <c r="F87" s="1"/>
      <c r="G87" s="1"/>
      <c r="H87" s="1"/>
      <c r="I87" s="2"/>
      <c r="J87" s="1"/>
      <c r="K87" s="1"/>
      <c r="L87" s="1"/>
      <c r="M87" s="398"/>
      <c r="N87" s="1"/>
      <c r="O87" s="1"/>
    </row>
    <row r="88" spans="1:15" x14ac:dyDescent="0.25">
      <c r="A88" s="1" t="s">
        <v>91</v>
      </c>
      <c r="B88" s="1" t="s">
        <v>93</v>
      </c>
      <c r="C88" s="1"/>
      <c r="D88" s="1"/>
      <c r="E88" s="1"/>
      <c r="F88" s="1"/>
      <c r="G88" s="1"/>
      <c r="H88" s="1"/>
      <c r="I88" s="2"/>
      <c r="J88" s="1"/>
      <c r="K88" s="1"/>
      <c r="L88" s="1"/>
      <c r="M88" s="398"/>
      <c r="N88" s="1"/>
      <c r="O88" s="1"/>
    </row>
    <row r="89" spans="1:15" x14ac:dyDescent="0.25">
      <c r="A89" s="1" t="s">
        <v>92</v>
      </c>
      <c r="B89" s="1"/>
      <c r="C89" s="1"/>
      <c r="D89" s="1"/>
      <c r="E89" s="1"/>
      <c r="F89" s="1"/>
      <c r="G89" s="1"/>
      <c r="H89" s="1"/>
      <c r="I89" s="2"/>
      <c r="J89" s="1"/>
      <c r="K89" s="1"/>
      <c r="L89" s="1"/>
      <c r="M89" s="398"/>
      <c r="N89" s="1"/>
      <c r="O89" s="1"/>
    </row>
  </sheetData>
  <mergeCells count="24">
    <mergeCell ref="AI20:AJ20"/>
    <mergeCell ref="A3:K3"/>
    <mergeCell ref="B10:O10"/>
    <mergeCell ref="B11:O11"/>
    <mergeCell ref="D14:O14"/>
    <mergeCell ref="F20:H20"/>
    <mergeCell ref="J20:L20"/>
    <mergeCell ref="N20:O20"/>
    <mergeCell ref="Q20:S20"/>
    <mergeCell ref="U20:V20"/>
    <mergeCell ref="X20:Z20"/>
    <mergeCell ref="AB20:AC20"/>
    <mergeCell ref="AE20:AG20"/>
    <mergeCell ref="AI21:AI22"/>
    <mergeCell ref="AJ21:AJ22"/>
    <mergeCell ref="B64:D64"/>
    <mergeCell ref="B70:D70"/>
    <mergeCell ref="B71:D71"/>
    <mergeCell ref="N21:N22"/>
    <mergeCell ref="O21:O22"/>
    <mergeCell ref="U21:U22"/>
    <mergeCell ref="V21:V22"/>
    <mergeCell ref="AB21:AB22"/>
    <mergeCell ref="AC21:AC22"/>
  </mergeCells>
  <dataValidations count="4">
    <dataValidation type="list" allowBlank="1" showInputMessage="1" showErrorMessage="1" sqref="E23:E35">
      <formula1>#REF!</formula1>
    </dataValidation>
    <dataValidation type="list" allowBlank="1" showInputMessage="1" showErrorMessage="1" sqref="E48:E49 E72 E65 E51:E61 E37:E46">
      <formula1>#REF!</formula1>
    </dataValidation>
    <dataValidation type="list" allowBlank="1" showInputMessage="1" showErrorMessage="1" prompt="Select Charge Unit - monthly, per kWh, per kW" sqref="D72 D61 D65">
      <formula1>"Monthly, per kWh, per kW"</formula1>
    </dataValidation>
    <dataValidation type="list" allowBlank="1" showInputMessage="1" showErrorMessage="1" sqref="D16">
      <formula1>"TOU, non-TOU"</formula1>
    </dataValidation>
  </dataValidations>
  <printOptions horizontalCentered="1"/>
  <pageMargins left="0.3" right="0.35" top="0.92" bottom="0.7" header="0.56999999999999995" footer="0.41"/>
  <pageSetup paperSize="3" scale="60" fitToHeight="0" orientation="landscape" r:id="rId1"/>
  <headerFooter>
    <oddFooter>&amp;C&amp;A</oddFooter>
  </headerFooter>
  <ignoredErrors>
    <ignoredError sqref="J23:J35 J37:J45 J48:J49 J51:J55 J57:J60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5955" r:id="rId4" name="Option Button 3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647700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6" r:id="rId5" name="Option Button 4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123825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7" r:id="rId6" name="Option Button 5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647700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8" r:id="rId7" name="Option Button 6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123825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9" r:id="rId8" name="Option Button 7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647700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0" r:id="rId9" name="Option Button 8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123825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1" r:id="rId10" name="Option Button 9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647700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2" r:id="rId11" name="Option Button 10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123825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3" r:id="rId12" name="Option Button 11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647700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4" r:id="rId13" name="Option Button 12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123825</xdr:colOff>
                    <xdr:row>90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A1:AW89"/>
  <sheetViews>
    <sheetView showGridLines="0" topLeftCell="B20" zoomScale="80" zoomScaleNormal="80" workbookViewId="0">
      <selection activeCell="F25" sqref="F25"/>
    </sheetView>
  </sheetViews>
  <sheetFormatPr defaultColWidth="9.140625" defaultRowHeight="15" x14ac:dyDescent="0.25"/>
  <cols>
    <col min="1" max="1" width="48.28515625" customWidth="1"/>
    <col min="2" max="2" width="122" customWidth="1"/>
    <col min="3" max="3" width="1.5703125" customWidth="1"/>
    <col min="4" max="4" width="12.42578125" customWidth="1"/>
    <col min="5" max="5" width="1.7109375" customWidth="1"/>
    <col min="6" max="6" width="12" customWidth="1"/>
    <col min="7" max="7" width="11.7109375" customWidth="1"/>
    <col min="8" max="8" width="16.42578125" customWidth="1"/>
    <col min="9" max="9" width="1.28515625" customWidth="1"/>
    <col min="10" max="10" width="12.28515625" customWidth="1"/>
    <col min="11" max="11" width="10.5703125" customWidth="1"/>
    <col min="12" max="12" width="16.28515625" customWidth="1"/>
    <col min="13" max="13" width="0.85546875" customWidth="1"/>
    <col min="14" max="14" width="14.7109375" customWidth="1"/>
    <col min="15" max="15" width="10.5703125" customWidth="1"/>
    <col min="16" max="16" width="1.42578125" customWidth="1"/>
    <col min="17" max="17" width="1.7109375" customWidth="1"/>
    <col min="18" max="18" width="9.42578125" customWidth="1"/>
    <col min="19" max="19" width="12.5703125" customWidth="1"/>
    <col min="20" max="20" width="1.28515625" customWidth="1"/>
    <col min="21" max="21" width="10.85546875" customWidth="1"/>
    <col min="22" max="22" width="10.140625" customWidth="1"/>
    <col min="23" max="23" width="1.28515625" customWidth="1"/>
    <col min="24" max="24" width="11" customWidth="1"/>
    <col min="25" max="25" width="9.5703125" customWidth="1"/>
    <col min="26" max="26" width="12.42578125" customWidth="1"/>
    <col min="27" max="27" width="1.28515625" customWidth="1"/>
    <col min="28" max="28" width="10" customWidth="1"/>
    <col min="30" max="30" width="0.85546875" customWidth="1"/>
    <col min="31" max="31" width="11.140625" customWidth="1"/>
    <col min="32" max="32" width="9.5703125" customWidth="1"/>
    <col min="33" max="33" width="12.42578125" customWidth="1"/>
    <col min="34" max="34" width="1.140625" customWidth="1"/>
    <col min="35" max="35" width="10.42578125" customWidth="1"/>
    <col min="37" max="37" width="0.85546875" customWidth="1"/>
  </cols>
  <sheetData>
    <row r="1" spans="1:21" ht="21.75" x14ac:dyDescent="0.25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0"/>
      <c r="M1" s="50"/>
      <c r="N1" s="52" t="s">
        <v>68</v>
      </c>
      <c r="O1" s="53">
        <v>0</v>
      </c>
      <c r="T1">
        <v>1</v>
      </c>
      <c r="U1">
        <v>2</v>
      </c>
    </row>
    <row r="2" spans="1:21" ht="18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0"/>
      <c r="M2" s="50"/>
      <c r="N2" s="52" t="s">
        <v>69</v>
      </c>
      <c r="O2" s="55"/>
    </row>
    <row r="3" spans="1:21" ht="18" x14ac:dyDescent="0.25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"/>
      <c r="M3" s="50"/>
      <c r="N3" s="52" t="s">
        <v>70</v>
      </c>
      <c r="O3" s="55"/>
    </row>
    <row r="4" spans="1:21" ht="18" x14ac:dyDescent="0.25">
      <c r="A4" s="54"/>
      <c r="B4" s="54"/>
      <c r="C4" s="54"/>
      <c r="D4" s="54"/>
      <c r="E4" s="54"/>
      <c r="F4" s="54"/>
      <c r="G4" s="54"/>
      <c r="H4" s="54"/>
      <c r="I4" s="56"/>
      <c r="J4" s="56"/>
      <c r="K4" s="56"/>
      <c r="L4" s="50"/>
      <c r="M4" s="50"/>
      <c r="N4" s="52" t="s">
        <v>71</v>
      </c>
      <c r="O4" s="55"/>
    </row>
    <row r="5" spans="1:21" ht="15.75" x14ac:dyDescent="0.25">
      <c r="A5" s="50"/>
      <c r="B5" s="50"/>
      <c r="C5" s="57"/>
      <c r="D5" s="57"/>
      <c r="E5" s="57"/>
      <c r="F5" s="50"/>
      <c r="G5" s="50"/>
      <c r="H5" s="50"/>
      <c r="I5" s="50"/>
      <c r="J5" s="50"/>
      <c r="K5" s="50"/>
      <c r="L5" s="50"/>
      <c r="M5" s="50"/>
      <c r="N5" s="52" t="s">
        <v>72</v>
      </c>
      <c r="O5" s="58"/>
    </row>
    <row r="6" spans="1:2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2"/>
      <c r="O6" s="53"/>
    </row>
    <row r="7" spans="1:2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2" t="s">
        <v>73</v>
      </c>
      <c r="O7" s="58"/>
    </row>
    <row r="8" spans="1:21" x14ac:dyDescent="0.25">
      <c r="A8" s="5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1" ht="18" x14ac:dyDescent="0.25">
      <c r="A10" s="1"/>
      <c r="B10" s="508" t="s">
        <v>74</v>
      </c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508"/>
      <c r="N10" s="508"/>
      <c r="O10" s="508"/>
    </row>
    <row r="11" spans="1:21" ht="18" x14ac:dyDescent="0.25">
      <c r="A11" s="1"/>
      <c r="B11" s="508" t="s">
        <v>75</v>
      </c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1" ht="15.75" x14ac:dyDescent="0.25">
      <c r="A14" s="1"/>
      <c r="B14" s="60" t="s">
        <v>0</v>
      </c>
      <c r="C14" s="1"/>
      <c r="D14" s="509" t="s">
        <v>119</v>
      </c>
      <c r="E14" s="509"/>
      <c r="F14" s="509"/>
      <c r="G14" s="509"/>
      <c r="H14" s="509"/>
      <c r="I14" s="509"/>
      <c r="J14" s="509"/>
      <c r="K14" s="509"/>
      <c r="L14" s="509"/>
      <c r="M14" s="509"/>
      <c r="N14" s="509"/>
      <c r="O14" s="509"/>
    </row>
    <row r="15" spans="1:21" ht="15.75" x14ac:dyDescent="0.25">
      <c r="A15" s="1"/>
      <c r="B15" s="61"/>
      <c r="C15" s="1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pans="1:21" ht="15.75" x14ac:dyDescent="0.25">
      <c r="A16" s="1"/>
      <c r="B16" s="60" t="s">
        <v>76</v>
      </c>
      <c r="C16" s="1"/>
      <c r="D16" s="63" t="s">
        <v>94</v>
      </c>
      <c r="E16" s="62"/>
      <c r="F16" s="228" t="s">
        <v>95</v>
      </c>
      <c r="G16" s="62"/>
      <c r="H16" s="62"/>
      <c r="I16" s="62"/>
      <c r="J16" s="62"/>
      <c r="K16" s="62"/>
      <c r="L16" s="62"/>
      <c r="M16" s="62"/>
      <c r="N16" s="62"/>
      <c r="O16" s="62"/>
    </row>
    <row r="17" spans="1:49" ht="15.75" x14ac:dyDescent="0.25">
      <c r="A17" s="1"/>
      <c r="B17" s="61"/>
      <c r="C17" s="1"/>
      <c r="D17" s="62"/>
      <c r="E17" s="62"/>
      <c r="F17" s="229">
        <f>ROUND(+F18*0.9,0)</f>
        <v>2000</v>
      </c>
      <c r="G17" s="230" t="s">
        <v>96</v>
      </c>
      <c r="H17" s="231"/>
      <c r="I17" s="62"/>
      <c r="J17" s="62"/>
      <c r="K17" s="62"/>
      <c r="L17" s="62"/>
      <c r="M17" s="62"/>
      <c r="N17" s="62"/>
      <c r="O17" s="62"/>
    </row>
    <row r="18" spans="1:49" x14ac:dyDescent="0.25">
      <c r="A18" s="1"/>
      <c r="B18" s="64"/>
      <c r="C18" s="1"/>
      <c r="D18" s="65"/>
      <c r="E18" s="65"/>
      <c r="F18" s="229">
        <f>ROUND(2000/0.9,0)</f>
        <v>2222</v>
      </c>
      <c r="G18" s="65" t="s">
        <v>113</v>
      </c>
      <c r="H18" s="1"/>
      <c r="I18" s="1"/>
      <c r="J18" s="1"/>
      <c r="K18" s="1"/>
      <c r="L18" s="1"/>
      <c r="M18" s="1"/>
      <c r="N18" s="1"/>
      <c r="O18" s="1"/>
    </row>
    <row r="19" spans="1:49" x14ac:dyDescent="0.25">
      <c r="A19" s="1"/>
      <c r="B19" s="64"/>
      <c r="C19" s="1"/>
      <c r="D19" s="65" t="s">
        <v>1</v>
      </c>
      <c r="E19" s="1"/>
      <c r="F19" s="232">
        <v>800000</v>
      </c>
      <c r="G19" s="230" t="s">
        <v>78</v>
      </c>
      <c r="H19" s="67"/>
      <c r="I19" s="1"/>
      <c r="J19" s="67"/>
      <c r="K19" s="233"/>
      <c r="L19" s="67"/>
      <c r="M19" s="1"/>
      <c r="N19" s="233"/>
      <c r="O19" s="1"/>
      <c r="S19" s="234"/>
    </row>
    <row r="20" spans="1:49" x14ac:dyDescent="0.25">
      <c r="A20" s="1"/>
      <c r="B20" s="64"/>
      <c r="C20" s="1"/>
      <c r="D20" s="68"/>
      <c r="E20" s="68"/>
      <c r="F20" s="510" t="s">
        <v>105</v>
      </c>
      <c r="G20" s="511"/>
      <c r="H20" s="512"/>
      <c r="I20" s="1"/>
      <c r="J20" s="510" t="s">
        <v>104</v>
      </c>
      <c r="K20" s="511"/>
      <c r="L20" s="512"/>
      <c r="M20" s="1"/>
      <c r="N20" s="510" t="s">
        <v>61</v>
      </c>
      <c r="O20" s="512"/>
      <c r="Q20" s="506"/>
      <c r="R20" s="506"/>
      <c r="S20" s="506"/>
      <c r="T20" s="2"/>
      <c r="U20" s="506"/>
      <c r="V20" s="506"/>
      <c r="W20" s="69"/>
      <c r="X20" s="506"/>
      <c r="Y20" s="506"/>
      <c r="Z20" s="506"/>
      <c r="AA20" s="2"/>
      <c r="AB20" s="506"/>
      <c r="AC20" s="506"/>
      <c r="AD20" s="69"/>
      <c r="AE20" s="506"/>
      <c r="AF20" s="506"/>
      <c r="AG20" s="506"/>
      <c r="AH20" s="2"/>
      <c r="AI20" s="506"/>
      <c r="AJ20" s="506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</row>
    <row r="21" spans="1:49" ht="15" customHeight="1" x14ac:dyDescent="0.25">
      <c r="A21" s="1"/>
      <c r="B21" s="64"/>
      <c r="C21" s="1"/>
      <c r="D21" s="1"/>
      <c r="E21" s="70"/>
      <c r="F21" s="71" t="s">
        <v>2</v>
      </c>
      <c r="G21" s="71" t="s">
        <v>3</v>
      </c>
      <c r="H21" s="72" t="s">
        <v>4</v>
      </c>
      <c r="I21" s="1"/>
      <c r="J21" s="71" t="s">
        <v>2</v>
      </c>
      <c r="K21" s="73" t="s">
        <v>3</v>
      </c>
      <c r="L21" s="72" t="s">
        <v>4</v>
      </c>
      <c r="M21" s="1"/>
      <c r="N21" s="502" t="s">
        <v>62</v>
      </c>
      <c r="O21" s="504" t="s">
        <v>63</v>
      </c>
      <c r="Q21" s="270"/>
      <c r="R21" s="270"/>
      <c r="S21" s="270"/>
      <c r="T21" s="2"/>
      <c r="U21" s="501"/>
      <c r="V21" s="501"/>
      <c r="W21" s="69"/>
      <c r="X21" s="270"/>
      <c r="Y21" s="270"/>
      <c r="Z21" s="270"/>
      <c r="AA21" s="2"/>
      <c r="AB21" s="501"/>
      <c r="AC21" s="501"/>
      <c r="AD21" s="69"/>
      <c r="AE21" s="270"/>
      <c r="AF21" s="270"/>
      <c r="AG21" s="270"/>
      <c r="AH21" s="2"/>
      <c r="AI21" s="501"/>
      <c r="AJ21" s="501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</row>
    <row r="22" spans="1:49" x14ac:dyDescent="0.25">
      <c r="A22" s="1"/>
      <c r="B22" s="64"/>
      <c r="C22" s="1"/>
      <c r="D22" s="1"/>
      <c r="E22" s="70"/>
      <c r="F22" s="75" t="s">
        <v>79</v>
      </c>
      <c r="G22" s="75"/>
      <c r="H22" s="76" t="s">
        <v>79</v>
      </c>
      <c r="I22" s="1"/>
      <c r="J22" s="75" t="s">
        <v>79</v>
      </c>
      <c r="K22" s="76"/>
      <c r="L22" s="76" t="s">
        <v>79</v>
      </c>
      <c r="M22" s="1"/>
      <c r="N22" s="503"/>
      <c r="O22" s="505"/>
      <c r="Q22" s="77"/>
      <c r="R22" s="77"/>
      <c r="S22" s="77"/>
      <c r="T22" s="2"/>
      <c r="U22" s="514"/>
      <c r="V22" s="514"/>
      <c r="W22" s="69"/>
      <c r="X22" s="77"/>
      <c r="Y22" s="77"/>
      <c r="Z22" s="77"/>
      <c r="AA22" s="2"/>
      <c r="AB22" s="514"/>
      <c r="AC22" s="514"/>
      <c r="AD22" s="69"/>
      <c r="AE22" s="77"/>
      <c r="AF22" s="77"/>
      <c r="AG22" s="77"/>
      <c r="AH22" s="2"/>
      <c r="AI22" s="514"/>
      <c r="AJ22" s="514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</row>
    <row r="23" spans="1:49" x14ac:dyDescent="0.25">
      <c r="A23" s="7" t="s">
        <v>15</v>
      </c>
      <c r="B23" s="271" t="str">
        <f>IF(Rates!D170=$A$23,Rates!B170," ")</f>
        <v>Service Charge</v>
      </c>
      <c r="C23" s="78"/>
      <c r="D23" s="271" t="str">
        <f>IF(Rates!D170=$A$23,Rates!E170," ")</f>
        <v>customer</v>
      </c>
      <c r="E23" s="79"/>
      <c r="F23" s="80">
        <f>IF(Rates!$J$1="BRT 2018",Rates!J170," ")</f>
        <v>96.98</v>
      </c>
      <c r="G23" s="438">
        <f>IF(D23="customer",1,IF(D23="kWh",$F$19,$F$17))</f>
        <v>1</v>
      </c>
      <c r="H23" s="82">
        <f t="shared" ref="H23:H34" si="0">G23*F23</f>
        <v>96.98</v>
      </c>
      <c r="I23" s="83"/>
      <c r="J23" s="488">
        <f>IF(Rates!$L$1="E+ 2019",Rates!L170," ")</f>
        <v>904.08</v>
      </c>
      <c r="K23" s="108">
        <f>IF(D23="customer",1,IF(D23="kWh",$F$19,$F$17))</f>
        <v>1</v>
      </c>
      <c r="L23" s="82">
        <f t="shared" ref="L23:L44" si="1">K23*J23</f>
        <v>904.08</v>
      </c>
      <c r="M23" s="83"/>
      <c r="N23" s="84">
        <f t="shared" ref="N23:N60" si="2">L23-H23</f>
        <v>807.1</v>
      </c>
      <c r="O23" s="338">
        <f>IF(OR(H23=0,L23=0),"",(N23/H23))</f>
        <v>8.3223345019591672</v>
      </c>
      <c r="Q23" s="86"/>
      <c r="R23" s="87"/>
      <c r="S23" s="88"/>
      <c r="T23" s="87"/>
      <c r="U23" s="89"/>
      <c r="V23" s="90"/>
      <c r="W23" s="69"/>
      <c r="X23" s="86"/>
      <c r="Y23" s="87"/>
      <c r="Z23" s="88"/>
      <c r="AA23" s="87"/>
      <c r="AB23" s="89"/>
      <c r="AC23" s="90"/>
      <c r="AD23" s="69"/>
      <c r="AE23" s="86"/>
      <c r="AF23" s="87"/>
      <c r="AG23" s="88"/>
      <c r="AH23" s="87"/>
      <c r="AI23" s="89"/>
      <c r="AJ23" s="90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</row>
    <row r="24" spans="1:49" x14ac:dyDescent="0.25">
      <c r="A24" s="1"/>
      <c r="B24" s="271" t="str">
        <f>IF(Rates!D171=$A$23,Rates!B171," ")</f>
        <v>Rate Rider ACM</v>
      </c>
      <c r="C24" s="78"/>
      <c r="D24" s="271" t="str">
        <f>IF(Rates!D171=$A$23,Rates!E171," ")</f>
        <v>customer</v>
      </c>
      <c r="E24" s="79"/>
      <c r="F24" s="80">
        <f>IF(Rates!$J$1="BRT 2018",Rates!J171," ")</f>
        <v>0</v>
      </c>
      <c r="G24" s="438">
        <f t="shared" ref="G24:G45" si="3">IF(D24="customer",1,IF(D24="kWh",$F$19,$F$17))</f>
        <v>1</v>
      </c>
      <c r="H24" s="82">
        <f t="shared" si="0"/>
        <v>0</v>
      </c>
      <c r="I24" s="83"/>
      <c r="J24" s="469">
        <f>IF(Rates!$L$1="E+ 2019",Rates!L171," ")</f>
        <v>0</v>
      </c>
      <c r="K24" s="108">
        <f t="shared" ref="K24:K51" si="4">IF(D24="customer",1,IF(D24="kWh",$F$19,$F$17))</f>
        <v>1</v>
      </c>
      <c r="L24" s="82">
        <f t="shared" si="1"/>
        <v>0</v>
      </c>
      <c r="M24" s="83"/>
      <c r="N24" s="84">
        <f t="shared" si="2"/>
        <v>0</v>
      </c>
      <c r="O24" s="85" t="str">
        <f t="shared" ref="O24:O34" si="5">IF(OR(H24=0,L24=0),"",(N24/H24))</f>
        <v/>
      </c>
      <c r="Q24" s="86"/>
      <c r="R24" s="87"/>
      <c r="S24" s="88"/>
      <c r="T24" s="87"/>
      <c r="U24" s="89"/>
      <c r="V24" s="90"/>
      <c r="W24" s="69"/>
      <c r="X24" s="86"/>
      <c r="Y24" s="87"/>
      <c r="Z24" s="88"/>
      <c r="AA24" s="87"/>
      <c r="AB24" s="89"/>
      <c r="AC24" s="90"/>
      <c r="AD24" s="69"/>
      <c r="AE24" s="86"/>
      <c r="AF24" s="87"/>
      <c r="AG24" s="88"/>
      <c r="AH24" s="87"/>
      <c r="AI24" s="89"/>
      <c r="AJ24" s="90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</row>
    <row r="25" spans="1:49" s="94" customFormat="1" x14ac:dyDescent="0.25">
      <c r="A25" s="3"/>
      <c r="B25" s="271" t="str">
        <f>IF(Rates!D172=$A$23,Rates!B172," ")</f>
        <v>Distribution Volumetric Rate</v>
      </c>
      <c r="C25" s="78"/>
      <c r="D25" s="271" t="str">
        <f>IF(Rates!D172=$A$23,Rates!E172," ")</f>
        <v>kW</v>
      </c>
      <c r="E25" s="79"/>
      <c r="F25" s="235">
        <f>IF(Rates!$J$1="BRT 2018",Rates!J172," ")</f>
        <v>3.9297</v>
      </c>
      <c r="G25" s="438">
        <f t="shared" si="3"/>
        <v>2000</v>
      </c>
      <c r="H25" s="82">
        <f t="shared" si="0"/>
        <v>7859.4</v>
      </c>
      <c r="I25" s="91"/>
      <c r="J25" s="469">
        <f>IF(Rates!$L$1="E+ 2019",Rates!L172," ")</f>
        <v>3.8454000000000002</v>
      </c>
      <c r="K25" s="108">
        <f t="shared" si="4"/>
        <v>2000</v>
      </c>
      <c r="L25" s="82">
        <f t="shared" si="1"/>
        <v>7690.8</v>
      </c>
      <c r="M25" s="91"/>
      <c r="N25" s="84">
        <f t="shared" si="2"/>
        <v>-168.59999999999945</v>
      </c>
      <c r="O25" s="85">
        <f t="shared" si="5"/>
        <v>-2.1452019238109712E-2</v>
      </c>
      <c r="Q25" s="95"/>
      <c r="R25" s="87"/>
      <c r="S25" s="88"/>
      <c r="T25" s="87"/>
      <c r="U25" s="89"/>
      <c r="V25" s="90"/>
      <c r="W25" s="69"/>
      <c r="X25" s="95"/>
      <c r="Y25" s="87"/>
      <c r="Z25" s="88"/>
      <c r="AA25" s="87"/>
      <c r="AB25" s="89"/>
      <c r="AC25" s="90"/>
      <c r="AD25" s="69"/>
      <c r="AE25" s="95"/>
      <c r="AF25" s="87"/>
      <c r="AG25" s="88"/>
      <c r="AH25" s="87"/>
      <c r="AI25" s="89"/>
      <c r="AJ25" s="90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</row>
    <row r="26" spans="1:49" s="94" customFormat="1" x14ac:dyDescent="0.25">
      <c r="A26" s="3"/>
      <c r="B26" s="271" t="str">
        <f>IF(Rates!D173=$A$23,Rates!B173," ")</f>
        <v>Rate Rider ACM</v>
      </c>
      <c r="C26" s="78"/>
      <c r="D26" s="271" t="str">
        <f>IF(Rates!D173=$A$23,Rates!E173," ")</f>
        <v>kW</v>
      </c>
      <c r="E26" s="79"/>
      <c r="F26" s="80">
        <f>IF(Rates!$J$1="BRT 2018",Rates!J173," ")</f>
        <v>0</v>
      </c>
      <c r="G26" s="438">
        <f t="shared" si="3"/>
        <v>2000</v>
      </c>
      <c r="H26" s="82">
        <f t="shared" si="0"/>
        <v>0</v>
      </c>
      <c r="I26" s="91"/>
      <c r="J26" s="469">
        <f>IF(Rates!$L$1="E+ 2019",Rates!$L$173," ")</f>
        <v>0</v>
      </c>
      <c r="K26" s="108">
        <f t="shared" si="4"/>
        <v>2000</v>
      </c>
      <c r="L26" s="82">
        <f t="shared" si="1"/>
        <v>0</v>
      </c>
      <c r="M26" s="91"/>
      <c r="N26" s="84">
        <f t="shared" si="2"/>
        <v>0</v>
      </c>
      <c r="O26" s="85" t="str">
        <f t="shared" si="5"/>
        <v/>
      </c>
      <c r="Q26" s="95"/>
      <c r="R26" s="87"/>
      <c r="S26" s="88"/>
      <c r="T26" s="87"/>
      <c r="U26" s="89"/>
      <c r="V26" s="90"/>
      <c r="W26" s="69"/>
      <c r="X26" s="95"/>
      <c r="Y26" s="87"/>
      <c r="Z26" s="88"/>
      <c r="AA26" s="87"/>
      <c r="AB26" s="89"/>
      <c r="AC26" s="90"/>
      <c r="AD26" s="69"/>
      <c r="AE26" s="95"/>
      <c r="AF26" s="87"/>
      <c r="AG26" s="88"/>
      <c r="AH26" s="87"/>
      <c r="AI26" s="89"/>
      <c r="AJ26" s="90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</row>
    <row r="27" spans="1:49" x14ac:dyDescent="0.25">
      <c r="A27" s="3"/>
      <c r="B27" s="271" t="str">
        <f>IF(Rates!D174=$A$23,Rates!B174," ")</f>
        <v>Rate Rider for Disposition of Account 1575 and 1576</v>
      </c>
      <c r="C27" s="78"/>
      <c r="D27" s="271" t="str">
        <f>IF(Rates!D174=$A$23,Rates!E174," ")</f>
        <v>kW</v>
      </c>
      <c r="E27" s="79"/>
      <c r="F27" s="80">
        <f>IF(Rates!$J$1="BRT 2018",Rates!J174," ")</f>
        <v>0</v>
      </c>
      <c r="G27" s="438">
        <f t="shared" si="3"/>
        <v>2000</v>
      </c>
      <c r="H27" s="82">
        <f t="shared" si="0"/>
        <v>0</v>
      </c>
      <c r="I27" s="83"/>
      <c r="J27" s="469">
        <f>IF(Rates!$L$1="E+ 2019",Rates!$L$174," ")</f>
        <v>-0.14117530117823188</v>
      </c>
      <c r="K27" s="108">
        <f t="shared" si="4"/>
        <v>2000</v>
      </c>
      <c r="L27" s="82">
        <f t="shared" si="1"/>
        <v>-282.35060235646375</v>
      </c>
      <c r="M27" s="83"/>
      <c r="N27" s="84">
        <f t="shared" si="2"/>
        <v>-282.35060235646375</v>
      </c>
      <c r="O27" s="85" t="str">
        <f t="shared" si="5"/>
        <v/>
      </c>
      <c r="Q27" s="86"/>
      <c r="R27" s="87"/>
      <c r="S27" s="88"/>
      <c r="T27" s="87"/>
      <c r="U27" s="89"/>
      <c r="V27" s="90"/>
      <c r="W27" s="69"/>
      <c r="X27" s="86"/>
      <c r="Y27" s="87"/>
      <c r="Z27" s="88"/>
      <c r="AA27" s="87"/>
      <c r="AB27" s="89"/>
      <c r="AC27" s="90"/>
      <c r="AD27" s="69"/>
      <c r="AE27" s="86"/>
      <c r="AF27" s="87"/>
      <c r="AG27" s="88"/>
      <c r="AH27" s="87"/>
      <c r="AI27" s="89"/>
      <c r="AJ27" s="90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</row>
    <row r="28" spans="1:49" x14ac:dyDescent="0.25">
      <c r="A28" s="3"/>
      <c r="B28" s="271" t="str">
        <f>IF(Rates!D175=$A$23,Rates!B175," ")</f>
        <v>Rate Rider for Disposition of Account 1575 and 1576</v>
      </c>
      <c r="C28" s="78"/>
      <c r="D28" s="271" t="str">
        <f>IF(Rates!D175=$A$23,Rates!E175," ")</f>
        <v>customer</v>
      </c>
      <c r="E28" s="79"/>
      <c r="F28" s="80">
        <f>IF(Rates!$J$1="BRT 2018",Rates!J175," ")</f>
        <v>0</v>
      </c>
      <c r="G28" s="438">
        <f t="shared" si="3"/>
        <v>1</v>
      </c>
      <c r="H28" s="82">
        <f t="shared" si="0"/>
        <v>0</v>
      </c>
      <c r="I28" s="83"/>
      <c r="J28" s="469">
        <f>IF(Rates!$L$1="E+ 2019",Rates!$L$175," ")</f>
        <v>0</v>
      </c>
      <c r="K28" s="108">
        <f t="shared" si="4"/>
        <v>1</v>
      </c>
      <c r="L28" s="82">
        <f t="shared" si="1"/>
        <v>0</v>
      </c>
      <c r="M28" s="83"/>
      <c r="N28" s="84">
        <f t="shared" si="2"/>
        <v>0</v>
      </c>
      <c r="O28" s="85" t="str">
        <f t="shared" si="5"/>
        <v/>
      </c>
      <c r="Q28" s="119"/>
      <c r="R28" s="87"/>
      <c r="S28" s="88"/>
      <c r="T28" s="87"/>
      <c r="U28" s="89"/>
      <c r="V28" s="90"/>
      <c r="W28" s="69"/>
      <c r="X28" s="119"/>
      <c r="Y28" s="87"/>
      <c r="Z28" s="88"/>
      <c r="AA28" s="87"/>
      <c r="AB28" s="89"/>
      <c r="AC28" s="90"/>
      <c r="AD28" s="69"/>
      <c r="AE28" s="119"/>
      <c r="AF28" s="87"/>
      <c r="AG28" s="88"/>
      <c r="AH28" s="87"/>
      <c r="AI28" s="89"/>
      <c r="AJ28" s="90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</row>
    <row r="29" spans="1:49" x14ac:dyDescent="0.25">
      <c r="A29" s="3"/>
      <c r="B29" s="271" t="str">
        <f>IF(Rates!D176=$A$23,Rates!B176," ")</f>
        <v>Rate Rider for Disposition of Account 1575 and 1576</v>
      </c>
      <c r="C29" s="78"/>
      <c r="D29" s="271" t="str">
        <f>IF(Rates!D176=$A$23,Rates!E176," ")</f>
        <v>kW</v>
      </c>
      <c r="E29" s="79"/>
      <c r="F29" s="80">
        <f>IF(Rates!$J$1="BRT 2018",Rates!J176," ")</f>
        <v>0</v>
      </c>
      <c r="G29" s="438">
        <f t="shared" si="3"/>
        <v>2000</v>
      </c>
      <c r="H29" s="82">
        <f t="shared" si="0"/>
        <v>0</v>
      </c>
      <c r="I29" s="83"/>
      <c r="J29" s="469">
        <f>IF(Rates!$L$1="E+ 2019",Rates!$L$176," ")</f>
        <v>0</v>
      </c>
      <c r="K29" s="108">
        <f t="shared" si="4"/>
        <v>2000</v>
      </c>
      <c r="L29" s="82">
        <f t="shared" si="1"/>
        <v>0</v>
      </c>
      <c r="M29" s="83"/>
      <c r="N29" s="84">
        <f t="shared" si="2"/>
        <v>0</v>
      </c>
      <c r="O29" s="85" t="str">
        <f t="shared" si="5"/>
        <v/>
      </c>
      <c r="Q29" s="119"/>
      <c r="R29" s="87"/>
      <c r="S29" s="88"/>
      <c r="T29" s="87"/>
      <c r="U29" s="89"/>
      <c r="V29" s="90"/>
      <c r="W29" s="69"/>
      <c r="X29" s="119"/>
      <c r="Y29" s="87"/>
      <c r="Z29" s="88"/>
      <c r="AA29" s="87"/>
      <c r="AB29" s="89"/>
      <c r="AC29" s="90"/>
      <c r="AD29" s="69"/>
      <c r="AE29" s="119"/>
      <c r="AF29" s="87"/>
      <c r="AG29" s="88"/>
      <c r="AH29" s="87"/>
      <c r="AI29" s="89"/>
      <c r="AJ29" s="90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</row>
    <row r="30" spans="1:49" s="94" customFormat="1" x14ac:dyDescent="0.25">
      <c r="A30" s="99"/>
      <c r="B30" s="271" t="str">
        <f>IF(Rates!D177=$A$23,Rates!B177," ")</f>
        <v>Rate Rider for Disposition of Account 1575 and 1576</v>
      </c>
      <c r="C30" s="78"/>
      <c r="D30" s="271" t="str">
        <f>IF(Rates!D177=$A$23,Rates!E177," ")</f>
        <v>customer</v>
      </c>
      <c r="E30" s="79"/>
      <c r="F30" s="80">
        <f>IF(Rates!$J$1="BRT 2018",Rates!J177," ")</f>
        <v>0</v>
      </c>
      <c r="G30" s="438">
        <f t="shared" si="3"/>
        <v>1</v>
      </c>
      <c r="H30" s="82">
        <f t="shared" si="0"/>
        <v>0</v>
      </c>
      <c r="I30" s="91"/>
      <c r="J30" s="469">
        <f>IF(Rates!$L$1="E+ 2019",Rates!$L$177," ")</f>
        <v>0</v>
      </c>
      <c r="K30" s="108">
        <f t="shared" si="4"/>
        <v>1</v>
      </c>
      <c r="L30" s="82">
        <f t="shared" si="1"/>
        <v>0</v>
      </c>
      <c r="M30" s="91"/>
      <c r="N30" s="84">
        <f t="shared" si="2"/>
        <v>0</v>
      </c>
      <c r="O30" s="85" t="str">
        <f t="shared" si="5"/>
        <v/>
      </c>
      <c r="Q30" s="119"/>
      <c r="R30" s="87"/>
      <c r="S30" s="88"/>
      <c r="T30" s="87"/>
      <c r="U30" s="89"/>
      <c r="V30" s="90"/>
      <c r="W30" s="69"/>
      <c r="X30" s="119"/>
      <c r="Y30" s="87"/>
      <c r="Z30" s="88"/>
      <c r="AA30" s="87"/>
      <c r="AB30" s="89"/>
      <c r="AC30" s="90"/>
      <c r="AD30" s="69"/>
      <c r="AE30" s="119"/>
      <c r="AF30" s="87"/>
      <c r="AG30" s="88"/>
      <c r="AH30" s="87"/>
      <c r="AI30" s="89"/>
      <c r="AJ30" s="90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</row>
    <row r="31" spans="1:49" s="94" customFormat="1" x14ac:dyDescent="0.25">
      <c r="A31" s="3"/>
      <c r="B31" s="271" t="str">
        <f>IF(Rates!D178=$A$23,Rates!B178," ")</f>
        <v>Rate Rider for LRAMVA</v>
      </c>
      <c r="C31" s="78"/>
      <c r="D31" s="271" t="str">
        <f>IF(Rates!D178=$A$23,Rates!E178," ")</f>
        <v>kW</v>
      </c>
      <c r="E31" s="79"/>
      <c r="F31" s="96">
        <f>IF(Rates!$J$1="BRT 2018",Rates!J178," ")</f>
        <v>0</v>
      </c>
      <c r="G31" s="438">
        <f t="shared" si="3"/>
        <v>2000</v>
      </c>
      <c r="H31" s="82">
        <f t="shared" si="0"/>
        <v>0</v>
      </c>
      <c r="I31" s="91"/>
      <c r="J31" s="469">
        <f>IF(Rates!$L$1="E+ 2019",Rates!$L$178," ")</f>
        <v>7.282843324020509E-2</v>
      </c>
      <c r="K31" s="108">
        <f t="shared" si="4"/>
        <v>2000</v>
      </c>
      <c r="L31" s="82">
        <f t="shared" si="1"/>
        <v>145.65686648041017</v>
      </c>
      <c r="M31" s="91"/>
      <c r="N31" s="84">
        <f t="shared" si="2"/>
        <v>145.65686648041017</v>
      </c>
      <c r="O31" s="85" t="str">
        <f t="shared" si="5"/>
        <v/>
      </c>
      <c r="Q31" s="119"/>
      <c r="R31" s="87"/>
      <c r="S31" s="88"/>
      <c r="T31" s="87"/>
      <c r="U31" s="89"/>
      <c r="V31" s="90"/>
      <c r="W31" s="69"/>
      <c r="X31" s="119"/>
      <c r="Y31" s="87"/>
      <c r="Z31" s="88"/>
      <c r="AA31" s="87"/>
      <c r="AB31" s="89"/>
      <c r="AC31" s="90"/>
      <c r="AD31" s="69"/>
      <c r="AE31" s="119"/>
      <c r="AF31" s="87"/>
      <c r="AG31" s="88"/>
      <c r="AH31" s="87"/>
      <c r="AI31" s="89"/>
      <c r="AJ31" s="90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</row>
    <row r="32" spans="1:49" x14ac:dyDescent="0.25">
      <c r="A32" s="3"/>
      <c r="B32" s="271" t="str">
        <f>IF(Rates!D179=$A$23,Rates!B179," ")</f>
        <v>Rate Rider MIST</v>
      </c>
      <c r="C32" s="78"/>
      <c r="D32" s="271" t="str">
        <f>IF(Rates!D179=$A$23,Rates!E179," ")</f>
        <v>customer</v>
      </c>
      <c r="E32" s="79"/>
      <c r="F32" s="80">
        <f>IF(Rates!$J$1="BRT 2018",Rates!J179," ")</f>
        <v>0</v>
      </c>
      <c r="G32" s="438">
        <f t="shared" si="3"/>
        <v>1</v>
      </c>
      <c r="H32" s="82">
        <f t="shared" si="0"/>
        <v>0</v>
      </c>
      <c r="I32" s="83"/>
      <c r="J32" s="469">
        <f>IF(Rates!$L$1="E+ 2019",Rates!$L$179," ")</f>
        <v>0</v>
      </c>
      <c r="K32" s="108">
        <f t="shared" si="4"/>
        <v>1</v>
      </c>
      <c r="L32" s="82">
        <f t="shared" si="1"/>
        <v>0</v>
      </c>
      <c r="M32" s="83"/>
      <c r="N32" s="84">
        <f t="shared" si="2"/>
        <v>0</v>
      </c>
      <c r="O32" s="85" t="str">
        <f t="shared" si="5"/>
        <v/>
      </c>
      <c r="Q32" s="98"/>
      <c r="R32" s="87"/>
      <c r="S32" s="88"/>
      <c r="T32" s="87"/>
      <c r="U32" s="89"/>
      <c r="V32" s="90"/>
      <c r="W32" s="69"/>
      <c r="X32" s="98"/>
      <c r="Y32" s="87"/>
      <c r="Z32" s="88"/>
      <c r="AA32" s="87"/>
      <c r="AB32" s="89"/>
      <c r="AC32" s="90"/>
      <c r="AD32" s="69"/>
      <c r="AE32" s="98"/>
      <c r="AF32" s="87"/>
      <c r="AG32" s="88"/>
      <c r="AH32" s="87"/>
      <c r="AI32" s="89"/>
      <c r="AJ32" s="90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</row>
    <row r="33" spans="1:49" x14ac:dyDescent="0.25">
      <c r="A33" s="3"/>
      <c r="B33" s="271" t="str">
        <f>IF(Rates!D180=$A$23,Rates!B180," ")</f>
        <v>Other Fixed</v>
      </c>
      <c r="C33" s="78"/>
      <c r="D33" s="271" t="str">
        <f>IF(Rates!D180=$A$23,Rates!E180," ")</f>
        <v>customer</v>
      </c>
      <c r="E33" s="79"/>
      <c r="F33" s="80">
        <f>IF(Rates!$J$1="BRT 2018",Rates!J180," ")</f>
        <v>0</v>
      </c>
      <c r="G33" s="438">
        <f t="shared" si="3"/>
        <v>1</v>
      </c>
      <c r="H33" s="82">
        <f t="shared" si="0"/>
        <v>0</v>
      </c>
      <c r="I33" s="83"/>
      <c r="J33" s="469">
        <f>IF(Rates!$L$1="E+ 2019",Rates!$L$180," ")</f>
        <v>0</v>
      </c>
      <c r="K33" s="108">
        <f t="shared" si="4"/>
        <v>1</v>
      </c>
      <c r="L33" s="82">
        <f t="shared" si="1"/>
        <v>0</v>
      </c>
      <c r="M33" s="83"/>
      <c r="N33" s="84">
        <f t="shared" si="2"/>
        <v>0</v>
      </c>
      <c r="O33" s="85" t="str">
        <f t="shared" si="5"/>
        <v/>
      </c>
      <c r="Q33" s="98"/>
      <c r="R33" s="87"/>
      <c r="S33" s="88"/>
      <c r="T33" s="87"/>
      <c r="U33" s="89"/>
      <c r="V33" s="90"/>
      <c r="W33" s="69"/>
      <c r="X33" s="98"/>
      <c r="Y33" s="87"/>
      <c r="Z33" s="88"/>
      <c r="AA33" s="87"/>
      <c r="AB33" s="89"/>
      <c r="AC33" s="90"/>
      <c r="AD33" s="69"/>
      <c r="AE33" s="98"/>
      <c r="AF33" s="87"/>
      <c r="AG33" s="88"/>
      <c r="AH33" s="87"/>
      <c r="AI33" s="89"/>
      <c r="AJ33" s="90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</row>
    <row r="34" spans="1:49" x14ac:dyDescent="0.25">
      <c r="A34" s="3"/>
      <c r="B34" s="271" t="str">
        <f>IF(Rates!D181=$A$23,Rates!B181," ")</f>
        <v>Other Volumetric</v>
      </c>
      <c r="C34" s="78"/>
      <c r="D34" s="271" t="str">
        <f>IF(Rates!D181=$A$23,Rates!E181," ")</f>
        <v>kW</v>
      </c>
      <c r="E34" s="79"/>
      <c r="F34" s="80">
        <f>IF(Rates!$J$1="BRT 2018",Rates!J181," ")</f>
        <v>0</v>
      </c>
      <c r="G34" s="438">
        <f t="shared" si="3"/>
        <v>2000</v>
      </c>
      <c r="H34" s="82">
        <f t="shared" si="0"/>
        <v>0</v>
      </c>
      <c r="I34" s="87"/>
      <c r="J34" s="469">
        <f>IF(Rates!$L$1="E+ 2019",Rates!$L$181," ")</f>
        <v>0</v>
      </c>
      <c r="K34" s="108">
        <f t="shared" si="4"/>
        <v>2000</v>
      </c>
      <c r="L34" s="82">
        <f t="shared" si="1"/>
        <v>0</v>
      </c>
      <c r="M34" s="83"/>
      <c r="N34" s="84">
        <f t="shared" si="2"/>
        <v>0</v>
      </c>
      <c r="O34" s="85" t="str">
        <f t="shared" si="5"/>
        <v/>
      </c>
      <c r="Q34" s="98"/>
      <c r="R34" s="87"/>
      <c r="S34" s="88"/>
      <c r="T34" s="87"/>
      <c r="U34" s="89"/>
      <c r="V34" s="90"/>
      <c r="W34" s="69"/>
      <c r="X34" s="98"/>
      <c r="Y34" s="87"/>
      <c r="Z34" s="88"/>
      <c r="AA34" s="87"/>
      <c r="AB34" s="89"/>
      <c r="AC34" s="90"/>
      <c r="AD34" s="69"/>
      <c r="AE34" s="98"/>
      <c r="AF34" s="87"/>
      <c r="AG34" s="88"/>
      <c r="AH34" s="87"/>
      <c r="AI34" s="89"/>
      <c r="AJ34" s="90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</row>
    <row r="35" spans="1:49" x14ac:dyDescent="0.25">
      <c r="A35" s="3"/>
      <c r="B35" s="271" t="str">
        <f>IF(Rates!D182=$A$23,Rates!B182," ")</f>
        <v>Rate Rider for gain on Sale of Property</v>
      </c>
      <c r="C35" s="78"/>
      <c r="D35" s="271" t="str">
        <f>IF(Rates!D182=$A$23,Rates!E182," ")</f>
        <v>kW</v>
      </c>
      <c r="E35" s="79"/>
      <c r="F35" s="80">
        <f>IF(Rates!$J$1="BRT 2018",Rates!J182," ")</f>
        <v>0</v>
      </c>
      <c r="G35" s="438">
        <f t="shared" ref="G35" si="6">IF(D35="customer",1,IF(D35="kWh",$F$19,$F$17))</f>
        <v>2000</v>
      </c>
      <c r="H35" s="82">
        <f t="shared" ref="H35" si="7">G35*F35</f>
        <v>0</v>
      </c>
      <c r="I35" s="87"/>
      <c r="J35" s="469">
        <f>IF(Rates!$L$1="E+ 2019",Rates!$L$182," ")</f>
        <v>-0.10836892517016627</v>
      </c>
      <c r="K35" s="108">
        <f t="shared" ref="K35" si="8">IF(D35="customer",1,IF(D35="kWh",$F$19,$F$17))</f>
        <v>2000</v>
      </c>
      <c r="L35" s="82">
        <f t="shared" ref="L35" si="9">K35*J35</f>
        <v>-216.73785034033256</v>
      </c>
      <c r="M35" s="83"/>
      <c r="N35" s="84">
        <f t="shared" ref="N35" si="10">L35-H35</f>
        <v>-216.73785034033256</v>
      </c>
      <c r="O35" s="85" t="str">
        <f t="shared" ref="O35" si="11">IF(OR(H35=0,L35=0),"",(N35/H35))</f>
        <v/>
      </c>
      <c r="Q35" s="98"/>
      <c r="R35" s="87"/>
      <c r="S35" s="88"/>
      <c r="T35" s="87"/>
      <c r="U35" s="89"/>
      <c r="V35" s="90"/>
      <c r="W35" s="69"/>
      <c r="X35" s="98"/>
      <c r="Y35" s="87"/>
      <c r="Z35" s="88"/>
      <c r="AA35" s="87"/>
      <c r="AB35" s="89"/>
      <c r="AC35" s="90"/>
      <c r="AD35" s="69"/>
      <c r="AE35" s="98"/>
      <c r="AF35" s="87"/>
      <c r="AG35" s="88"/>
      <c r="AH35" s="87"/>
      <c r="AI35" s="89"/>
      <c r="AJ35" s="90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</row>
    <row r="36" spans="1:49" x14ac:dyDescent="0.25">
      <c r="A36" s="3"/>
      <c r="B36" s="109" t="s">
        <v>64</v>
      </c>
      <c r="C36" s="110"/>
      <c r="D36" s="110"/>
      <c r="E36" s="110"/>
      <c r="F36" s="111"/>
      <c r="G36" s="112"/>
      <c r="H36" s="113">
        <f>SUM(H23:H35)</f>
        <v>7956.3799999999992</v>
      </c>
      <c r="I36" s="87"/>
      <c r="J36" s="115"/>
      <c r="K36" s="116"/>
      <c r="L36" s="113">
        <f>SUM(L23:L35)</f>
        <v>8241.4484137836153</v>
      </c>
      <c r="M36" s="114"/>
      <c r="N36" s="117">
        <f t="shared" si="2"/>
        <v>285.06841378361605</v>
      </c>
      <c r="O36" s="118">
        <f>IF(OR(H36=0, L36=0),"",(N36/H36))</f>
        <v>3.5828908848448172E-2</v>
      </c>
      <c r="Q36" s="119"/>
      <c r="R36" s="120"/>
      <c r="S36" s="88"/>
      <c r="T36" s="87"/>
      <c r="U36" s="121"/>
      <c r="V36" s="122"/>
      <c r="W36" s="69"/>
      <c r="X36" s="119"/>
      <c r="Y36" s="120"/>
      <c r="Z36" s="88"/>
      <c r="AA36" s="87"/>
      <c r="AB36" s="121"/>
      <c r="AC36" s="122"/>
      <c r="AD36" s="69"/>
      <c r="AE36" s="119"/>
      <c r="AF36" s="120"/>
      <c r="AG36" s="88"/>
      <c r="AH36" s="87"/>
      <c r="AI36" s="121"/>
      <c r="AJ36" s="122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</row>
    <row r="37" spans="1:49" x14ac:dyDescent="0.25">
      <c r="A37" s="5" t="s">
        <v>18</v>
      </c>
      <c r="B37" s="271" t="str">
        <f>IF(Rates!D183=$A$37,Rates!B183," ")</f>
        <v>Low Voltage Service Rate</v>
      </c>
      <c r="C37" s="78"/>
      <c r="D37" s="271" t="str">
        <f>IF(Rates!D183=$A$37,Rates!E183," ")</f>
        <v>kW</v>
      </c>
      <c r="E37" s="79"/>
      <c r="F37" s="469">
        <f>IF(Rates!$J$1="BRT 2018",Rates!J183," ")</f>
        <v>1.1222000000000001</v>
      </c>
      <c r="G37" s="438">
        <f t="shared" si="3"/>
        <v>2000</v>
      </c>
      <c r="H37" s="126">
        <f>G37*F37</f>
        <v>2244.4</v>
      </c>
      <c r="I37" s="87"/>
      <c r="J37" s="469">
        <f>IF(Rates!$L$1="E+ 2019",Rates!$L$183," ")</f>
        <v>0.18090000000000001</v>
      </c>
      <c r="K37" s="108">
        <f t="shared" si="4"/>
        <v>2000</v>
      </c>
      <c r="L37" s="82">
        <f t="shared" si="1"/>
        <v>361.8</v>
      </c>
      <c r="M37" s="406"/>
      <c r="N37" s="84">
        <f t="shared" si="2"/>
        <v>-1882.6000000000001</v>
      </c>
      <c r="O37" s="85">
        <f t="shared" ref="O37:O44" si="12">IF(OR(H37=0,L37=0),"",(N37/H37))</f>
        <v>-0.83879878809481379</v>
      </c>
      <c r="Q37" s="119"/>
      <c r="R37" s="87"/>
      <c r="S37" s="88"/>
      <c r="T37" s="87"/>
      <c r="U37" s="89"/>
      <c r="V37" s="90"/>
      <c r="W37" s="69"/>
      <c r="X37" s="119"/>
      <c r="Y37" s="87"/>
      <c r="Z37" s="88"/>
      <c r="AA37" s="87"/>
      <c r="AB37" s="89"/>
      <c r="AC37" s="90"/>
      <c r="AD37" s="69"/>
      <c r="AE37" s="119"/>
      <c r="AF37" s="87"/>
      <c r="AG37" s="88"/>
      <c r="AH37" s="87"/>
      <c r="AI37" s="89"/>
      <c r="AJ37" s="90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</row>
    <row r="38" spans="1:49" x14ac:dyDescent="0.25">
      <c r="A38" s="1"/>
      <c r="B38" s="124" t="s">
        <v>116</v>
      </c>
      <c r="C38" s="78"/>
      <c r="D38" s="271" t="s">
        <v>13</v>
      </c>
      <c r="E38" s="79"/>
      <c r="F38" s="469">
        <v>0</v>
      </c>
      <c r="G38" s="125"/>
      <c r="H38" s="126">
        <f t="shared" ref="H38:H44" si="13">G38*F38</f>
        <v>0</v>
      </c>
      <c r="I38" s="87"/>
      <c r="J38" s="469"/>
      <c r="K38" s="125"/>
      <c r="L38" s="82">
        <f t="shared" si="1"/>
        <v>0</v>
      </c>
      <c r="M38" s="83"/>
      <c r="N38" s="84">
        <f t="shared" si="2"/>
        <v>0</v>
      </c>
      <c r="O38" s="85" t="str">
        <f t="shared" si="12"/>
        <v/>
      </c>
      <c r="Q38" s="128"/>
      <c r="R38" s="129"/>
      <c r="S38" s="88"/>
      <c r="T38" s="87"/>
      <c r="U38" s="89"/>
      <c r="V38" s="90"/>
      <c r="W38" s="69"/>
      <c r="X38" s="128"/>
      <c r="Y38" s="129"/>
      <c r="Z38" s="88"/>
      <c r="AA38" s="87"/>
      <c r="AB38" s="89"/>
      <c r="AC38" s="90"/>
      <c r="AD38" s="69"/>
      <c r="AE38" s="128"/>
      <c r="AF38" s="129"/>
      <c r="AG38" s="88"/>
      <c r="AH38" s="87"/>
      <c r="AI38" s="89"/>
      <c r="AJ38" s="90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</row>
    <row r="39" spans="1:49" x14ac:dyDescent="0.25">
      <c r="A39" s="130"/>
      <c r="B39" s="271" t="str">
        <f>IF(Rates!D184=$A$37,Rates!B184," ")</f>
        <v>Rate Rider Other Fixed</v>
      </c>
      <c r="C39" s="78"/>
      <c r="D39" s="271" t="str">
        <f>IF(Rates!D184=$A$37,Rates!E184," ")</f>
        <v>customer</v>
      </c>
      <c r="E39" s="79"/>
      <c r="F39" s="469">
        <f>IF(Rates!$J$1="BRT 2018",Rates!J184," ")</f>
        <v>0</v>
      </c>
      <c r="G39" s="438">
        <f t="shared" si="3"/>
        <v>1</v>
      </c>
      <c r="H39" s="126">
        <f t="shared" si="13"/>
        <v>0</v>
      </c>
      <c r="I39" s="87"/>
      <c r="J39" s="469">
        <f>IF(Rates!$L$1="E+ 2019",Rates!$L$184," ")</f>
        <v>0</v>
      </c>
      <c r="K39" s="108">
        <f t="shared" si="4"/>
        <v>1</v>
      </c>
      <c r="L39" s="82">
        <f t="shared" si="1"/>
        <v>0</v>
      </c>
      <c r="M39" s="83"/>
      <c r="N39" s="84">
        <f t="shared" si="2"/>
        <v>0</v>
      </c>
      <c r="O39" s="85" t="str">
        <f t="shared" si="12"/>
        <v/>
      </c>
      <c r="Q39" s="119"/>
      <c r="R39" s="87"/>
      <c r="S39" s="88"/>
      <c r="T39" s="87"/>
      <c r="U39" s="89"/>
      <c r="V39" s="90"/>
      <c r="W39" s="69"/>
      <c r="X39" s="119"/>
      <c r="Y39" s="87"/>
      <c r="Z39" s="88"/>
      <c r="AA39" s="87"/>
      <c r="AB39" s="89"/>
      <c r="AC39" s="90"/>
      <c r="AD39" s="69"/>
      <c r="AE39" s="119"/>
      <c r="AF39" s="87"/>
      <c r="AG39" s="88"/>
      <c r="AH39" s="87"/>
      <c r="AI39" s="89"/>
      <c r="AJ39" s="90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</row>
    <row r="40" spans="1:49" x14ac:dyDescent="0.25">
      <c r="A40" s="130"/>
      <c r="B40" s="271" t="str">
        <f>IF(Rates!D185=$A$37,Rates!B185," ")</f>
        <v>Rate Rider Other Volumetric</v>
      </c>
      <c r="C40" s="78"/>
      <c r="D40" s="271" t="str">
        <f>IF(Rates!D185=$A$37,Rates!E185," ")</f>
        <v>kW</v>
      </c>
      <c r="E40" s="79"/>
      <c r="F40" s="469">
        <f>IF(Rates!$J$1="BRT 2018",Rates!J185," ")</f>
        <v>0</v>
      </c>
      <c r="G40" s="438">
        <f t="shared" si="3"/>
        <v>2000</v>
      </c>
      <c r="H40" s="126">
        <f t="shared" si="13"/>
        <v>0</v>
      </c>
      <c r="I40" s="87"/>
      <c r="J40" s="469">
        <f>IF(Rates!$L$1="E+ 2019",Rates!$L$185," ")</f>
        <v>7.7022646877985754E-2</v>
      </c>
      <c r="K40" s="108">
        <f t="shared" si="4"/>
        <v>2000</v>
      </c>
      <c r="L40" s="82">
        <f t="shared" si="1"/>
        <v>154.0452937559715</v>
      </c>
      <c r="M40" s="83"/>
      <c r="N40" s="84">
        <f t="shared" si="2"/>
        <v>154.0452937559715</v>
      </c>
      <c r="O40" s="85" t="str">
        <f t="shared" si="12"/>
        <v/>
      </c>
      <c r="Q40" s="119"/>
      <c r="R40" s="87"/>
      <c r="S40" s="88"/>
      <c r="T40" s="87"/>
      <c r="U40" s="89"/>
      <c r="V40" s="90"/>
      <c r="W40" s="69"/>
      <c r="X40" s="119"/>
      <c r="Y40" s="87"/>
      <c r="Z40" s="88"/>
      <c r="AA40" s="87"/>
      <c r="AB40" s="89"/>
      <c r="AC40" s="90"/>
      <c r="AD40" s="69"/>
      <c r="AE40" s="119"/>
      <c r="AF40" s="87"/>
      <c r="AG40" s="88"/>
      <c r="AH40" s="87"/>
      <c r="AI40" s="89"/>
      <c r="AJ40" s="90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</row>
    <row r="41" spans="1:49" x14ac:dyDescent="0.25">
      <c r="A41" s="130"/>
      <c r="B41" s="271" t="str">
        <f>IF(Rates!D186=$A$37,Rates!B186," ")</f>
        <v>Rate Rider Other Volumetric</v>
      </c>
      <c r="C41" s="78"/>
      <c r="D41" s="271" t="str">
        <f>IF(Rates!D186=$A$37,Rates!E186," ")</f>
        <v>kW</v>
      </c>
      <c r="E41" s="79"/>
      <c r="F41" s="469">
        <f>IF(Rates!$J$1="BRT 2018",Rates!J186," ")</f>
        <v>0</v>
      </c>
      <c r="G41" s="438">
        <f t="shared" si="3"/>
        <v>2000</v>
      </c>
      <c r="H41" s="126">
        <f t="shared" si="13"/>
        <v>0</v>
      </c>
      <c r="I41" s="87"/>
      <c r="J41" s="469">
        <f>IF(Rates!$L$1="E+ 2019",Rates!$L$186," ")</f>
        <v>0</v>
      </c>
      <c r="K41" s="108">
        <f t="shared" si="4"/>
        <v>2000</v>
      </c>
      <c r="L41" s="82">
        <f t="shared" si="1"/>
        <v>0</v>
      </c>
      <c r="M41" s="83"/>
      <c r="N41" s="84">
        <f t="shared" si="2"/>
        <v>0</v>
      </c>
      <c r="O41" s="85" t="str">
        <f t="shared" si="12"/>
        <v/>
      </c>
      <c r="Q41" s="119"/>
      <c r="R41" s="87"/>
      <c r="S41" s="88"/>
      <c r="T41" s="87"/>
      <c r="U41" s="89"/>
      <c r="V41" s="90"/>
      <c r="W41" s="69"/>
      <c r="X41" s="119"/>
      <c r="Y41" s="87"/>
      <c r="Z41" s="88"/>
      <c r="AA41" s="87"/>
      <c r="AB41" s="89"/>
      <c r="AC41" s="90"/>
      <c r="AD41" s="69"/>
      <c r="AE41" s="119"/>
      <c r="AF41" s="87"/>
      <c r="AG41" s="88"/>
      <c r="AH41" s="87"/>
      <c r="AI41" s="89"/>
      <c r="AJ41" s="90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</row>
    <row r="42" spans="1:49" x14ac:dyDescent="0.25">
      <c r="A42" s="1"/>
      <c r="B42" s="271" t="str">
        <f>IF(Rates!D187=$A$37,Rates!B187," ")</f>
        <v xml:space="preserve">Rate Rider for Disposition of Deferral/Variance Accounts </v>
      </c>
      <c r="C42" s="78"/>
      <c r="D42" s="271" t="str">
        <f>IF(Rates!D187=$A$37,Rates!E187," ")</f>
        <v>kW</v>
      </c>
      <c r="E42" s="79"/>
      <c r="F42" s="469">
        <f>IF(Rates!$J$1="BRT 2018",Rates!J187," ")</f>
        <v>-2.8760694640552322</v>
      </c>
      <c r="G42" s="438">
        <f t="shared" si="3"/>
        <v>2000</v>
      </c>
      <c r="H42" s="126">
        <f t="shared" si="13"/>
        <v>-5752.1389281104648</v>
      </c>
      <c r="I42" s="87"/>
      <c r="J42" s="469">
        <f>IF(Rates!$L$1="E+ 2019",Rates!$L$187," ")</f>
        <v>-0.61247752516478926</v>
      </c>
      <c r="K42" s="108">
        <f t="shared" si="4"/>
        <v>2000</v>
      </c>
      <c r="L42" s="82">
        <f t="shared" si="1"/>
        <v>-1224.9550503295786</v>
      </c>
      <c r="M42" s="83"/>
      <c r="N42" s="84">
        <f t="shared" si="2"/>
        <v>4527.1838777808862</v>
      </c>
      <c r="O42" s="85">
        <f t="shared" si="12"/>
        <v>-0.7870435562077136</v>
      </c>
      <c r="Q42" s="128"/>
      <c r="R42" s="129"/>
      <c r="S42" s="88"/>
      <c r="T42" s="87"/>
      <c r="U42" s="89"/>
      <c r="V42" s="90"/>
      <c r="W42" s="69"/>
      <c r="X42" s="128"/>
      <c r="Y42" s="129"/>
      <c r="Z42" s="88"/>
      <c r="AA42" s="87"/>
      <c r="AB42" s="89"/>
      <c r="AC42" s="90"/>
      <c r="AD42" s="69"/>
      <c r="AE42" s="128"/>
      <c r="AF42" s="129"/>
      <c r="AG42" s="88"/>
      <c r="AH42" s="87"/>
      <c r="AI42" s="89"/>
      <c r="AJ42" s="90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</row>
    <row r="43" spans="1:49" x14ac:dyDescent="0.25">
      <c r="A43" s="1"/>
      <c r="B43" s="271" t="str">
        <f>IF(Rates!D188=$A$37,Rates!B188," ")</f>
        <v>Rate Rider for Disposition of Deferral/Variance Accounts Non-WMP Customers</v>
      </c>
      <c r="C43" s="78"/>
      <c r="D43" s="271" t="str">
        <f>IF(Rates!D188=$A$37,Rates!E188," ")</f>
        <v>kW</v>
      </c>
      <c r="E43" s="79"/>
      <c r="F43" s="469">
        <f>IF(Rates!$J$1="BRT 2018",Rates!J188," ")</f>
        <v>0</v>
      </c>
      <c r="G43" s="438">
        <f t="shared" si="3"/>
        <v>2000</v>
      </c>
      <c r="H43" s="126">
        <f t="shared" si="13"/>
        <v>0</v>
      </c>
      <c r="I43" s="87"/>
      <c r="J43" s="469">
        <f>IF(Rates!$L$1="E+ 2019",Rates!$L$188," ")</f>
        <v>-0.1166961875706015</v>
      </c>
      <c r="K43" s="108">
        <f t="shared" si="4"/>
        <v>2000</v>
      </c>
      <c r="L43" s="82">
        <f t="shared" si="1"/>
        <v>-233.39237514120302</v>
      </c>
      <c r="M43" s="83"/>
      <c r="N43" s="84">
        <f t="shared" si="2"/>
        <v>-233.39237514120302</v>
      </c>
      <c r="O43" s="85" t="str">
        <f t="shared" si="12"/>
        <v/>
      </c>
      <c r="Q43" s="128"/>
      <c r="R43" s="129"/>
      <c r="S43" s="88"/>
      <c r="T43" s="87"/>
      <c r="U43" s="89"/>
      <c r="V43" s="90"/>
      <c r="W43" s="69"/>
      <c r="X43" s="128"/>
      <c r="Y43" s="129"/>
      <c r="Z43" s="88"/>
      <c r="AA43" s="87"/>
      <c r="AB43" s="89"/>
      <c r="AC43" s="90"/>
      <c r="AD43" s="69"/>
      <c r="AE43" s="128"/>
      <c r="AF43" s="129"/>
      <c r="AG43" s="88"/>
      <c r="AH43" s="87"/>
      <c r="AI43" s="89"/>
      <c r="AJ43" s="90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</row>
    <row r="44" spans="1:49" x14ac:dyDescent="0.25">
      <c r="A44" s="1"/>
      <c r="B44" s="271" t="str">
        <f>IF(Rates!D189=$A$37,Rates!B189," ")</f>
        <v>Rate Rider for Disposition of GA DV</v>
      </c>
      <c r="C44" s="78"/>
      <c r="D44" s="271" t="str">
        <f>IF(Rates!D189=$A$37,Rates!E189," ")</f>
        <v>kWh</v>
      </c>
      <c r="E44" s="79"/>
      <c r="F44" s="469">
        <f>IF(Rates!$J$1="BRT 2018",Rates!J189," ")</f>
        <v>1.4200000000000001E-2</v>
      </c>
      <c r="G44" s="440">
        <f t="shared" si="3"/>
        <v>800000</v>
      </c>
      <c r="H44" s="126">
        <f t="shared" si="13"/>
        <v>11360</v>
      </c>
      <c r="I44" s="87"/>
      <c r="J44" s="469">
        <f>IF(Rates!$L$1="E+ 2019",Rates!$L$189," ")</f>
        <v>3.8449181889326281E-4</v>
      </c>
      <c r="K44" s="440">
        <f t="shared" si="4"/>
        <v>800000</v>
      </c>
      <c r="L44" s="82">
        <f t="shared" si="1"/>
        <v>307.59345511461026</v>
      </c>
      <c r="M44" s="83"/>
      <c r="N44" s="84">
        <f t="shared" si="2"/>
        <v>-11052.406544885389</v>
      </c>
      <c r="O44" s="85">
        <f t="shared" si="12"/>
        <v>-0.97292311134554477</v>
      </c>
      <c r="Q44" s="128"/>
      <c r="R44" s="129"/>
      <c r="S44" s="88"/>
      <c r="T44" s="87"/>
      <c r="U44" s="89"/>
      <c r="V44" s="90"/>
      <c r="W44" s="69"/>
      <c r="X44" s="128"/>
      <c r="Y44" s="129"/>
      <c r="Z44" s="88"/>
      <c r="AA44" s="87"/>
      <c r="AB44" s="89"/>
      <c r="AC44" s="90"/>
      <c r="AD44" s="69"/>
      <c r="AE44" s="128"/>
      <c r="AF44" s="129"/>
      <c r="AG44" s="88"/>
      <c r="AH44" s="87"/>
      <c r="AI44" s="89"/>
      <c r="AJ44" s="90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</row>
    <row r="45" spans="1:49" x14ac:dyDescent="0.25">
      <c r="A45" s="1"/>
      <c r="B45" s="271" t="str">
        <f>IF(Rates!D190=$A$37,Rates!B190," ")</f>
        <v>Rate Rider for Disposition of Capacity Based Recovery Account (2018) - Applicable only for Class B Customers</v>
      </c>
      <c r="C45" s="78"/>
      <c r="D45" s="271" t="str">
        <f>IF(Rates!D190=$A$37,Rates!E190," ")</f>
        <v>kW</v>
      </c>
      <c r="E45" s="79"/>
      <c r="F45" s="469">
        <f>IF(Rates!$J$1="BRT 2018",Rates!J190," ")</f>
        <v>0</v>
      </c>
      <c r="G45" s="438">
        <f t="shared" si="3"/>
        <v>2000</v>
      </c>
      <c r="H45" s="126">
        <f t="shared" ref="H45" si="14">G45*F45</f>
        <v>0</v>
      </c>
      <c r="I45" s="87"/>
      <c r="J45" s="469">
        <f>IF(Rates!$L$1="E+ 2019",Rates!$L$190," ")</f>
        <v>1.5235690482471663E-3</v>
      </c>
      <c r="K45" s="108">
        <f t="shared" si="4"/>
        <v>2000</v>
      </c>
      <c r="L45" s="82">
        <f t="shared" ref="L45" si="15">K45*J45</f>
        <v>3.0471380964943324</v>
      </c>
      <c r="M45" s="83"/>
      <c r="N45" s="84">
        <f t="shared" ref="N45" si="16">L45-H45</f>
        <v>3.0471380964943324</v>
      </c>
      <c r="O45" s="85" t="str">
        <f t="shared" ref="O45" si="17">IF(OR(H45=0,L45=0),"",(N45/H45))</f>
        <v/>
      </c>
      <c r="Q45" s="128"/>
      <c r="R45" s="129"/>
      <c r="S45" s="88"/>
      <c r="T45" s="87"/>
      <c r="U45" s="89"/>
      <c r="V45" s="90"/>
      <c r="W45" s="69"/>
      <c r="X45" s="128"/>
      <c r="Y45" s="129"/>
      <c r="Z45" s="88"/>
      <c r="AA45" s="87"/>
      <c r="AB45" s="89"/>
      <c r="AC45" s="90"/>
      <c r="AD45" s="69"/>
      <c r="AE45" s="128"/>
      <c r="AF45" s="129"/>
      <c r="AG45" s="88"/>
      <c r="AH45" s="87"/>
      <c r="AI45" s="89"/>
      <c r="AJ45" s="90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</row>
    <row r="46" spans="1:49" hidden="1" x14ac:dyDescent="0.25">
      <c r="A46" s="1"/>
      <c r="B46" s="271"/>
      <c r="C46" s="78"/>
      <c r="D46" s="271"/>
      <c r="E46" s="79"/>
      <c r="F46" s="469"/>
      <c r="G46" s="438"/>
      <c r="H46" s="126"/>
      <c r="I46" s="87"/>
      <c r="J46" s="469"/>
      <c r="K46" s="108"/>
      <c r="L46" s="82"/>
      <c r="M46" s="83"/>
      <c r="N46" s="84"/>
      <c r="O46" s="85"/>
      <c r="Q46" s="128"/>
      <c r="R46" s="129"/>
      <c r="S46" s="88"/>
      <c r="T46" s="87"/>
      <c r="U46" s="89"/>
      <c r="V46" s="90"/>
      <c r="W46" s="69"/>
      <c r="X46" s="128"/>
      <c r="Y46" s="129"/>
      <c r="Z46" s="88"/>
      <c r="AA46" s="87"/>
      <c r="AB46" s="89"/>
      <c r="AC46" s="90"/>
      <c r="AD46" s="69"/>
      <c r="AE46" s="128"/>
      <c r="AF46" s="129"/>
      <c r="AG46" s="88"/>
      <c r="AH46" s="87"/>
      <c r="AI46" s="89"/>
      <c r="AJ46" s="90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</row>
    <row r="47" spans="1:49" x14ac:dyDescent="0.25">
      <c r="A47" s="1"/>
      <c r="B47" s="132" t="s">
        <v>80</v>
      </c>
      <c r="C47" s="133"/>
      <c r="D47" s="133"/>
      <c r="E47" s="133"/>
      <c r="F47" s="134"/>
      <c r="G47" s="135"/>
      <c r="H47" s="136">
        <f>SUM(H37:H46)+H36</f>
        <v>15808.641071889535</v>
      </c>
      <c r="I47" s="87"/>
      <c r="J47" s="135"/>
      <c r="K47" s="137"/>
      <c r="L47" s="136">
        <f>SUM(L37:L46)+L36</f>
        <v>7609.5868752799097</v>
      </c>
      <c r="M47" s="114"/>
      <c r="N47" s="117">
        <f t="shared" si="2"/>
        <v>-8199.0541966096243</v>
      </c>
      <c r="O47" s="138">
        <f>IF(OR(H47=0,L47=0),"",(N47/H47))</f>
        <v>-0.51864383278262571</v>
      </c>
      <c r="Q47" s="87"/>
      <c r="R47" s="87"/>
      <c r="S47" s="121"/>
      <c r="T47" s="87"/>
      <c r="U47" s="121"/>
      <c r="V47" s="139"/>
      <c r="W47" s="69"/>
      <c r="X47" s="87"/>
      <c r="Y47" s="87"/>
      <c r="Z47" s="121"/>
      <c r="AA47" s="87"/>
      <c r="AB47" s="121"/>
      <c r="AC47" s="139"/>
      <c r="AD47" s="69"/>
      <c r="AE47" s="87"/>
      <c r="AF47" s="87"/>
      <c r="AG47" s="121"/>
      <c r="AH47" s="87"/>
      <c r="AI47" s="121"/>
      <c r="AJ47" s="13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</row>
    <row r="48" spans="1:49" x14ac:dyDescent="0.25">
      <c r="A48" s="38" t="s">
        <v>16</v>
      </c>
      <c r="B48" s="271" t="str">
        <f>IF(Rates!D191=$A$48,Rates!B191," ")</f>
        <v>Retail Transmission Rate – Network Service Rate</v>
      </c>
      <c r="C48" s="83"/>
      <c r="D48" s="271" t="str">
        <f>IF(Rates!D191= $A$48,Rates!E191," ")</f>
        <v>kW</v>
      </c>
      <c r="E48" s="91"/>
      <c r="F48" s="235">
        <f>IF(Rates!$J$1="BRT 2018",Rates!J191," ")</f>
        <v>2.3643999999999998</v>
      </c>
      <c r="G48" s="140">
        <f>+$F17</f>
        <v>2000</v>
      </c>
      <c r="H48" s="82">
        <f>G48*F48</f>
        <v>4728.7999999999993</v>
      </c>
      <c r="I48" s="87"/>
      <c r="J48" s="235">
        <f>IF(Rates!$L$1="E+ 2019",Rates!L191," ")</f>
        <v>2.3620195199576757</v>
      </c>
      <c r="K48" s="445">
        <f t="shared" si="4"/>
        <v>2000</v>
      </c>
      <c r="L48" s="82">
        <f>K48*J48</f>
        <v>4724.0390399153512</v>
      </c>
      <c r="M48" s="83"/>
      <c r="N48" s="84">
        <f t="shared" si="2"/>
        <v>-4.7609600846481044</v>
      </c>
      <c r="O48" s="85">
        <f>IF(OR(H48=0,L48=0),"",(N48/H48))</f>
        <v>-1.0068008976163308E-3</v>
      </c>
      <c r="Q48" s="119"/>
      <c r="R48" s="141"/>
      <c r="S48" s="294">
        <f>F48*K48</f>
        <v>4728.7999999999993</v>
      </c>
      <c r="T48" s="87"/>
      <c r="U48" s="89"/>
      <c r="V48" s="90"/>
      <c r="W48" s="69"/>
      <c r="X48" s="119"/>
      <c r="Y48" s="141"/>
      <c r="Z48" s="88"/>
      <c r="AA48" s="87"/>
      <c r="AB48" s="89"/>
      <c r="AC48" s="90"/>
      <c r="AD48" s="69"/>
      <c r="AE48" s="119"/>
      <c r="AF48" s="141"/>
      <c r="AG48" s="88"/>
      <c r="AH48" s="87"/>
      <c r="AI48" s="89"/>
      <c r="AJ48" s="90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</row>
    <row r="49" spans="1:49" x14ac:dyDescent="0.25">
      <c r="A49" s="1"/>
      <c r="B49" s="271" t="str">
        <f>IF(Rates!D192=$A$48,Rates!B192," ")</f>
        <v>Retail Transmission Rate – Line and Transformation Connection Service Rate</v>
      </c>
      <c r="C49" s="83"/>
      <c r="D49" s="271" t="str">
        <f>IF(Rates!D192= $A$48,Rates!E192," ")</f>
        <v>kW</v>
      </c>
      <c r="E49" s="91"/>
      <c r="F49" s="235">
        <f>IF(Rates!$J$1="BRT 2018",Rates!J192," ")</f>
        <v>1.2948999999999999</v>
      </c>
      <c r="G49" s="140">
        <f>$G$48</f>
        <v>2000</v>
      </c>
      <c r="H49" s="82">
        <f t="shared" ref="H49" si="18">G49*F49</f>
        <v>2589.7999999999997</v>
      </c>
      <c r="I49" s="87"/>
      <c r="J49" s="235">
        <f>IF(Rates!$L$1="E+ 2019",Rates!L192," ")</f>
        <v>1.6223999999999998</v>
      </c>
      <c r="K49" s="445">
        <f t="shared" si="4"/>
        <v>2000</v>
      </c>
      <c r="L49" s="82">
        <f t="shared" ref="L49" si="19">K49*J49</f>
        <v>3244.7999999999997</v>
      </c>
      <c r="M49" s="83"/>
      <c r="N49" s="84">
        <f t="shared" si="2"/>
        <v>655</v>
      </c>
      <c r="O49" s="85">
        <f t="shared" ref="O49" si="20">IF(OR(H49=0,L49=0),"",(N49/H49))</f>
        <v>0.25291528303343891</v>
      </c>
      <c r="Q49" s="119"/>
      <c r="R49" s="141"/>
      <c r="S49" s="295">
        <f>F49*K49</f>
        <v>2589.7999999999997</v>
      </c>
      <c r="T49" s="87"/>
      <c r="U49" s="89"/>
      <c r="V49" s="90"/>
      <c r="W49" s="69"/>
      <c r="X49" s="119"/>
      <c r="Y49" s="141"/>
      <c r="Z49" s="88"/>
      <c r="AA49" s="87"/>
      <c r="AB49" s="89"/>
      <c r="AC49" s="90"/>
      <c r="AD49" s="69"/>
      <c r="AE49" s="119"/>
      <c r="AF49" s="141"/>
      <c r="AG49" s="88"/>
      <c r="AH49" s="87"/>
      <c r="AI49" s="89"/>
      <c r="AJ49" s="90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</row>
    <row r="50" spans="1:49" x14ac:dyDescent="0.25">
      <c r="A50" s="1"/>
      <c r="B50" s="132" t="s">
        <v>81</v>
      </c>
      <c r="C50" s="110"/>
      <c r="D50" s="110"/>
      <c r="E50" s="110"/>
      <c r="F50" s="142"/>
      <c r="G50" s="135"/>
      <c r="H50" s="136">
        <f>SUM(H47:H49)</f>
        <v>23127.241071889533</v>
      </c>
      <c r="I50" s="146"/>
      <c r="J50" s="144"/>
      <c r="K50" s="145"/>
      <c r="L50" s="136">
        <f>SUM(L47:L49)</f>
        <v>15578.425915195261</v>
      </c>
      <c r="M50" s="143"/>
      <c r="N50" s="117">
        <f>L50-H50</f>
        <v>-7548.8151566942724</v>
      </c>
      <c r="O50" s="138">
        <f>IF(OR(H50=0,L50=0),"",(N50/H50))</f>
        <v>-0.32640361784742367</v>
      </c>
      <c r="Q50" s="146"/>
      <c r="R50" s="146"/>
      <c r="S50" s="296">
        <f>S48+S49</f>
        <v>7318.5999999999985</v>
      </c>
      <c r="T50" s="146"/>
      <c r="U50" s="121"/>
      <c r="V50" s="139"/>
      <c r="W50" s="69"/>
      <c r="X50" s="146"/>
      <c r="Y50" s="146"/>
      <c r="Z50" s="121"/>
      <c r="AA50" s="146"/>
      <c r="AB50" s="121"/>
      <c r="AC50" s="139"/>
      <c r="AD50" s="69"/>
      <c r="AE50" s="146"/>
      <c r="AF50" s="146"/>
      <c r="AG50" s="121"/>
      <c r="AH50" s="146"/>
      <c r="AI50" s="121"/>
      <c r="AJ50" s="13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</row>
    <row r="51" spans="1:49" x14ac:dyDescent="0.25">
      <c r="A51" s="4" t="s">
        <v>17</v>
      </c>
      <c r="B51" s="271" t="str">
        <f>IF(Rates!D8=$A$51,Rates!B8," ")</f>
        <v>Standard Supply Service – Administrative Charge (if applicable)</v>
      </c>
      <c r="C51" s="78"/>
      <c r="D51" s="271" t="str">
        <f>IF(Rates!D8=$A$51,Rates!E8," ")</f>
        <v>customer</v>
      </c>
      <c r="E51" s="79"/>
      <c r="F51" s="235">
        <f>IF(Rates!$J$1="BRT 2018",Rates!J8," ")</f>
        <v>0.25</v>
      </c>
      <c r="G51" s="225">
        <v>1</v>
      </c>
      <c r="H51" s="148">
        <f t="shared" ref="H51:H60" si="21">G51*F51</f>
        <v>0.25</v>
      </c>
      <c r="I51" s="87"/>
      <c r="J51" s="80">
        <f>IF(Rates!$L$1="E+ 2019",Rates!L8," ")</f>
        <v>0.25</v>
      </c>
      <c r="K51" s="445">
        <f t="shared" si="4"/>
        <v>1</v>
      </c>
      <c r="L51" s="148">
        <f t="shared" ref="L51:L60" si="22">K51*J51</f>
        <v>0.25</v>
      </c>
      <c r="M51" s="83"/>
      <c r="N51" s="84">
        <f t="shared" si="2"/>
        <v>0</v>
      </c>
      <c r="O51" s="85">
        <f>IF(OR(H51=0,L51=0),"",(N51/H51))</f>
        <v>0</v>
      </c>
      <c r="Q51" s="150"/>
      <c r="R51" s="224"/>
      <c r="S51" s="151"/>
      <c r="T51" s="87"/>
      <c r="U51" s="89"/>
      <c r="V51" s="90"/>
      <c r="W51" s="69"/>
      <c r="X51" s="150"/>
      <c r="Y51" s="224"/>
      <c r="Z51" s="151"/>
      <c r="AA51" s="87"/>
      <c r="AB51" s="89"/>
      <c r="AC51" s="90"/>
      <c r="AD51" s="69"/>
      <c r="AE51" s="150"/>
      <c r="AF51" s="224"/>
      <c r="AG51" s="151"/>
      <c r="AH51" s="87"/>
      <c r="AI51" s="89"/>
      <c r="AJ51" s="90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</row>
    <row r="52" spans="1:49" x14ac:dyDescent="0.25">
      <c r="A52" s="1"/>
      <c r="B52" s="271" t="str">
        <f>IF(Rates!D9=$A$51,Rates!B9," ")</f>
        <v xml:space="preserve">Wholesale Market Service Rate </v>
      </c>
      <c r="C52" s="78"/>
      <c r="D52" s="271" t="str">
        <f>IF(Rates!D9=$A$51,Rates!E9," ")</f>
        <v>kWh</v>
      </c>
      <c r="E52" s="79"/>
      <c r="F52" s="235">
        <f>IF(Rates!$J$1="BRT 2018",Rates!J9," ")</f>
        <v>3.2000000000000002E-3</v>
      </c>
      <c r="G52" s="225">
        <f>$F$19*(1+$F$74)</f>
        <v>839600.00000000012</v>
      </c>
      <c r="H52" s="148">
        <f t="shared" si="21"/>
        <v>2686.7200000000007</v>
      </c>
      <c r="I52" s="87"/>
      <c r="J52" s="235">
        <f>IF(Rates!$L$1="E+ 2019",Rates!L9," ")</f>
        <v>3.2000000000000002E-3</v>
      </c>
      <c r="K52" s="225">
        <f>$F$19*(1+$J$74)</f>
        <v>824547.71995522163</v>
      </c>
      <c r="L52" s="148">
        <f t="shared" si="22"/>
        <v>2638.5527038567093</v>
      </c>
      <c r="M52" s="83"/>
      <c r="N52" s="84">
        <f t="shared" si="2"/>
        <v>-48.167296143291424</v>
      </c>
      <c r="O52" s="85">
        <f t="shared" ref="O52:O71" si="23">IF(OR(H52=0,L52=0),"",(N52/H52))</f>
        <v>-1.792791810955046E-2</v>
      </c>
      <c r="Q52" s="150"/>
      <c r="R52" s="224"/>
      <c r="S52" s="151"/>
      <c r="T52" s="87"/>
      <c r="U52" s="89"/>
      <c r="V52" s="90"/>
      <c r="W52" s="69"/>
      <c r="X52" s="150"/>
      <c r="Y52" s="224"/>
      <c r="Z52" s="151"/>
      <c r="AA52" s="87"/>
      <c r="AB52" s="89"/>
      <c r="AC52" s="90"/>
      <c r="AD52" s="69"/>
      <c r="AE52" s="150"/>
      <c r="AF52" s="224"/>
      <c r="AG52" s="151"/>
      <c r="AH52" s="87"/>
      <c r="AI52" s="89"/>
      <c r="AJ52" s="90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</row>
    <row r="53" spans="1:49" x14ac:dyDescent="0.25">
      <c r="A53" s="1"/>
      <c r="B53" s="271" t="str">
        <f>IF(Rates!D10=$A$51,Rates!B10," ")</f>
        <v>Capacity Based Rcovery(CBR) - Class B Customers</v>
      </c>
      <c r="C53" s="78"/>
      <c r="D53" s="271" t="str">
        <f>IF(Rates!D10=$A$51,Rates!E10," ")</f>
        <v>kWh</v>
      </c>
      <c r="E53" s="79"/>
      <c r="F53" s="235">
        <f>IF(Rates!$J$1="BRT 2018",Rates!J10," ")</f>
        <v>4.0000000000000002E-4</v>
      </c>
      <c r="G53" s="225">
        <f>$F$19*(1+$F$74)</f>
        <v>839600.00000000012</v>
      </c>
      <c r="H53" s="148">
        <f t="shared" si="21"/>
        <v>335.84000000000009</v>
      </c>
      <c r="I53" s="87"/>
      <c r="J53" s="235">
        <f>IF(Rates!$L$1="E+ 2019",Rates!L10," ")</f>
        <v>4.0000000000000002E-4</v>
      </c>
      <c r="K53" s="225">
        <f>$F$19*(1+$J$74)</f>
        <v>824547.71995522163</v>
      </c>
      <c r="L53" s="148">
        <f t="shared" si="22"/>
        <v>329.81908798208866</v>
      </c>
      <c r="M53" s="83"/>
      <c r="N53" s="84">
        <f t="shared" si="2"/>
        <v>-6.0209120179114279</v>
      </c>
      <c r="O53" s="85">
        <f t="shared" si="23"/>
        <v>-1.792791810955046E-2</v>
      </c>
      <c r="Q53" s="150"/>
      <c r="R53" s="224"/>
      <c r="S53" s="151"/>
      <c r="T53" s="87"/>
      <c r="U53" s="89"/>
      <c r="V53" s="90"/>
      <c r="W53" s="69"/>
      <c r="X53" s="150"/>
      <c r="Y53" s="224"/>
      <c r="Z53" s="151"/>
      <c r="AA53" s="87"/>
      <c r="AB53" s="89"/>
      <c r="AC53" s="90"/>
      <c r="AD53" s="69"/>
      <c r="AE53" s="150"/>
      <c r="AF53" s="224"/>
      <c r="AG53" s="151"/>
      <c r="AH53" s="87"/>
      <c r="AI53" s="89"/>
      <c r="AJ53" s="90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</row>
    <row r="54" spans="1:49" x14ac:dyDescent="0.25">
      <c r="A54" s="1"/>
      <c r="B54" s="271" t="str">
        <f>IF(Rates!D11=$A$51,Rates!B11," ")</f>
        <v xml:space="preserve">Rural Rate Protection Charge </v>
      </c>
      <c r="C54" s="78"/>
      <c r="D54" s="271" t="str">
        <f>IF(Rates!D11=$A$51,Rates!E11," ")</f>
        <v>kWh</v>
      </c>
      <c r="E54" s="79"/>
      <c r="F54" s="235">
        <f>IF(Rates!$J$1="BRT 2018",Rates!J11," ")</f>
        <v>2.9999999999999997E-4</v>
      </c>
      <c r="G54" s="225">
        <f>$F$19*(1+$F$74)</f>
        <v>839600.00000000012</v>
      </c>
      <c r="H54" s="148">
        <f t="shared" si="21"/>
        <v>251.88000000000002</v>
      </c>
      <c r="I54" s="87"/>
      <c r="J54" s="235">
        <f>IF(Rates!$L$1="E+ 2019",Rates!L11," ")</f>
        <v>2.9999999999999997E-4</v>
      </c>
      <c r="K54" s="225">
        <f>$F$19*(1+$J$74)</f>
        <v>824547.71995522163</v>
      </c>
      <c r="L54" s="148">
        <f t="shared" si="22"/>
        <v>247.36431598656648</v>
      </c>
      <c r="M54" s="83"/>
      <c r="N54" s="84">
        <f t="shared" si="2"/>
        <v>-4.5156840134335425</v>
      </c>
      <c r="O54" s="85">
        <f t="shared" si="23"/>
        <v>-1.7927918109550349E-2</v>
      </c>
      <c r="Q54" s="153"/>
      <c r="R54" s="87"/>
      <c r="S54" s="151"/>
      <c r="T54" s="87"/>
      <c r="U54" s="89"/>
      <c r="V54" s="90"/>
      <c r="W54" s="69"/>
      <c r="X54" s="153"/>
      <c r="Y54" s="87"/>
      <c r="Z54" s="151"/>
      <c r="AA54" s="87"/>
      <c r="AB54" s="89"/>
      <c r="AC54" s="90"/>
      <c r="AD54" s="69"/>
      <c r="AE54" s="153"/>
      <c r="AF54" s="87"/>
      <c r="AG54" s="151"/>
      <c r="AH54" s="87"/>
      <c r="AI54" s="89"/>
      <c r="AJ54" s="90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</row>
    <row r="55" spans="1:49" x14ac:dyDescent="0.25">
      <c r="A55" s="1"/>
      <c r="B55" s="271" t="str">
        <f>IF(Rates!D12=$A$51,Rates!B12," ")</f>
        <v>Debt Retirement Charge</v>
      </c>
      <c r="C55" s="78"/>
      <c r="D55" s="271" t="str">
        <f>IF(Rates!D12=$A$51,Rates!E12," ")</f>
        <v>kWh</v>
      </c>
      <c r="E55" s="79"/>
      <c r="F55" s="235">
        <f>IF(Rates!$J$1="BRT 2018",Rates!J12," ")</f>
        <v>7.0000000000000001E-3</v>
      </c>
      <c r="G55" s="225">
        <f>$F$19</f>
        <v>800000</v>
      </c>
      <c r="H55" s="148">
        <f t="shared" si="21"/>
        <v>5600</v>
      </c>
      <c r="I55" s="87"/>
      <c r="J55" s="235">
        <f>IF(Rates!$L$1="E+ 2019",Rates!L12," ")</f>
        <v>7.0000000000000001E-3</v>
      </c>
      <c r="K55" s="225">
        <f>F19</f>
        <v>800000</v>
      </c>
      <c r="L55" s="148">
        <f t="shared" si="22"/>
        <v>5600</v>
      </c>
      <c r="M55" s="83"/>
      <c r="N55" s="84">
        <f t="shared" si="2"/>
        <v>0</v>
      </c>
      <c r="O55" s="85">
        <f t="shared" si="23"/>
        <v>0</v>
      </c>
      <c r="Q55" s="153"/>
      <c r="R55" s="87"/>
      <c r="S55" s="151"/>
      <c r="T55" s="87"/>
      <c r="U55" s="89"/>
      <c r="V55" s="90"/>
      <c r="W55" s="69"/>
      <c r="X55" s="153"/>
      <c r="Y55" s="87"/>
      <c r="Z55" s="151"/>
      <c r="AA55" s="87"/>
      <c r="AB55" s="89"/>
      <c r="AC55" s="90"/>
      <c r="AD55" s="69"/>
      <c r="AE55" s="153"/>
      <c r="AF55" s="87"/>
      <c r="AG55" s="151"/>
      <c r="AH55" s="87"/>
      <c r="AI55" s="89"/>
      <c r="AJ55" s="90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</row>
    <row r="56" spans="1:49" x14ac:dyDescent="0.25">
      <c r="A56" s="6" t="s">
        <v>14</v>
      </c>
      <c r="B56" s="271" t="str">
        <f>IF(Rates!D2=$A$56,Rates!B2," ")</f>
        <v>TOU - Off Peak</v>
      </c>
      <c r="C56" s="78"/>
      <c r="D56" s="271" t="str">
        <f>IF(Rates!D2=$A$56,Rates!E2," ")</f>
        <v>kWh</v>
      </c>
      <c r="E56" s="79"/>
      <c r="F56" s="235">
        <f>IF(Rates!$J$1="BRT 2018",Rates!J2," ")</f>
        <v>6.5000000000000002E-2</v>
      </c>
      <c r="G56" s="226">
        <f>IF($G$59=0,0.65*($F$19*(1+$F$74)),0)</f>
        <v>0</v>
      </c>
      <c r="H56" s="148">
        <f t="shared" si="21"/>
        <v>0</v>
      </c>
      <c r="I56" s="87"/>
      <c r="J56" s="152">
        <f>IF(Rates!$L$1="E+ 2019",Rates!L2," ")</f>
        <v>6.5000000000000002E-2</v>
      </c>
      <c r="K56" s="226">
        <f>IF($K$59=0,0.65*$F$19,0)</f>
        <v>0</v>
      </c>
      <c r="L56" s="148">
        <f t="shared" si="22"/>
        <v>0</v>
      </c>
      <c r="M56" s="83"/>
      <c r="N56" s="84">
        <f t="shared" si="2"/>
        <v>0</v>
      </c>
      <c r="O56" s="85" t="str">
        <f t="shared" si="23"/>
        <v/>
      </c>
      <c r="Q56" s="150"/>
      <c r="R56" s="224"/>
      <c r="S56" s="151"/>
      <c r="T56" s="87"/>
      <c r="U56" s="89"/>
      <c r="V56" s="90"/>
      <c r="W56" s="69"/>
      <c r="X56" s="150"/>
      <c r="Y56" s="224"/>
      <c r="Z56" s="151"/>
      <c r="AA56" s="87"/>
      <c r="AB56" s="89"/>
      <c r="AC56" s="90"/>
      <c r="AD56" s="69"/>
      <c r="AE56" s="150"/>
      <c r="AF56" s="224"/>
      <c r="AG56" s="151"/>
      <c r="AH56" s="87"/>
      <c r="AI56" s="89"/>
      <c r="AJ56" s="90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</row>
    <row r="57" spans="1:49" x14ac:dyDescent="0.25">
      <c r="A57" s="1"/>
      <c r="B57" s="271" t="str">
        <f>IF(Rates!D3=$A$56,Rates!B3," ")</f>
        <v>TOU - Mid Peak</v>
      </c>
      <c r="C57" s="78"/>
      <c r="D57" s="271" t="str">
        <f>IF(Rates!D3=$A$56,Rates!E3," ")</f>
        <v>kWh</v>
      </c>
      <c r="E57" s="79"/>
      <c r="F57" s="235">
        <f>IF(Rates!$J$1="BRT 2018",Rates!J3," ")</f>
        <v>9.5000000000000001E-2</v>
      </c>
      <c r="G57" s="226">
        <f>IF($G$59=0,0.17*($F$19*(1+$F$74)),0)</f>
        <v>0</v>
      </c>
      <c r="H57" s="148">
        <f t="shared" si="21"/>
        <v>0</v>
      </c>
      <c r="I57" s="87"/>
      <c r="J57" s="147">
        <f t="shared" ref="J57:J60" si="24">+F57</f>
        <v>9.5000000000000001E-2</v>
      </c>
      <c r="K57" s="226">
        <f>IF($K$59=0,0.17*$F$19,0)</f>
        <v>0</v>
      </c>
      <c r="L57" s="148">
        <f t="shared" si="22"/>
        <v>0</v>
      </c>
      <c r="M57" s="83"/>
      <c r="N57" s="84">
        <f t="shared" si="2"/>
        <v>0</v>
      </c>
      <c r="O57" s="85" t="str">
        <f t="shared" si="23"/>
        <v/>
      </c>
      <c r="Q57" s="157"/>
      <c r="R57" s="227"/>
      <c r="S57" s="151"/>
      <c r="T57" s="87"/>
      <c r="U57" s="89"/>
      <c r="V57" s="90"/>
      <c r="W57" s="69"/>
      <c r="X57" s="157"/>
      <c r="Y57" s="227"/>
      <c r="Z57" s="151"/>
      <c r="AA57" s="87"/>
      <c r="AB57" s="89"/>
      <c r="AC57" s="90"/>
      <c r="AD57" s="69"/>
      <c r="AE57" s="157"/>
      <c r="AF57" s="227"/>
      <c r="AG57" s="151"/>
      <c r="AH57" s="87"/>
      <c r="AI57" s="89"/>
      <c r="AJ57" s="90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</row>
    <row r="58" spans="1:49" x14ac:dyDescent="0.25">
      <c r="A58" s="1"/>
      <c r="B58" s="271" t="str">
        <f>IF(Rates!D4=$A$56,Rates!B4," ")</f>
        <v>TOU - On Peak</v>
      </c>
      <c r="C58" s="78"/>
      <c r="D58" s="271" t="str">
        <f>IF(Rates!D4=$A$56,Rates!E4," ")</f>
        <v>kWh</v>
      </c>
      <c r="E58" s="79"/>
      <c r="F58" s="235">
        <f>IF(Rates!$J$1="BRT 2018",Rates!J4," ")</f>
        <v>0.13200000000000001</v>
      </c>
      <c r="G58" s="226">
        <f>IF($G$59=0,0.18*($F$19*(1+$F$74)),0)</f>
        <v>0</v>
      </c>
      <c r="H58" s="148">
        <f t="shared" si="21"/>
        <v>0</v>
      </c>
      <c r="I58" s="87"/>
      <c r="J58" s="147">
        <f t="shared" si="24"/>
        <v>0.13200000000000001</v>
      </c>
      <c r="K58" s="226">
        <f>IF($K$59=0,0.18*$F$19,0)</f>
        <v>0</v>
      </c>
      <c r="L58" s="148">
        <f t="shared" si="22"/>
        <v>0</v>
      </c>
      <c r="M58" s="83"/>
      <c r="N58" s="84">
        <f t="shared" si="2"/>
        <v>0</v>
      </c>
      <c r="O58" s="85" t="str">
        <f t="shared" si="23"/>
        <v/>
      </c>
      <c r="Q58" s="157"/>
      <c r="R58" s="227"/>
      <c r="S58" s="151"/>
      <c r="T58" s="87"/>
      <c r="U58" s="89"/>
      <c r="V58" s="90"/>
      <c r="W58" s="69"/>
      <c r="X58" s="157"/>
      <c r="Y58" s="227"/>
      <c r="Z58" s="151"/>
      <c r="AA58" s="87"/>
      <c r="AB58" s="89"/>
      <c r="AC58" s="90"/>
      <c r="AD58" s="69"/>
      <c r="AE58" s="157"/>
      <c r="AF58" s="227"/>
      <c r="AG58" s="151"/>
      <c r="AH58" s="87"/>
      <c r="AI58" s="89"/>
      <c r="AJ58" s="90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</row>
    <row r="59" spans="1:49" x14ac:dyDescent="0.25">
      <c r="A59" s="1"/>
      <c r="B59" s="271" t="str">
        <f>IF(Rates!D5=$A$56,Rates!B5," ")</f>
        <v>Commodity</v>
      </c>
      <c r="C59" s="160"/>
      <c r="D59" s="271" t="str">
        <f>IF(Rates!D5=$A$56,Rates!E5," ")</f>
        <v>kWh</v>
      </c>
      <c r="E59" s="161"/>
      <c r="F59" s="235">
        <f>IF(Rates!$J$1="BRT 2018",Rates!J5," ")</f>
        <v>1.8855833333333332E-2</v>
      </c>
      <c r="G59" s="225">
        <f>$F$19*(1+$F$74)</f>
        <v>839600.00000000012</v>
      </c>
      <c r="H59" s="148">
        <f t="shared" si="21"/>
        <v>15831.357666666669</v>
      </c>
      <c r="I59" s="166"/>
      <c r="J59" s="147">
        <f t="shared" si="24"/>
        <v>1.8855833333333332E-2</v>
      </c>
      <c r="K59" s="225">
        <f>$F$19*(1+$J$74)</f>
        <v>824547.71995522163</v>
      </c>
      <c r="L59" s="148">
        <f t="shared" si="22"/>
        <v>15547.534382855665</v>
      </c>
      <c r="M59" s="163"/>
      <c r="N59" s="84">
        <f t="shared" si="2"/>
        <v>-283.82328381100342</v>
      </c>
      <c r="O59" s="85">
        <f t="shared" si="23"/>
        <v>-1.7927918109550432E-2</v>
      </c>
      <c r="Q59" s="157"/>
      <c r="R59" s="227"/>
      <c r="S59" s="151"/>
      <c r="T59" s="166"/>
      <c r="U59" s="89"/>
      <c r="V59" s="90"/>
      <c r="W59" s="69"/>
      <c r="X59" s="157"/>
      <c r="Y59" s="227"/>
      <c r="Z59" s="151"/>
      <c r="AA59" s="166"/>
      <c r="AB59" s="89"/>
      <c r="AC59" s="90"/>
      <c r="AD59" s="69"/>
      <c r="AE59" s="157"/>
      <c r="AF59" s="227"/>
      <c r="AG59" s="151"/>
      <c r="AH59" s="166"/>
      <c r="AI59" s="89"/>
      <c r="AJ59" s="90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</row>
    <row r="60" spans="1:49" ht="15.75" thickBot="1" x14ac:dyDescent="0.3">
      <c r="A60" s="159"/>
      <c r="B60" s="271" t="str">
        <f>IF(Rates!D6=$A$56,Rates!B6," ")</f>
        <v>Global Adjustment</v>
      </c>
      <c r="C60" s="160"/>
      <c r="D60" s="271" t="str">
        <f>IF(Rates!D6=$A$56,Rates!E6," ")</f>
        <v>kWh</v>
      </c>
      <c r="E60" s="161"/>
      <c r="F60" s="235">
        <f>IF(Rates!$J$1="BRT 2018",Rates!J6," ")</f>
        <v>0.10303000000000001</v>
      </c>
      <c r="G60" s="225">
        <f>$F$19*(1+$F$74)</f>
        <v>839600.00000000012</v>
      </c>
      <c r="H60" s="148">
        <f t="shared" si="21"/>
        <v>86503.988000000027</v>
      </c>
      <c r="I60" s="166"/>
      <c r="J60" s="169">
        <f t="shared" si="24"/>
        <v>0.10303000000000001</v>
      </c>
      <c r="K60" s="225">
        <f>$F$19*(1+$J$74)</f>
        <v>824547.71995522163</v>
      </c>
      <c r="L60" s="148">
        <f t="shared" si="22"/>
        <v>84953.151586986496</v>
      </c>
      <c r="M60" s="163"/>
      <c r="N60" s="84">
        <f t="shared" si="2"/>
        <v>-1550.8364130135305</v>
      </c>
      <c r="O60" s="85">
        <f t="shared" si="23"/>
        <v>-1.7927918109550394E-2</v>
      </c>
      <c r="Q60" s="157"/>
      <c r="R60" s="227"/>
      <c r="S60" s="151"/>
      <c r="T60" s="166"/>
      <c r="U60" s="89"/>
      <c r="V60" s="90"/>
      <c r="W60" s="69"/>
      <c r="X60" s="157"/>
      <c r="Y60" s="227"/>
      <c r="Z60" s="151"/>
      <c r="AA60" s="166"/>
      <c r="AB60" s="89"/>
      <c r="AC60" s="90"/>
      <c r="AD60" s="69"/>
      <c r="AE60" s="157"/>
      <c r="AF60" s="227"/>
      <c r="AG60" s="151"/>
      <c r="AH60" s="166"/>
      <c r="AI60" s="89"/>
      <c r="AJ60" s="90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</row>
    <row r="61" spans="1:49" ht="15.75" thickBot="1" x14ac:dyDescent="0.3">
      <c r="A61" s="159"/>
      <c r="B61" s="211"/>
      <c r="C61" s="212"/>
      <c r="D61" s="213"/>
      <c r="E61" s="212"/>
      <c r="F61" s="266"/>
      <c r="G61" s="214"/>
      <c r="H61" s="267"/>
      <c r="I61" s="87"/>
      <c r="J61" s="266"/>
      <c r="K61" s="216"/>
      <c r="L61" s="267"/>
      <c r="M61" s="215"/>
      <c r="N61" s="217"/>
      <c r="O61" s="205"/>
      <c r="Q61" s="157"/>
      <c r="R61" s="120"/>
      <c r="S61" s="151"/>
      <c r="T61" s="87"/>
      <c r="U61" s="89"/>
      <c r="V61" s="174"/>
      <c r="W61" s="69"/>
      <c r="X61" s="157"/>
      <c r="Y61" s="120"/>
      <c r="Z61" s="151"/>
      <c r="AA61" s="87"/>
      <c r="AB61" s="89"/>
      <c r="AC61" s="174"/>
      <c r="AD61" s="69"/>
      <c r="AE61" s="157"/>
      <c r="AF61" s="120"/>
      <c r="AG61" s="151"/>
      <c r="AH61" s="87"/>
      <c r="AI61" s="89"/>
      <c r="AJ61" s="174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</row>
    <row r="62" spans="1:49" x14ac:dyDescent="0.25">
      <c r="A62" s="159"/>
      <c r="B62" s="175" t="s">
        <v>97</v>
      </c>
      <c r="C62" s="78"/>
      <c r="D62" s="78"/>
      <c r="E62" s="78"/>
      <c r="F62" s="176"/>
      <c r="G62" s="177"/>
      <c r="H62" s="179">
        <f>SUM(H51:H55,H50,H59,,H60,)</f>
        <v>134337.27673855622</v>
      </c>
      <c r="I62" s="146"/>
      <c r="J62" s="178"/>
      <c r="K62" s="178"/>
      <c r="L62" s="179">
        <f>SUM(L51:L55,L50,L59,,L60,)</f>
        <v>124895.09799286278</v>
      </c>
      <c r="M62" s="146"/>
      <c r="N62" s="179">
        <f>L62-H62</f>
        <v>-9442.1787456934399</v>
      </c>
      <c r="O62" s="180">
        <f t="shared" si="23"/>
        <v>-7.0287108499821435E-2</v>
      </c>
      <c r="Q62" s="181"/>
      <c r="R62" s="181"/>
      <c r="S62" s="121"/>
      <c r="T62" s="146"/>
      <c r="U62" s="89"/>
      <c r="V62" s="90"/>
      <c r="W62" s="69"/>
      <c r="X62" s="181"/>
      <c r="Y62" s="181"/>
      <c r="Z62" s="121"/>
      <c r="AA62" s="146"/>
      <c r="AB62" s="89"/>
      <c r="AC62" s="90"/>
      <c r="AD62" s="69"/>
      <c r="AE62" s="181"/>
      <c r="AF62" s="181"/>
      <c r="AG62" s="121"/>
      <c r="AH62" s="146"/>
      <c r="AI62" s="89"/>
      <c r="AJ62" s="90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</row>
    <row r="63" spans="1:49" x14ac:dyDescent="0.25">
      <c r="A63" s="159"/>
      <c r="B63" s="182" t="s">
        <v>9</v>
      </c>
      <c r="C63" s="78"/>
      <c r="D63" s="78"/>
      <c r="E63" s="78"/>
      <c r="F63" s="183">
        <v>0.13</v>
      </c>
      <c r="G63" s="87"/>
      <c r="H63" s="188">
        <f>H62*F63</f>
        <v>17463.845976012308</v>
      </c>
      <c r="I63" s="187"/>
      <c r="J63" s="185">
        <v>0.13</v>
      </c>
      <c r="K63" s="184"/>
      <c r="L63" s="188">
        <f>L62*J63</f>
        <v>16236.362739072161</v>
      </c>
      <c r="M63" s="187"/>
      <c r="N63" s="188">
        <f>L63-H63</f>
        <v>-1227.4832369401465</v>
      </c>
      <c r="O63" s="85">
        <f t="shared" si="23"/>
        <v>-7.0287108499821407E-2</v>
      </c>
      <c r="Q63" s="189"/>
      <c r="R63" s="187"/>
      <c r="S63" s="190"/>
      <c r="T63" s="187"/>
      <c r="U63" s="89"/>
      <c r="V63" s="90"/>
      <c r="W63" s="69"/>
      <c r="X63" s="189"/>
      <c r="Y63" s="187"/>
      <c r="Z63" s="190"/>
      <c r="AA63" s="187"/>
      <c r="AB63" s="89"/>
      <c r="AC63" s="90"/>
      <c r="AD63" s="69"/>
      <c r="AE63" s="189"/>
      <c r="AF63" s="187"/>
      <c r="AG63" s="190"/>
      <c r="AH63" s="187"/>
      <c r="AI63" s="89"/>
      <c r="AJ63" s="90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</row>
    <row r="64" spans="1:49" ht="15.75" thickBot="1" x14ac:dyDescent="0.3">
      <c r="A64" s="1"/>
      <c r="B64" s="515" t="s">
        <v>98</v>
      </c>
      <c r="C64" s="515"/>
      <c r="D64" s="515"/>
      <c r="E64" s="192"/>
      <c r="F64" s="218"/>
      <c r="G64" s="219"/>
      <c r="H64" s="222">
        <f>SUM(H62:H63)</f>
        <v>151801.12271456851</v>
      </c>
      <c r="I64" s="146"/>
      <c r="J64" s="220"/>
      <c r="K64" s="220"/>
      <c r="L64" s="222">
        <f>SUM(L62:L63)</f>
        <v>141131.46073193493</v>
      </c>
      <c r="M64" s="221"/>
      <c r="N64" s="222">
        <f>L64-H64</f>
        <v>-10669.661982633581</v>
      </c>
      <c r="O64" s="197">
        <f t="shared" si="23"/>
        <v>-7.0287108499821407E-2</v>
      </c>
      <c r="Q64" s="146"/>
      <c r="R64" s="146"/>
      <c r="S64" s="121"/>
      <c r="T64" s="146"/>
      <c r="U64" s="121"/>
      <c r="V64" s="223"/>
      <c r="W64" s="69"/>
      <c r="X64" s="146"/>
      <c r="Y64" s="146"/>
      <c r="Z64" s="121"/>
      <c r="AA64" s="146"/>
      <c r="AB64" s="121"/>
      <c r="AC64" s="223"/>
      <c r="AD64" s="69"/>
      <c r="AE64" s="146"/>
      <c r="AF64" s="146"/>
      <c r="AG64" s="121"/>
      <c r="AH64" s="146"/>
      <c r="AI64" s="121"/>
      <c r="AJ64" s="223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</row>
    <row r="65" spans="1:49" ht="15.75" thickBot="1" x14ac:dyDescent="0.3">
      <c r="A65" s="1"/>
      <c r="B65" s="198"/>
      <c r="C65" s="199"/>
      <c r="D65" s="200"/>
      <c r="E65" s="199"/>
      <c r="F65" s="266"/>
      <c r="G65" s="201"/>
      <c r="H65" s="267"/>
      <c r="I65" s="166"/>
      <c r="J65" s="266"/>
      <c r="K65" s="203"/>
      <c r="L65" s="267"/>
      <c r="M65" s="202"/>
      <c r="N65" s="204"/>
      <c r="O65" s="205"/>
      <c r="Q65" s="157"/>
      <c r="R65" s="206"/>
      <c r="S65" s="151"/>
      <c r="T65" s="166"/>
      <c r="U65" s="207"/>
      <c r="V65" s="174"/>
      <c r="W65" s="69"/>
      <c r="X65" s="157"/>
      <c r="Y65" s="206"/>
      <c r="Z65" s="151"/>
      <c r="AA65" s="166"/>
      <c r="AB65" s="207"/>
      <c r="AC65" s="174"/>
      <c r="AD65" s="69"/>
      <c r="AE65" s="157"/>
      <c r="AF65" s="206"/>
      <c r="AG65" s="151"/>
      <c r="AH65" s="166"/>
      <c r="AI65" s="207"/>
      <c r="AJ65" s="174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</row>
    <row r="66" spans="1:49" x14ac:dyDescent="0.25">
      <c r="A66" s="1"/>
      <c r="B66" s="236" t="s">
        <v>99</v>
      </c>
      <c r="C66" s="160"/>
      <c r="D66" s="160"/>
      <c r="E66" s="160"/>
      <c r="F66" s="237"/>
      <c r="G66" s="238"/>
      <c r="H66" s="241">
        <f>IF($G$56&gt;0,SUM(H50,H51:H58),0)</f>
        <v>0</v>
      </c>
      <c r="I66" s="240"/>
      <c r="J66" s="239"/>
      <c r="K66" s="239"/>
      <c r="L66" s="241">
        <f>IF($K$56&gt;0,SUM(L50,L51:L58),0)</f>
        <v>0</v>
      </c>
      <c r="M66" s="240"/>
      <c r="N66" s="241">
        <f t="shared" ref="N66:N71" si="25">L66-H66</f>
        <v>0</v>
      </c>
      <c r="O66" s="180" t="str">
        <f t="shared" si="23"/>
        <v/>
      </c>
      <c r="Q66" s="242"/>
      <c r="R66" s="242"/>
      <c r="S66" s="243"/>
      <c r="T66" s="240"/>
      <c r="U66" s="89"/>
      <c r="V66" s="90"/>
      <c r="W66" s="69"/>
      <c r="X66" s="242"/>
      <c r="Y66" s="242"/>
      <c r="Z66" s="243"/>
      <c r="AA66" s="240"/>
      <c r="AB66" s="89"/>
      <c r="AC66" s="90"/>
      <c r="AD66" s="69"/>
      <c r="AE66" s="242"/>
      <c r="AF66" s="242"/>
      <c r="AG66" s="243"/>
      <c r="AH66" s="240"/>
      <c r="AI66" s="89"/>
      <c r="AJ66" s="90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</row>
    <row r="67" spans="1:49" x14ac:dyDescent="0.25">
      <c r="A67" s="1"/>
      <c r="B67" s="244" t="s">
        <v>9</v>
      </c>
      <c r="C67" s="160"/>
      <c r="D67" s="160"/>
      <c r="E67" s="160"/>
      <c r="F67" s="245">
        <v>0.13</v>
      </c>
      <c r="G67" s="238"/>
      <c r="H67" s="250">
        <f>$H$66*F67</f>
        <v>0</v>
      </c>
      <c r="I67" s="249"/>
      <c r="J67" s="247">
        <v>0.13</v>
      </c>
      <c r="K67" s="248"/>
      <c r="L67" s="250">
        <f>$L$66*J67</f>
        <v>0</v>
      </c>
      <c r="M67" s="249"/>
      <c r="N67" s="250">
        <f t="shared" si="25"/>
        <v>0</v>
      </c>
      <c r="O67" s="85" t="str">
        <f t="shared" si="23"/>
        <v/>
      </c>
      <c r="Q67" s="251"/>
      <c r="R67" s="252"/>
      <c r="S67" s="253"/>
      <c r="T67" s="249"/>
      <c r="U67" s="89"/>
      <c r="V67" s="90"/>
      <c r="W67" s="69"/>
      <c r="X67" s="251"/>
      <c r="Y67" s="252"/>
      <c r="Z67" s="253"/>
      <c r="AA67" s="249"/>
      <c r="AB67" s="89"/>
      <c r="AC67" s="90"/>
      <c r="AD67" s="69"/>
      <c r="AE67" s="251"/>
      <c r="AF67" s="252"/>
      <c r="AG67" s="253"/>
      <c r="AH67" s="249"/>
      <c r="AI67" s="89"/>
      <c r="AJ67" s="90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</row>
    <row r="68" spans="1:49" x14ac:dyDescent="0.25">
      <c r="A68" s="1"/>
      <c r="B68" s="182" t="s">
        <v>106</v>
      </c>
      <c r="C68" s="78"/>
      <c r="D68" s="78"/>
      <c r="E68" s="78"/>
      <c r="F68" s="183">
        <v>-0.05</v>
      </c>
      <c r="G68" s="87"/>
      <c r="H68" s="188">
        <f>$H$66*F68</f>
        <v>0</v>
      </c>
      <c r="I68" s="187"/>
      <c r="J68" s="183">
        <v>-0.05</v>
      </c>
      <c r="K68" s="184"/>
      <c r="L68" s="188">
        <f>$L$66*J68</f>
        <v>0</v>
      </c>
      <c r="M68" s="187"/>
      <c r="N68" s="188">
        <f t="shared" si="25"/>
        <v>0</v>
      </c>
      <c r="O68" s="85" t="str">
        <f t="shared" si="23"/>
        <v/>
      </c>
      <c r="Q68" s="189"/>
      <c r="R68" s="187"/>
      <c r="S68" s="190"/>
      <c r="T68" s="187"/>
      <c r="U68" s="89"/>
      <c r="V68" s="90"/>
      <c r="W68" s="69"/>
      <c r="X68" s="189"/>
      <c r="Y68" s="187"/>
      <c r="Z68" s="253"/>
      <c r="AA68" s="249"/>
      <c r="AB68" s="89"/>
      <c r="AC68" s="90"/>
      <c r="AD68" s="69"/>
      <c r="AE68" s="251"/>
      <c r="AF68" s="252"/>
      <c r="AG68" s="253"/>
      <c r="AH68" s="249"/>
      <c r="AI68" s="89"/>
      <c r="AJ68" s="90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</row>
    <row r="69" spans="1:49" x14ac:dyDescent="0.25">
      <c r="A69" s="159"/>
      <c r="B69" s="254" t="s">
        <v>100</v>
      </c>
      <c r="C69" s="160"/>
      <c r="D69" s="160"/>
      <c r="E69" s="160"/>
      <c r="F69" s="255"/>
      <c r="G69" s="166"/>
      <c r="H69" s="250">
        <f>SUM(H66:H68)</f>
        <v>0</v>
      </c>
      <c r="I69" s="249"/>
      <c r="J69" s="246"/>
      <c r="K69" s="246"/>
      <c r="L69" s="250">
        <f>SUM(L66:L68)</f>
        <v>0</v>
      </c>
      <c r="M69" s="249"/>
      <c r="N69" s="250">
        <f t="shared" si="25"/>
        <v>0</v>
      </c>
      <c r="O69" s="85" t="str">
        <f t="shared" si="23"/>
        <v/>
      </c>
      <c r="Q69" s="249"/>
      <c r="R69" s="249"/>
      <c r="S69" s="253"/>
      <c r="T69" s="249"/>
      <c r="U69" s="89"/>
      <c r="V69" s="90"/>
      <c r="W69" s="69"/>
      <c r="X69" s="249"/>
      <c r="Y69" s="249"/>
      <c r="Z69" s="253"/>
      <c r="AA69" s="249"/>
      <c r="AB69" s="89"/>
      <c r="AC69" s="90"/>
      <c r="AD69" s="69"/>
      <c r="AE69" s="249"/>
      <c r="AF69" s="249"/>
      <c r="AG69" s="253"/>
      <c r="AH69" s="249"/>
      <c r="AI69" s="89"/>
      <c r="AJ69" s="90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</row>
    <row r="70" spans="1:49" x14ac:dyDescent="0.25">
      <c r="A70" s="159"/>
      <c r="B70" s="516" t="s">
        <v>101</v>
      </c>
      <c r="C70" s="516"/>
      <c r="D70" s="516"/>
      <c r="E70" s="160"/>
      <c r="F70" s="255"/>
      <c r="G70" s="166"/>
      <c r="H70" s="256">
        <f>ROUND(-H69*0%,2)</f>
        <v>0</v>
      </c>
      <c r="I70" s="249"/>
      <c r="J70" s="246"/>
      <c r="K70" s="246"/>
      <c r="L70" s="256">
        <f>ROUND(-L69*0%,2)</f>
        <v>0</v>
      </c>
      <c r="M70" s="249"/>
      <c r="N70" s="256">
        <f t="shared" si="25"/>
        <v>0</v>
      </c>
      <c r="O70" s="257" t="str">
        <f>IF(OR(H70=0,L70=0),"",(N70/H70))</f>
        <v/>
      </c>
      <c r="Q70" s="249"/>
      <c r="R70" s="249"/>
      <c r="S70" s="258"/>
      <c r="T70" s="249"/>
      <c r="U70" s="259"/>
      <c r="V70" s="90"/>
      <c r="W70" s="69"/>
      <c r="X70" s="249"/>
      <c r="Y70" s="249"/>
      <c r="Z70" s="258"/>
      <c r="AA70" s="249"/>
      <c r="AB70" s="259"/>
      <c r="AC70" s="90"/>
      <c r="AD70" s="69"/>
      <c r="AE70" s="249"/>
      <c r="AF70" s="249"/>
      <c r="AG70" s="258"/>
      <c r="AH70" s="249"/>
      <c r="AI70" s="259"/>
      <c r="AJ70" s="90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</row>
    <row r="71" spans="1:49" ht="15.75" thickBot="1" x14ac:dyDescent="0.3">
      <c r="A71" s="159"/>
      <c r="B71" s="513" t="s">
        <v>102</v>
      </c>
      <c r="C71" s="513"/>
      <c r="D71" s="513"/>
      <c r="E71" s="260"/>
      <c r="F71" s="261"/>
      <c r="G71" s="262"/>
      <c r="H71" s="265">
        <f>SUM(H69:H70)</f>
        <v>0</v>
      </c>
      <c r="I71" s="240"/>
      <c r="J71" s="263"/>
      <c r="K71" s="263"/>
      <c r="L71" s="265">
        <f>SUM(L69:L70)</f>
        <v>0</v>
      </c>
      <c r="M71" s="264"/>
      <c r="N71" s="265">
        <f t="shared" si="25"/>
        <v>0</v>
      </c>
      <c r="O71" s="197" t="str">
        <f t="shared" si="23"/>
        <v/>
      </c>
      <c r="Q71" s="240"/>
      <c r="R71" s="240"/>
      <c r="S71" s="243"/>
      <c r="T71" s="240"/>
      <c r="U71" s="121"/>
      <c r="V71" s="223"/>
      <c r="W71" s="69"/>
      <c r="X71" s="240"/>
      <c r="Y71" s="240"/>
      <c r="Z71" s="243"/>
      <c r="AA71" s="240"/>
      <c r="AB71" s="121"/>
      <c r="AC71" s="223"/>
      <c r="AD71" s="69"/>
      <c r="AE71" s="240"/>
      <c r="AF71" s="240"/>
      <c r="AG71" s="243"/>
      <c r="AH71" s="240"/>
      <c r="AI71" s="121"/>
      <c r="AJ71" s="223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</row>
    <row r="72" spans="1:49" ht="15.75" thickBot="1" x14ac:dyDescent="0.3">
      <c r="A72" s="159"/>
      <c r="B72" s="198"/>
      <c r="C72" s="199"/>
      <c r="D72" s="200"/>
      <c r="E72" s="199"/>
      <c r="F72" s="390"/>
      <c r="G72" s="400"/>
      <c r="H72" s="401"/>
      <c r="I72" s="166"/>
      <c r="J72" s="390"/>
      <c r="K72" s="391"/>
      <c r="L72" s="392"/>
      <c r="M72" s="202"/>
      <c r="N72" s="268"/>
      <c r="O72" s="205"/>
      <c r="Q72" s="157"/>
      <c r="R72" s="206"/>
      <c r="S72" s="151"/>
      <c r="T72" s="166"/>
      <c r="U72" s="207"/>
      <c r="V72" s="174"/>
      <c r="W72" s="69"/>
      <c r="X72" s="157"/>
      <c r="Y72" s="206"/>
      <c r="Z72" s="151"/>
      <c r="AA72" s="166"/>
      <c r="AB72" s="207"/>
      <c r="AC72" s="174"/>
      <c r="AD72" s="69"/>
      <c r="AE72" s="157"/>
      <c r="AF72" s="206"/>
      <c r="AG72" s="151"/>
      <c r="AH72" s="166"/>
      <c r="AI72" s="207"/>
      <c r="AJ72" s="174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</row>
    <row r="73" spans="1:49" x14ac:dyDescent="0.25">
      <c r="A73" s="159"/>
      <c r="B73" s="1"/>
      <c r="C73" s="1"/>
      <c r="D73" s="1"/>
      <c r="E73" s="1"/>
      <c r="F73" s="1"/>
      <c r="G73" s="1"/>
      <c r="H73" s="67"/>
      <c r="I73" s="2"/>
      <c r="J73" s="1"/>
      <c r="K73" s="1"/>
      <c r="L73" s="67"/>
      <c r="M73" s="1"/>
      <c r="N73" s="1"/>
      <c r="O73" s="1"/>
      <c r="Q73" s="2"/>
      <c r="R73" s="2"/>
      <c r="S73" s="208"/>
      <c r="T73" s="2"/>
      <c r="U73" s="2"/>
      <c r="V73" s="2"/>
      <c r="W73" s="69"/>
      <c r="X73" s="2"/>
      <c r="Y73" s="2"/>
      <c r="Z73" s="208"/>
      <c r="AA73" s="2"/>
      <c r="AB73" s="2"/>
      <c r="AC73" s="2"/>
      <c r="AD73" s="69"/>
      <c r="AE73" s="2"/>
      <c r="AF73" s="2"/>
      <c r="AG73" s="208"/>
      <c r="AH73" s="2"/>
      <c r="AI73" s="2"/>
      <c r="AJ73" s="2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</row>
    <row r="74" spans="1:49" x14ac:dyDescent="0.25">
      <c r="A74" s="159"/>
      <c r="B74" s="65" t="s">
        <v>10</v>
      </c>
      <c r="C74" s="1"/>
      <c r="D74" s="1"/>
      <c r="E74" s="1"/>
      <c r="F74" s="209">
        <f>Rates!$S$2-1</f>
        <v>4.9500000000000099E-2</v>
      </c>
      <c r="G74" s="1"/>
      <c r="H74" s="1"/>
      <c r="I74" s="1"/>
      <c r="J74" s="209">
        <f>Rates!$T$2-1</f>
        <v>3.0684649944026976E-2</v>
      </c>
      <c r="K74" s="1"/>
      <c r="L74" s="67"/>
      <c r="M74" s="1"/>
      <c r="N74" s="1"/>
      <c r="O74" s="1"/>
      <c r="Q74" s="210"/>
      <c r="R74" s="2"/>
      <c r="S74" s="2"/>
      <c r="T74" s="2"/>
      <c r="U74" s="2"/>
      <c r="V74" s="2"/>
      <c r="W74" s="69"/>
      <c r="X74" s="210"/>
      <c r="Y74" s="2"/>
      <c r="Z74" s="2"/>
      <c r="AA74" s="2"/>
      <c r="AB74" s="2"/>
      <c r="AC74" s="2"/>
      <c r="AD74" s="69"/>
      <c r="AE74" s="210"/>
      <c r="AF74" s="2"/>
      <c r="AG74" s="2"/>
      <c r="AH74" s="2"/>
      <c r="AI74" s="2"/>
      <c r="AJ74" s="2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</row>
    <row r="75" spans="1:49" x14ac:dyDescent="0.25">
      <c r="A75" s="159"/>
      <c r="B75" s="1"/>
      <c r="C75" s="1"/>
      <c r="D75" s="1"/>
      <c r="E75" s="1"/>
      <c r="F75" s="1"/>
      <c r="G75" s="1"/>
      <c r="H75" s="1"/>
      <c r="I75" s="2"/>
      <c r="J75" s="1"/>
      <c r="K75" s="1"/>
      <c r="L75" s="1"/>
      <c r="M75" s="1"/>
      <c r="N75" s="1"/>
      <c r="O75" s="1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2"/>
      <c r="J76" s="1"/>
      <c r="K76" s="1"/>
      <c r="L76" s="1"/>
      <c r="M76" s="1"/>
      <c r="N76" s="1"/>
      <c r="O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2"/>
      <c r="J77" s="1"/>
      <c r="K77" s="1"/>
      <c r="L77" s="1"/>
      <c r="M77" s="1"/>
      <c r="N77" s="1"/>
      <c r="O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2"/>
      <c r="J78" s="1"/>
      <c r="K78" s="1"/>
      <c r="L78" s="1"/>
      <c r="M78" s="1"/>
      <c r="N78" s="1"/>
      <c r="O78" s="1"/>
    </row>
    <row r="79" spans="1:49" x14ac:dyDescent="0.25">
      <c r="A79" s="1" t="s">
        <v>84</v>
      </c>
      <c r="B79" s="1"/>
      <c r="C79" s="1"/>
      <c r="D79" s="1"/>
      <c r="E79" s="1"/>
      <c r="F79" s="1"/>
      <c r="G79" s="1"/>
      <c r="H79" s="1"/>
      <c r="I79" s="2"/>
      <c r="J79" s="1"/>
      <c r="K79" s="1"/>
      <c r="L79" s="1"/>
      <c r="M79" s="1"/>
      <c r="N79" s="1"/>
      <c r="O79" s="1"/>
    </row>
    <row r="80" spans="1:49" x14ac:dyDescent="0.25">
      <c r="A80" s="1" t="s">
        <v>85</v>
      </c>
      <c r="B80" s="1"/>
      <c r="C80" s="1"/>
      <c r="D80" s="1"/>
      <c r="E80" s="1"/>
      <c r="F80" s="1"/>
      <c r="G80" s="1"/>
      <c r="H80" s="1"/>
      <c r="I80" s="2"/>
      <c r="J80" s="1"/>
      <c r="K80" s="1"/>
      <c r="L80" s="1"/>
      <c r="M80" s="1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2"/>
      <c r="J81" s="1"/>
      <c r="K81" s="1"/>
      <c r="L81" s="1"/>
      <c r="M81" s="1"/>
      <c r="N81" s="1"/>
      <c r="O81" s="1"/>
    </row>
    <row r="82" spans="1:15" x14ac:dyDescent="0.25">
      <c r="A82" s="64" t="s">
        <v>86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5">
      <c r="A83" s="64" t="s">
        <v>87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25">
      <c r="A85" s="1" t="s">
        <v>88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25">
      <c r="A86" s="1" t="s">
        <v>89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25">
      <c r="A87" s="1" t="s">
        <v>90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25">
      <c r="A88" s="1" t="s">
        <v>91</v>
      </c>
      <c r="B88" s="1" t="s">
        <v>93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25">
      <c r="A89" s="1" t="s">
        <v>92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</sheetData>
  <mergeCells count="24">
    <mergeCell ref="AI20:AJ20"/>
    <mergeCell ref="A3:K3"/>
    <mergeCell ref="B10:O10"/>
    <mergeCell ref="B11:O11"/>
    <mergeCell ref="D14:O14"/>
    <mergeCell ref="F20:H20"/>
    <mergeCell ref="J20:L20"/>
    <mergeCell ref="N20:O20"/>
    <mergeCell ref="Q20:S20"/>
    <mergeCell ref="U20:V20"/>
    <mergeCell ref="X20:Z20"/>
    <mergeCell ref="AB20:AC20"/>
    <mergeCell ref="AE20:AG20"/>
    <mergeCell ref="AI21:AI22"/>
    <mergeCell ref="AJ21:AJ22"/>
    <mergeCell ref="B64:D64"/>
    <mergeCell ref="B70:D70"/>
    <mergeCell ref="B71:D71"/>
    <mergeCell ref="N21:N22"/>
    <mergeCell ref="O21:O22"/>
    <mergeCell ref="U21:U22"/>
    <mergeCell ref="V21:V22"/>
    <mergeCell ref="AB21:AB22"/>
    <mergeCell ref="AC21:AC22"/>
  </mergeCells>
  <dataValidations count="3">
    <dataValidation type="list" allowBlank="1" showInputMessage="1" showErrorMessage="1" sqref="D16">
      <formula1>"TOU, non-TOU"</formula1>
    </dataValidation>
    <dataValidation type="list" allowBlank="1" showInputMessage="1" showErrorMessage="1" prompt="Select Charge Unit - monthly, per kWh, per kW" sqref="D72 D61 D65">
      <formula1>"Monthly, per kWh, per kW"</formula1>
    </dataValidation>
    <dataValidation type="list" allowBlank="1" showInputMessage="1" showErrorMessage="1" sqref="E48:E49 E72 E65 E51:E61 E37:E46 E23:E35">
      <formula1>#REF!</formula1>
    </dataValidation>
  </dataValidations>
  <printOptions horizontalCentered="1"/>
  <pageMargins left="0.3" right="0.35" top="0.92" bottom="0.7" header="0.56999999999999995" footer="0.41"/>
  <pageSetup paperSize="256" scale="60" fitToHeight="0" orientation="landscape" r:id="rId1"/>
  <headerFooter>
    <oddFooter>&amp;C&amp;A</oddFooter>
  </headerFooter>
  <ignoredErrors>
    <ignoredError sqref="F47:F50 F23:F34 J47:J55 F74:J74 J23:J34 F52:F60 F36:F45 J36:J45 J57:J60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4931" r:id="rId4" name="Option Button 3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647700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2" r:id="rId5" name="Option Button 4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3" r:id="rId6" name="Option Button 5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647700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4" r:id="rId7" name="Option Button 6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5" r:id="rId8" name="Option Button 7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647700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6" r:id="rId9" name="Option Button 8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7" r:id="rId10" name="Option Button 9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647700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8" r:id="rId11" name="Option Button 10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9" r:id="rId12" name="Option Button 11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647700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0" r:id="rId13" name="Option Button 12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A1:AW89"/>
  <sheetViews>
    <sheetView showGridLines="0" topLeftCell="B20" zoomScale="80" zoomScaleNormal="80" workbookViewId="0">
      <selection activeCell="J48" sqref="J48:J49"/>
    </sheetView>
  </sheetViews>
  <sheetFormatPr defaultColWidth="9.140625" defaultRowHeight="15" x14ac:dyDescent="0.25"/>
  <cols>
    <col min="1" max="1" width="48.28515625" customWidth="1"/>
    <col min="2" max="2" width="122" customWidth="1"/>
    <col min="3" max="3" width="1.5703125" customWidth="1"/>
    <col min="4" max="4" width="12.42578125" customWidth="1"/>
    <col min="5" max="5" width="1.7109375" customWidth="1"/>
    <col min="6" max="6" width="12" customWidth="1"/>
    <col min="7" max="7" width="12.28515625" customWidth="1"/>
    <col min="8" max="8" width="15.140625" bestFit="1" customWidth="1"/>
    <col min="9" max="9" width="1.28515625" customWidth="1"/>
    <col min="10" max="10" width="12.28515625" customWidth="1"/>
    <col min="11" max="11" width="12.85546875" bestFit="1" customWidth="1"/>
    <col min="12" max="12" width="16.28515625" customWidth="1"/>
    <col min="13" max="13" width="1.28515625" customWidth="1"/>
    <col min="14" max="14" width="14.7109375" customWidth="1"/>
    <col min="15" max="15" width="10.5703125" customWidth="1"/>
    <col min="16" max="16" width="1.42578125" customWidth="1"/>
    <col min="17" max="17" width="1.7109375" customWidth="1"/>
    <col min="18" max="18" width="9.42578125" customWidth="1"/>
    <col min="19" max="19" width="12.5703125" customWidth="1"/>
    <col min="20" max="20" width="1.28515625" customWidth="1"/>
    <col min="21" max="21" width="10.85546875" customWidth="1"/>
    <col min="22" max="22" width="10.140625" customWidth="1"/>
    <col min="23" max="23" width="1.28515625" customWidth="1"/>
    <col min="24" max="24" width="11" customWidth="1"/>
    <col min="25" max="25" width="9.5703125" customWidth="1"/>
    <col min="26" max="26" width="12.42578125" customWidth="1"/>
    <col min="27" max="27" width="1.28515625" customWidth="1"/>
    <col min="28" max="28" width="10" customWidth="1"/>
    <col min="30" max="30" width="0.85546875" customWidth="1"/>
    <col min="31" max="31" width="11.140625" customWidth="1"/>
    <col min="32" max="32" width="9.5703125" customWidth="1"/>
    <col min="33" max="33" width="12.42578125" customWidth="1"/>
    <col min="34" max="34" width="1.140625" customWidth="1"/>
    <col min="35" max="35" width="10.42578125" customWidth="1"/>
    <col min="37" max="37" width="0.85546875" customWidth="1"/>
  </cols>
  <sheetData>
    <row r="1" spans="1:21" ht="21.75" x14ac:dyDescent="0.25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0"/>
      <c r="M1" s="50"/>
      <c r="N1" s="52" t="s">
        <v>68</v>
      </c>
      <c r="O1" s="53">
        <v>0</v>
      </c>
      <c r="T1">
        <v>1</v>
      </c>
      <c r="U1">
        <v>2</v>
      </c>
    </row>
    <row r="2" spans="1:21" ht="18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0"/>
      <c r="M2" s="50"/>
      <c r="N2" s="52" t="s">
        <v>69</v>
      </c>
      <c r="O2" s="55"/>
    </row>
    <row r="3" spans="1:21" ht="18" x14ac:dyDescent="0.25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"/>
      <c r="M3" s="50"/>
      <c r="N3" s="52" t="s">
        <v>70</v>
      </c>
      <c r="O3" s="55"/>
    </row>
    <row r="4" spans="1:21" ht="18" x14ac:dyDescent="0.25">
      <c r="A4" s="54"/>
      <c r="B4" s="54"/>
      <c r="C4" s="54"/>
      <c r="D4" s="54"/>
      <c r="E4" s="54"/>
      <c r="F4" s="54"/>
      <c r="G4" s="54"/>
      <c r="H4" s="54"/>
      <c r="I4" s="56"/>
      <c r="J4" s="56"/>
      <c r="K4" s="56"/>
      <c r="L4" s="50"/>
      <c r="M4" s="50"/>
      <c r="N4" s="52" t="s">
        <v>71</v>
      </c>
      <c r="O4" s="55"/>
    </row>
    <row r="5" spans="1:21" ht="15.75" x14ac:dyDescent="0.25">
      <c r="A5" s="50"/>
      <c r="B5" s="50"/>
      <c r="C5" s="57"/>
      <c r="D5" s="57"/>
      <c r="E5" s="57"/>
      <c r="F5" s="50"/>
      <c r="G5" s="50"/>
      <c r="H5" s="50"/>
      <c r="I5" s="50"/>
      <c r="J5" s="50"/>
      <c r="K5" s="50"/>
      <c r="L5" s="50"/>
      <c r="M5" s="50"/>
      <c r="N5" s="52" t="s">
        <v>72</v>
      </c>
      <c r="O5" s="58"/>
    </row>
    <row r="6" spans="1:2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2"/>
      <c r="O6" s="53"/>
    </row>
    <row r="7" spans="1:2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2" t="s">
        <v>73</v>
      </c>
      <c r="O7" s="58"/>
    </row>
    <row r="8" spans="1:21" x14ac:dyDescent="0.25">
      <c r="A8" s="5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1" ht="18" x14ac:dyDescent="0.25">
      <c r="A10" s="1"/>
      <c r="B10" s="508" t="s">
        <v>74</v>
      </c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508"/>
      <c r="N10" s="508"/>
      <c r="O10" s="508"/>
    </row>
    <row r="11" spans="1:21" ht="18" x14ac:dyDescent="0.25">
      <c r="A11" s="1"/>
      <c r="B11" s="508" t="s">
        <v>75</v>
      </c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1" ht="15.75" x14ac:dyDescent="0.25">
      <c r="A14" s="1"/>
      <c r="B14" s="60" t="s">
        <v>0</v>
      </c>
      <c r="C14" s="1"/>
      <c r="D14" s="509" t="s">
        <v>123</v>
      </c>
      <c r="E14" s="509"/>
      <c r="F14" s="509"/>
      <c r="G14" s="509"/>
      <c r="H14" s="509"/>
      <c r="I14" s="509"/>
      <c r="J14" s="509"/>
      <c r="K14" s="509"/>
      <c r="L14" s="509"/>
      <c r="M14" s="509"/>
      <c r="N14" s="509"/>
      <c r="O14" s="509"/>
    </row>
    <row r="15" spans="1:21" ht="15.75" x14ac:dyDescent="0.25">
      <c r="A15" s="1"/>
      <c r="B15" s="61"/>
      <c r="C15" s="1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pans="1:21" ht="15.75" x14ac:dyDescent="0.25">
      <c r="A16" s="1"/>
      <c r="B16" s="60" t="s">
        <v>76</v>
      </c>
      <c r="C16" s="1"/>
      <c r="D16" s="63" t="s">
        <v>94</v>
      </c>
      <c r="E16" s="62"/>
      <c r="F16" s="228" t="s">
        <v>95</v>
      </c>
      <c r="G16" s="62"/>
      <c r="H16" s="62"/>
      <c r="I16" s="62"/>
      <c r="J16" s="62"/>
      <c r="K16" s="62"/>
      <c r="L16" s="62"/>
      <c r="M16" s="62"/>
      <c r="N16" s="62"/>
      <c r="O16" s="62"/>
    </row>
    <row r="17" spans="1:49" ht="15.75" x14ac:dyDescent="0.25">
      <c r="A17" s="1"/>
      <c r="B17" s="61"/>
      <c r="C17" s="1"/>
      <c r="D17" s="62"/>
      <c r="E17" s="62"/>
      <c r="F17" s="229">
        <f>ROUND(+F18*0.9,0)</f>
        <v>16000</v>
      </c>
      <c r="G17" s="230" t="s">
        <v>96</v>
      </c>
      <c r="H17" s="231"/>
      <c r="I17" s="62"/>
      <c r="J17" s="62"/>
      <c r="K17" s="62"/>
      <c r="L17" s="62"/>
      <c r="M17" s="62"/>
      <c r="N17" s="62"/>
      <c r="O17" s="62"/>
    </row>
    <row r="18" spans="1:49" x14ac:dyDescent="0.25">
      <c r="A18" s="1"/>
      <c r="B18" s="64"/>
      <c r="C18" s="1"/>
      <c r="D18" s="65"/>
      <c r="E18" s="65"/>
      <c r="F18" s="229">
        <f>ROUND(16000/0.9,0)</f>
        <v>17778</v>
      </c>
      <c r="G18" s="65" t="s">
        <v>113</v>
      </c>
      <c r="H18" s="1"/>
      <c r="I18" s="1"/>
      <c r="J18" s="1"/>
      <c r="K18" s="1"/>
      <c r="L18" s="1"/>
      <c r="M18" s="1"/>
      <c r="N18" s="1"/>
      <c r="O18" s="1"/>
    </row>
    <row r="19" spans="1:49" x14ac:dyDescent="0.25">
      <c r="A19" s="1"/>
      <c r="B19" s="64"/>
      <c r="C19" s="1"/>
      <c r="D19" s="65" t="s">
        <v>1</v>
      </c>
      <c r="E19" s="1"/>
      <c r="F19" s="232">
        <v>6600000</v>
      </c>
      <c r="G19" s="230" t="s">
        <v>78</v>
      </c>
      <c r="H19" s="67"/>
      <c r="I19" s="1"/>
      <c r="J19" s="67"/>
      <c r="K19" s="233"/>
      <c r="L19" s="67"/>
      <c r="M19" s="1"/>
      <c r="N19" s="233"/>
      <c r="O19" s="1"/>
      <c r="S19" s="234"/>
    </row>
    <row r="20" spans="1:49" x14ac:dyDescent="0.25">
      <c r="A20" s="1"/>
      <c r="B20" s="64"/>
      <c r="C20" s="1"/>
      <c r="D20" s="68"/>
      <c r="E20" s="68"/>
      <c r="F20" s="510" t="s">
        <v>105</v>
      </c>
      <c r="G20" s="511"/>
      <c r="H20" s="512"/>
      <c r="I20" s="2"/>
      <c r="J20" s="510" t="s">
        <v>104</v>
      </c>
      <c r="K20" s="511"/>
      <c r="L20" s="512"/>
      <c r="M20" s="2"/>
      <c r="N20" s="510" t="s">
        <v>61</v>
      </c>
      <c r="O20" s="512"/>
      <c r="Q20" s="506"/>
      <c r="R20" s="506"/>
      <c r="S20" s="506"/>
      <c r="T20" s="2"/>
      <c r="U20" s="506"/>
      <c r="V20" s="506"/>
      <c r="W20" s="69"/>
      <c r="X20" s="506"/>
      <c r="Y20" s="506"/>
      <c r="Z20" s="506"/>
      <c r="AA20" s="2"/>
      <c r="AB20" s="506"/>
      <c r="AC20" s="506"/>
      <c r="AD20" s="69"/>
      <c r="AE20" s="506"/>
      <c r="AF20" s="506"/>
      <c r="AG20" s="506"/>
      <c r="AH20" s="2"/>
      <c r="AI20" s="506"/>
      <c r="AJ20" s="506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</row>
    <row r="21" spans="1:49" ht="15" customHeight="1" x14ac:dyDescent="0.25">
      <c r="A21" s="1"/>
      <c r="B21" s="64"/>
      <c r="C21" s="1"/>
      <c r="D21" s="1"/>
      <c r="E21" s="70"/>
      <c r="F21" s="71" t="s">
        <v>2</v>
      </c>
      <c r="G21" s="71" t="s">
        <v>3</v>
      </c>
      <c r="H21" s="72" t="s">
        <v>4</v>
      </c>
      <c r="I21" s="2"/>
      <c r="J21" s="71" t="s">
        <v>2</v>
      </c>
      <c r="K21" s="73" t="s">
        <v>3</v>
      </c>
      <c r="L21" s="72" t="s">
        <v>4</v>
      </c>
      <c r="M21" s="2"/>
      <c r="N21" s="502" t="s">
        <v>62</v>
      </c>
      <c r="O21" s="504" t="s">
        <v>63</v>
      </c>
      <c r="Q21" s="270"/>
      <c r="R21" s="270"/>
      <c r="S21" s="270"/>
      <c r="T21" s="2"/>
      <c r="U21" s="501"/>
      <c r="V21" s="501"/>
      <c r="W21" s="69"/>
      <c r="X21" s="270"/>
      <c r="Y21" s="270"/>
      <c r="Z21" s="270"/>
      <c r="AA21" s="2"/>
      <c r="AB21" s="501"/>
      <c r="AC21" s="501"/>
      <c r="AD21" s="69"/>
      <c r="AE21" s="270"/>
      <c r="AF21" s="270"/>
      <c r="AG21" s="270"/>
      <c r="AH21" s="2"/>
      <c r="AI21" s="501"/>
      <c r="AJ21" s="501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</row>
    <row r="22" spans="1:49" x14ac:dyDescent="0.25">
      <c r="A22" s="1"/>
      <c r="B22" s="64"/>
      <c r="C22" s="1"/>
      <c r="D22" s="1"/>
      <c r="E22" s="70"/>
      <c r="F22" s="75" t="s">
        <v>79</v>
      </c>
      <c r="G22" s="75"/>
      <c r="H22" s="76" t="s">
        <v>79</v>
      </c>
      <c r="I22" s="2"/>
      <c r="J22" s="75" t="s">
        <v>79</v>
      </c>
      <c r="K22" s="76"/>
      <c r="L22" s="76" t="s">
        <v>79</v>
      </c>
      <c r="M22" s="2"/>
      <c r="N22" s="503"/>
      <c r="O22" s="505"/>
      <c r="Q22" s="77"/>
      <c r="R22" s="77"/>
      <c r="S22" s="77"/>
      <c r="T22" s="2"/>
      <c r="U22" s="514"/>
      <c r="V22" s="514"/>
      <c r="W22" s="69"/>
      <c r="X22" s="77"/>
      <c r="Y22" s="77"/>
      <c r="Z22" s="77"/>
      <c r="AA22" s="2"/>
      <c r="AB22" s="514"/>
      <c r="AC22" s="514"/>
      <c r="AD22" s="69"/>
      <c r="AE22" s="77"/>
      <c r="AF22" s="77"/>
      <c r="AG22" s="77"/>
      <c r="AH22" s="2"/>
      <c r="AI22" s="514"/>
      <c r="AJ22" s="514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</row>
    <row r="23" spans="1:49" x14ac:dyDescent="0.25">
      <c r="A23" s="7" t="s">
        <v>15</v>
      </c>
      <c r="B23" s="271" t="str">
        <f>IF(Rates!D193=$A$23,Rates!B193," ")</f>
        <v>Service Charge</v>
      </c>
      <c r="C23" s="78"/>
      <c r="D23" s="271" t="str">
        <f>IF(Rates!D193=$A$23,Rates!E193," ")</f>
        <v>customer</v>
      </c>
      <c r="E23" s="79"/>
      <c r="F23" s="80">
        <f>IF(Rates!$G$1="CND 2018",Rates!G193," ")</f>
        <v>8976.0639999999985</v>
      </c>
      <c r="G23" s="439">
        <f>IF(D23="customer",1,IF(D23="kWh",$F$19,$F$17))</f>
        <v>1</v>
      </c>
      <c r="H23" s="82">
        <f t="shared" ref="H23:H34" si="0">G23*F23</f>
        <v>8976.0639999999985</v>
      </c>
      <c r="I23" s="87"/>
      <c r="J23" s="488">
        <f>IF(Rates!$L$1="E+ 2019",Rates!L193," ")</f>
        <v>9388.0499999999993</v>
      </c>
      <c r="K23" s="439">
        <f>IF(D23="customer",1,IF(D23="kWh",$F$19,$F$17))</f>
        <v>1</v>
      </c>
      <c r="L23" s="82">
        <f t="shared" ref="L23:L44" si="1">K23*J23</f>
        <v>9388.0499999999993</v>
      </c>
      <c r="M23" s="87"/>
      <c r="N23" s="84">
        <f t="shared" ref="N23:N60" si="2">L23-H23</f>
        <v>411.98600000000079</v>
      </c>
      <c r="O23" s="85">
        <f>IF(OR(H23=0,L23=0),"",(N23/H23))</f>
        <v>4.5898291277780646E-2</v>
      </c>
      <c r="Q23" s="86"/>
      <c r="R23" s="87"/>
      <c r="S23" s="88"/>
      <c r="T23" s="87"/>
      <c r="U23" s="89"/>
      <c r="V23" s="90"/>
      <c r="W23" s="69"/>
      <c r="X23" s="86"/>
      <c r="Y23" s="87"/>
      <c r="Z23" s="88"/>
      <c r="AA23" s="87"/>
      <c r="AB23" s="89"/>
      <c r="AC23" s="90"/>
      <c r="AD23" s="69"/>
      <c r="AE23" s="86"/>
      <c r="AF23" s="87"/>
      <c r="AG23" s="88"/>
      <c r="AH23" s="87"/>
      <c r="AI23" s="89"/>
      <c r="AJ23" s="90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</row>
    <row r="24" spans="1:49" x14ac:dyDescent="0.25">
      <c r="A24" s="1"/>
      <c r="B24" s="271" t="str">
        <f>IF(Rates!D194=$A$23,Rates!B194," ")</f>
        <v>Rate Rider ACM</v>
      </c>
      <c r="C24" s="78"/>
      <c r="D24" s="271" t="str">
        <f>IF(Rates!D194=$A$23,Rates!E194," ")</f>
        <v>customer</v>
      </c>
      <c r="E24" s="79"/>
      <c r="F24" s="80">
        <f>IF(Rates!$G$1="CND 2018",Rates!G194," ")</f>
        <v>0</v>
      </c>
      <c r="G24" s="439">
        <f t="shared" ref="G24:G34" si="3">IF(D24="customer",1,IF(D24="kWh",$F$19,$F$17))</f>
        <v>1</v>
      </c>
      <c r="H24" s="82">
        <f t="shared" si="0"/>
        <v>0</v>
      </c>
      <c r="I24" s="87"/>
      <c r="J24" s="469">
        <f>IF(Rates!$L$1="E+ 2019",Rates!L194," ")</f>
        <v>0</v>
      </c>
      <c r="K24" s="439">
        <f t="shared" ref="K24:K34" si="4">IF(D24="customer",1,IF(D24="kWh",$F$19,$F$17))</f>
        <v>1</v>
      </c>
      <c r="L24" s="82">
        <f t="shared" si="1"/>
        <v>0</v>
      </c>
      <c r="M24" s="87"/>
      <c r="N24" s="84">
        <f t="shared" si="2"/>
        <v>0</v>
      </c>
      <c r="O24" s="85" t="str">
        <f t="shared" ref="O24:O34" si="5">IF(OR(H24=0,L24=0),"",(N24/H24))</f>
        <v/>
      </c>
      <c r="Q24" s="86"/>
      <c r="R24" s="87"/>
      <c r="S24" s="88"/>
      <c r="T24" s="87"/>
      <c r="U24" s="89"/>
      <c r="V24" s="90"/>
      <c r="W24" s="69"/>
      <c r="X24" s="86"/>
      <c r="Y24" s="87"/>
      <c r="Z24" s="88"/>
      <c r="AA24" s="87"/>
      <c r="AB24" s="89"/>
      <c r="AC24" s="90"/>
      <c r="AD24" s="69"/>
      <c r="AE24" s="86"/>
      <c r="AF24" s="87"/>
      <c r="AG24" s="88"/>
      <c r="AH24" s="87"/>
      <c r="AI24" s="89"/>
      <c r="AJ24" s="90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</row>
    <row r="25" spans="1:49" s="94" customFormat="1" x14ac:dyDescent="0.25">
      <c r="A25" s="3"/>
      <c r="B25" s="271" t="str">
        <f>IF(Rates!D195=$A$23,Rates!B195," ")</f>
        <v>Distribution Volumetric Rate</v>
      </c>
      <c r="C25" s="78"/>
      <c r="D25" s="271" t="str">
        <f>IF(Rates!D195=$A$23,Rates!E195," ")</f>
        <v>kW</v>
      </c>
      <c r="E25" s="79"/>
      <c r="F25" s="235">
        <f>IF(Rates!$G$1="CND 2018",Rates!G195," ")</f>
        <v>2.4926336</v>
      </c>
      <c r="G25" s="439">
        <f t="shared" si="3"/>
        <v>16000</v>
      </c>
      <c r="H25" s="82">
        <f t="shared" si="0"/>
        <v>39882.137600000002</v>
      </c>
      <c r="I25" s="87"/>
      <c r="J25" s="469">
        <f>IF(Rates!$L$1="E+ 2019",Rates!L195," ")</f>
        <v>2.2631999999999999</v>
      </c>
      <c r="K25" s="439">
        <f t="shared" si="4"/>
        <v>16000</v>
      </c>
      <c r="L25" s="82">
        <f t="shared" si="1"/>
        <v>36211.199999999997</v>
      </c>
      <c r="M25" s="87"/>
      <c r="N25" s="84">
        <f t="shared" si="2"/>
        <v>-3670.9376000000047</v>
      </c>
      <c r="O25" s="85">
        <f t="shared" si="5"/>
        <v>-9.204465509892841E-2</v>
      </c>
      <c r="Q25" s="95"/>
      <c r="R25" s="87"/>
      <c r="S25" s="88"/>
      <c r="T25" s="87"/>
      <c r="U25" s="89"/>
      <c r="V25" s="90"/>
      <c r="W25" s="69"/>
      <c r="X25" s="95"/>
      <c r="Y25" s="87"/>
      <c r="Z25" s="88"/>
      <c r="AA25" s="87"/>
      <c r="AB25" s="89"/>
      <c r="AC25" s="90"/>
      <c r="AD25" s="69"/>
      <c r="AE25" s="95"/>
      <c r="AF25" s="87"/>
      <c r="AG25" s="88"/>
      <c r="AH25" s="87"/>
      <c r="AI25" s="89"/>
      <c r="AJ25" s="90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</row>
    <row r="26" spans="1:49" s="94" customFormat="1" x14ac:dyDescent="0.25">
      <c r="A26" s="3"/>
      <c r="B26" s="271" t="str">
        <f>IF(Rates!D196=$A$23,Rates!B196," ")</f>
        <v>Rate Rider ACM</v>
      </c>
      <c r="C26" s="78"/>
      <c r="D26" s="271" t="str">
        <f>IF(Rates!D196=$A$23,Rates!E196," ")</f>
        <v>kW</v>
      </c>
      <c r="E26" s="79"/>
      <c r="F26" s="80">
        <f>IF(Rates!$G$1="CND 2018",Rates!G196," ")</f>
        <v>0</v>
      </c>
      <c r="G26" s="439">
        <f t="shared" si="3"/>
        <v>16000</v>
      </c>
      <c r="H26" s="82">
        <f t="shared" si="0"/>
        <v>0</v>
      </c>
      <c r="I26" s="87"/>
      <c r="J26" s="469">
        <f>IF(Rates!$L$1="E+ 2019",Rates!L196," ")</f>
        <v>0</v>
      </c>
      <c r="K26" s="439">
        <f t="shared" si="4"/>
        <v>16000</v>
      </c>
      <c r="L26" s="82">
        <f t="shared" si="1"/>
        <v>0</v>
      </c>
      <c r="M26" s="87"/>
      <c r="N26" s="84">
        <f t="shared" si="2"/>
        <v>0</v>
      </c>
      <c r="O26" s="85" t="str">
        <f t="shared" si="5"/>
        <v/>
      </c>
      <c r="Q26" s="95"/>
      <c r="R26" s="87"/>
      <c r="S26" s="88"/>
      <c r="T26" s="87"/>
      <c r="U26" s="89"/>
      <c r="V26" s="90"/>
      <c r="W26" s="69"/>
      <c r="X26" s="95"/>
      <c r="Y26" s="87"/>
      <c r="Z26" s="88"/>
      <c r="AA26" s="87"/>
      <c r="AB26" s="89"/>
      <c r="AC26" s="90"/>
      <c r="AD26" s="69"/>
      <c r="AE26" s="95"/>
      <c r="AF26" s="87"/>
      <c r="AG26" s="88"/>
      <c r="AH26" s="87"/>
      <c r="AI26" s="89"/>
      <c r="AJ26" s="90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</row>
    <row r="27" spans="1:49" x14ac:dyDescent="0.25">
      <c r="A27" s="3"/>
      <c r="B27" s="271" t="str">
        <f>IF(Rates!D197=$A$23,Rates!B197," ")</f>
        <v>Rate Rider for Disposition of Account 1575 and 1576</v>
      </c>
      <c r="C27" s="78"/>
      <c r="D27" s="271" t="str">
        <f>IF(Rates!D197=$A$23,Rates!E197," ")</f>
        <v>kW</v>
      </c>
      <c r="E27" s="79"/>
      <c r="F27" s="80">
        <f>IF(Rates!$G$1="CND 2018",Rates!G197," ")</f>
        <v>0</v>
      </c>
      <c r="G27" s="439">
        <f t="shared" si="3"/>
        <v>16000</v>
      </c>
      <c r="H27" s="82">
        <f t="shared" si="0"/>
        <v>0</v>
      </c>
      <c r="I27" s="87"/>
      <c r="J27" s="469">
        <f>IF(Rates!$L$1="E+ 2019",Rates!L197," ")</f>
        <v>-0.12235869011495178</v>
      </c>
      <c r="K27" s="439">
        <f t="shared" si="4"/>
        <v>16000</v>
      </c>
      <c r="L27" s="82">
        <f t="shared" si="1"/>
        <v>-1957.7390418392283</v>
      </c>
      <c r="M27" s="87"/>
      <c r="N27" s="84">
        <f t="shared" si="2"/>
        <v>-1957.7390418392283</v>
      </c>
      <c r="O27" s="85" t="str">
        <f t="shared" si="5"/>
        <v/>
      </c>
      <c r="Q27" s="86"/>
      <c r="R27" s="87"/>
      <c r="S27" s="88"/>
      <c r="T27" s="87"/>
      <c r="U27" s="89"/>
      <c r="V27" s="90"/>
      <c r="W27" s="69"/>
      <c r="X27" s="86"/>
      <c r="Y27" s="87"/>
      <c r="Z27" s="88"/>
      <c r="AA27" s="87"/>
      <c r="AB27" s="89"/>
      <c r="AC27" s="90"/>
      <c r="AD27" s="69"/>
      <c r="AE27" s="86"/>
      <c r="AF27" s="87"/>
      <c r="AG27" s="88"/>
      <c r="AH27" s="87"/>
      <c r="AI27" s="89"/>
      <c r="AJ27" s="90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</row>
    <row r="28" spans="1:49" x14ac:dyDescent="0.25">
      <c r="A28" s="3"/>
      <c r="B28" s="271" t="str">
        <f>IF(Rates!D198=$A$23,Rates!B198," ")</f>
        <v>Rate Rider for Disposition of Account 1575 and 1576</v>
      </c>
      <c r="C28" s="78"/>
      <c r="D28" s="271" t="str">
        <f>IF(Rates!D198=$A$23,Rates!E198," ")</f>
        <v>customer</v>
      </c>
      <c r="E28" s="79"/>
      <c r="F28" s="80">
        <f>IF(Rates!$G$1="CND 2018",Rates!G198," ")</f>
        <v>0</v>
      </c>
      <c r="G28" s="439">
        <f t="shared" si="3"/>
        <v>1</v>
      </c>
      <c r="H28" s="82">
        <f t="shared" si="0"/>
        <v>0</v>
      </c>
      <c r="I28" s="87"/>
      <c r="J28" s="469">
        <f>IF(Rates!$L$1="E+ 2019",Rates!L198," ")</f>
        <v>0</v>
      </c>
      <c r="K28" s="439">
        <f t="shared" si="4"/>
        <v>1</v>
      </c>
      <c r="L28" s="82">
        <f t="shared" si="1"/>
        <v>0</v>
      </c>
      <c r="M28" s="87"/>
      <c r="N28" s="84">
        <f t="shared" si="2"/>
        <v>0</v>
      </c>
      <c r="O28" s="85" t="str">
        <f t="shared" si="5"/>
        <v/>
      </c>
      <c r="Q28" s="119"/>
      <c r="R28" s="87"/>
      <c r="S28" s="88"/>
      <c r="T28" s="87"/>
      <c r="U28" s="89"/>
      <c r="V28" s="90"/>
      <c r="W28" s="69"/>
      <c r="X28" s="119"/>
      <c r="Y28" s="87"/>
      <c r="Z28" s="88"/>
      <c r="AA28" s="87"/>
      <c r="AB28" s="89"/>
      <c r="AC28" s="90"/>
      <c r="AD28" s="69"/>
      <c r="AE28" s="119"/>
      <c r="AF28" s="87"/>
      <c r="AG28" s="88"/>
      <c r="AH28" s="87"/>
      <c r="AI28" s="89"/>
      <c r="AJ28" s="90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</row>
    <row r="29" spans="1:49" x14ac:dyDescent="0.25">
      <c r="A29" s="3"/>
      <c r="B29" s="271" t="str">
        <f>IF(Rates!D199=$A$23,Rates!B199," ")</f>
        <v>Rate Rider for Disposition of Account 1575 and 1576</v>
      </c>
      <c r="C29" s="78"/>
      <c r="D29" s="271" t="str">
        <f>IF(Rates!D199=$A$23,Rates!E199," ")</f>
        <v>kW</v>
      </c>
      <c r="E29" s="79"/>
      <c r="F29" s="80">
        <f>IF(Rates!$G$1="CND 2018",Rates!G199," ")</f>
        <v>0</v>
      </c>
      <c r="G29" s="439">
        <f t="shared" si="3"/>
        <v>16000</v>
      </c>
      <c r="H29" s="82">
        <f t="shared" si="0"/>
        <v>0</v>
      </c>
      <c r="I29" s="87"/>
      <c r="J29" s="469">
        <f>IF(Rates!$L$1="E+ 2019",Rates!L199," ")</f>
        <v>0</v>
      </c>
      <c r="K29" s="439">
        <f t="shared" si="4"/>
        <v>16000</v>
      </c>
      <c r="L29" s="82">
        <f t="shared" si="1"/>
        <v>0</v>
      </c>
      <c r="M29" s="87"/>
      <c r="N29" s="84">
        <f t="shared" si="2"/>
        <v>0</v>
      </c>
      <c r="O29" s="85" t="str">
        <f t="shared" si="5"/>
        <v/>
      </c>
      <c r="Q29" s="119"/>
      <c r="R29" s="87"/>
      <c r="S29" s="88"/>
      <c r="T29" s="87"/>
      <c r="U29" s="89"/>
      <c r="V29" s="90"/>
      <c r="W29" s="69"/>
      <c r="X29" s="119"/>
      <c r="Y29" s="87"/>
      <c r="Z29" s="88"/>
      <c r="AA29" s="87"/>
      <c r="AB29" s="89"/>
      <c r="AC29" s="90"/>
      <c r="AD29" s="69"/>
      <c r="AE29" s="119"/>
      <c r="AF29" s="87"/>
      <c r="AG29" s="88"/>
      <c r="AH29" s="87"/>
      <c r="AI29" s="89"/>
      <c r="AJ29" s="90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</row>
    <row r="30" spans="1:49" s="94" customFormat="1" x14ac:dyDescent="0.25">
      <c r="A30" s="99"/>
      <c r="B30" s="271" t="str">
        <f>IF(Rates!D200=$A$23,Rates!B200," ")</f>
        <v>Rate Rider for Disposition of Account 1575 and 1576</v>
      </c>
      <c r="C30" s="78"/>
      <c r="D30" s="271" t="str">
        <f>IF(Rates!D200=$A$23,Rates!E200," ")</f>
        <v>customer</v>
      </c>
      <c r="E30" s="79"/>
      <c r="F30" s="80">
        <f>IF(Rates!$G$1="CND 2018",Rates!G200," ")</f>
        <v>0</v>
      </c>
      <c r="G30" s="439">
        <f t="shared" si="3"/>
        <v>1</v>
      </c>
      <c r="H30" s="82">
        <f t="shared" si="0"/>
        <v>0</v>
      </c>
      <c r="I30" s="87"/>
      <c r="J30" s="469">
        <f>IF(Rates!$L$1="E+ 2019",Rates!L200," ")</f>
        <v>0</v>
      </c>
      <c r="K30" s="439">
        <f t="shared" si="4"/>
        <v>1</v>
      </c>
      <c r="L30" s="82">
        <f t="shared" si="1"/>
        <v>0</v>
      </c>
      <c r="M30" s="87"/>
      <c r="N30" s="84">
        <f t="shared" si="2"/>
        <v>0</v>
      </c>
      <c r="O30" s="85" t="str">
        <f t="shared" si="5"/>
        <v/>
      </c>
      <c r="Q30" s="119"/>
      <c r="R30" s="87"/>
      <c r="S30" s="88"/>
      <c r="T30" s="87"/>
      <c r="U30" s="89"/>
      <c r="V30" s="90"/>
      <c r="W30" s="69"/>
      <c r="X30" s="119"/>
      <c r="Y30" s="87"/>
      <c r="Z30" s="88"/>
      <c r="AA30" s="87"/>
      <c r="AB30" s="89"/>
      <c r="AC30" s="90"/>
      <c r="AD30" s="69"/>
      <c r="AE30" s="119"/>
      <c r="AF30" s="87"/>
      <c r="AG30" s="88"/>
      <c r="AH30" s="87"/>
      <c r="AI30" s="89"/>
      <c r="AJ30" s="90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</row>
    <row r="31" spans="1:49" s="94" customFormat="1" x14ac:dyDescent="0.25">
      <c r="A31" s="3"/>
      <c r="B31" s="271" t="str">
        <f>IF(Rates!D201=$A$23,Rates!B201," ")</f>
        <v>Rate Rider for LRAMVA</v>
      </c>
      <c r="C31" s="78"/>
      <c r="D31" s="271" t="str">
        <f>IF(Rates!D201=$A$23,Rates!E201," ")</f>
        <v>kW</v>
      </c>
      <c r="E31" s="79"/>
      <c r="F31" s="80">
        <f>IF(Rates!$G$1="CND 2018",Rates!G201," ")</f>
        <v>0</v>
      </c>
      <c r="G31" s="439">
        <f t="shared" si="3"/>
        <v>16000</v>
      </c>
      <c r="H31" s="82">
        <f t="shared" si="0"/>
        <v>0</v>
      </c>
      <c r="I31" s="87"/>
      <c r="J31" s="469">
        <f>IF(Rates!$L$1="E+ 2019",Rates!L201," ")</f>
        <v>0.82632388084328812</v>
      </c>
      <c r="K31" s="439">
        <f t="shared" si="4"/>
        <v>16000</v>
      </c>
      <c r="L31" s="82">
        <f t="shared" si="1"/>
        <v>13221.182093492609</v>
      </c>
      <c r="M31" s="87"/>
      <c r="N31" s="84">
        <f t="shared" si="2"/>
        <v>13221.182093492609</v>
      </c>
      <c r="O31" s="85" t="str">
        <f t="shared" si="5"/>
        <v/>
      </c>
      <c r="Q31" s="119"/>
      <c r="R31" s="87"/>
      <c r="S31" s="88"/>
      <c r="T31" s="87"/>
      <c r="U31" s="89"/>
      <c r="V31" s="90"/>
      <c r="W31" s="69"/>
      <c r="X31" s="119"/>
      <c r="Y31" s="87"/>
      <c r="Z31" s="88"/>
      <c r="AA31" s="87"/>
      <c r="AB31" s="89"/>
      <c r="AC31" s="90"/>
      <c r="AD31" s="69"/>
      <c r="AE31" s="119"/>
      <c r="AF31" s="87"/>
      <c r="AG31" s="88"/>
      <c r="AH31" s="87"/>
      <c r="AI31" s="89"/>
      <c r="AJ31" s="90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</row>
    <row r="32" spans="1:49" x14ac:dyDescent="0.25">
      <c r="A32" s="3"/>
      <c r="B32" s="271" t="str">
        <f>IF(Rates!D202=$A$23,Rates!B202," ")</f>
        <v>Rate Rider MIST</v>
      </c>
      <c r="C32" s="78"/>
      <c r="D32" s="271" t="str">
        <f>IF(Rates!D202=$A$23,Rates!E202," ")</f>
        <v>customer</v>
      </c>
      <c r="E32" s="79"/>
      <c r="F32" s="80">
        <f>IF(Rates!$G$1="CND 2018",Rates!G202," ")</f>
        <v>0</v>
      </c>
      <c r="G32" s="439">
        <f t="shared" si="3"/>
        <v>1</v>
      </c>
      <c r="H32" s="82">
        <f t="shared" si="0"/>
        <v>0</v>
      </c>
      <c r="I32" s="87"/>
      <c r="J32" s="469">
        <f>IF(Rates!$L$1="E+ 2019",Rates!L202," ")</f>
        <v>0</v>
      </c>
      <c r="K32" s="439">
        <f t="shared" si="4"/>
        <v>1</v>
      </c>
      <c r="L32" s="82">
        <f t="shared" si="1"/>
        <v>0</v>
      </c>
      <c r="M32" s="87"/>
      <c r="N32" s="84">
        <f t="shared" si="2"/>
        <v>0</v>
      </c>
      <c r="O32" s="85" t="str">
        <f t="shared" si="5"/>
        <v/>
      </c>
      <c r="Q32" s="98"/>
      <c r="R32" s="87"/>
      <c r="S32" s="88"/>
      <c r="T32" s="87"/>
      <c r="U32" s="89"/>
      <c r="V32" s="90"/>
      <c r="W32" s="69"/>
      <c r="X32" s="98"/>
      <c r="Y32" s="87"/>
      <c r="Z32" s="88"/>
      <c r="AA32" s="87"/>
      <c r="AB32" s="89"/>
      <c r="AC32" s="90"/>
      <c r="AD32" s="69"/>
      <c r="AE32" s="98"/>
      <c r="AF32" s="87"/>
      <c r="AG32" s="88"/>
      <c r="AH32" s="87"/>
      <c r="AI32" s="89"/>
      <c r="AJ32" s="90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</row>
    <row r="33" spans="1:49" x14ac:dyDescent="0.25">
      <c r="A33" s="3"/>
      <c r="B33" s="271" t="str">
        <f>IF(Rates!D203=$A$23,Rates!B203," ")</f>
        <v>Other Fixed</v>
      </c>
      <c r="C33" s="78"/>
      <c r="D33" s="271" t="str">
        <f>IF(Rates!D203=$A$23,Rates!E203," ")</f>
        <v>kW</v>
      </c>
      <c r="E33" s="79"/>
      <c r="F33" s="80">
        <f>IF(Rates!$G$1="CND 2018",Rates!G203," ")</f>
        <v>0</v>
      </c>
      <c r="G33" s="439">
        <f t="shared" si="3"/>
        <v>16000</v>
      </c>
      <c r="H33" s="82">
        <f t="shared" si="0"/>
        <v>0</v>
      </c>
      <c r="I33" s="87"/>
      <c r="J33" s="469">
        <f>IF(Rates!$L$1="E+ 2019",Rates!L203," ")</f>
        <v>0</v>
      </c>
      <c r="K33" s="439">
        <f t="shared" si="4"/>
        <v>16000</v>
      </c>
      <c r="L33" s="82">
        <f t="shared" si="1"/>
        <v>0</v>
      </c>
      <c r="M33" s="87"/>
      <c r="N33" s="84">
        <f t="shared" si="2"/>
        <v>0</v>
      </c>
      <c r="O33" s="85" t="str">
        <f t="shared" si="5"/>
        <v/>
      </c>
      <c r="Q33" s="98"/>
      <c r="R33" s="87"/>
      <c r="S33" s="88"/>
      <c r="T33" s="87"/>
      <c r="U33" s="89"/>
      <c r="V33" s="90"/>
      <c r="W33" s="69"/>
      <c r="X33" s="98"/>
      <c r="Y33" s="87"/>
      <c r="Z33" s="88"/>
      <c r="AA33" s="87"/>
      <c r="AB33" s="89"/>
      <c r="AC33" s="90"/>
      <c r="AD33" s="69"/>
      <c r="AE33" s="98"/>
      <c r="AF33" s="87"/>
      <c r="AG33" s="88"/>
      <c r="AH33" s="87"/>
      <c r="AI33" s="89"/>
      <c r="AJ33" s="90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</row>
    <row r="34" spans="1:49" x14ac:dyDescent="0.25">
      <c r="A34" s="3"/>
      <c r="B34" s="271" t="str">
        <f>IF(Rates!D204=$A$23,Rates!B204," ")</f>
        <v>Other Volumetric</v>
      </c>
      <c r="C34" s="78"/>
      <c r="D34" s="271" t="str">
        <f>IF(Rates!D204=$A$23,Rates!E204," ")</f>
        <v>kW</v>
      </c>
      <c r="E34" s="79"/>
      <c r="F34" s="80">
        <f>IF(Rates!$G$1="CND 2018",Rates!G204," ")</f>
        <v>0</v>
      </c>
      <c r="G34" s="439">
        <f t="shared" si="3"/>
        <v>16000</v>
      </c>
      <c r="H34" s="82">
        <f t="shared" si="0"/>
        <v>0</v>
      </c>
      <c r="I34" s="87"/>
      <c r="J34" s="469">
        <f>IF(Rates!$L$1="E+ 2019",Rates!L204," ")</f>
        <v>0</v>
      </c>
      <c r="K34" s="439">
        <f t="shared" si="4"/>
        <v>16000</v>
      </c>
      <c r="L34" s="82">
        <f t="shared" si="1"/>
        <v>0</v>
      </c>
      <c r="M34" s="87"/>
      <c r="N34" s="84">
        <f t="shared" si="2"/>
        <v>0</v>
      </c>
      <c r="O34" s="85" t="str">
        <f t="shared" si="5"/>
        <v/>
      </c>
      <c r="Q34" s="98"/>
      <c r="R34" s="87"/>
      <c r="S34" s="88"/>
      <c r="T34" s="87"/>
      <c r="U34" s="89"/>
      <c r="V34" s="90"/>
      <c r="W34" s="69"/>
      <c r="X34" s="98"/>
      <c r="Y34" s="87"/>
      <c r="Z34" s="88"/>
      <c r="AA34" s="87"/>
      <c r="AB34" s="89"/>
      <c r="AC34" s="90"/>
      <c r="AD34" s="69"/>
      <c r="AE34" s="98"/>
      <c r="AF34" s="87"/>
      <c r="AG34" s="88"/>
      <c r="AH34" s="87"/>
      <c r="AI34" s="89"/>
      <c r="AJ34" s="90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</row>
    <row r="35" spans="1:49" x14ac:dyDescent="0.25">
      <c r="A35" s="3"/>
      <c r="B35" s="271" t="str">
        <f>IF(Rates!D205=$A$23,Rates!B205," ")</f>
        <v>Rate Rider for gain on Sale of Property</v>
      </c>
      <c r="C35" s="78"/>
      <c r="D35" s="271" t="str">
        <f>IF(Rates!D205=$A$23,Rates!E205," ")</f>
        <v>kW</v>
      </c>
      <c r="E35" s="79"/>
      <c r="F35" s="80">
        <f>IF(Rates!$G$1="CND 2018",Rates!G205," ")</f>
        <v>0</v>
      </c>
      <c r="G35" s="439">
        <f t="shared" ref="G35" si="6">IF(D35="customer",1,IF(D35="kWh",$F$19,$F$17))</f>
        <v>16000</v>
      </c>
      <c r="H35" s="82">
        <f t="shared" ref="H35" si="7">G35*F35</f>
        <v>0</v>
      </c>
      <c r="I35" s="87"/>
      <c r="J35" s="469">
        <f>IF(Rates!$L$1="E+ 2019",Rates!L205," ")</f>
        <v>-9.3924851441814547E-2</v>
      </c>
      <c r="K35" s="439">
        <f t="shared" ref="K35" si="8">IF(D35="customer",1,IF(D35="kWh",$F$19,$F$17))</f>
        <v>16000</v>
      </c>
      <c r="L35" s="82">
        <f t="shared" ref="L35" si="9">K35*J35</f>
        <v>-1502.7976230690329</v>
      </c>
      <c r="M35" s="87"/>
      <c r="N35" s="84">
        <f t="shared" ref="N35" si="10">L35-H35</f>
        <v>-1502.7976230690329</v>
      </c>
      <c r="O35" s="85" t="str">
        <f t="shared" ref="O35" si="11">IF(OR(H35=0,L35=0),"",(N35/H35))</f>
        <v/>
      </c>
      <c r="Q35" s="98"/>
      <c r="R35" s="87"/>
      <c r="S35" s="88"/>
      <c r="T35" s="87"/>
      <c r="U35" s="89"/>
      <c r="V35" s="90"/>
      <c r="W35" s="69"/>
      <c r="X35" s="98"/>
      <c r="Y35" s="87"/>
      <c r="Z35" s="88"/>
      <c r="AA35" s="87"/>
      <c r="AB35" s="89"/>
      <c r="AC35" s="90"/>
      <c r="AD35" s="69"/>
      <c r="AE35" s="98"/>
      <c r="AF35" s="87"/>
      <c r="AG35" s="88"/>
      <c r="AH35" s="87"/>
      <c r="AI35" s="89"/>
      <c r="AJ35" s="90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</row>
    <row r="36" spans="1:49" x14ac:dyDescent="0.25">
      <c r="A36" s="3"/>
      <c r="B36" s="109" t="s">
        <v>64</v>
      </c>
      <c r="C36" s="110"/>
      <c r="D36" s="110"/>
      <c r="E36" s="110"/>
      <c r="F36" s="111"/>
      <c r="G36" s="446"/>
      <c r="H36" s="113">
        <f>SUM(H23:H35)</f>
        <v>48858.2016</v>
      </c>
      <c r="I36" s="87"/>
      <c r="J36" s="115"/>
      <c r="K36" s="447"/>
      <c r="L36" s="113">
        <f>SUM(L23:L35)</f>
        <v>55359.895428584343</v>
      </c>
      <c r="M36" s="87"/>
      <c r="N36" s="117">
        <f t="shared" si="2"/>
        <v>6501.6938285843426</v>
      </c>
      <c r="O36" s="118">
        <f>IF(OR(H36=0, L36=0),"",(N36/H36))</f>
        <v>0.13307272096941739</v>
      </c>
      <c r="Q36" s="119"/>
      <c r="R36" s="120"/>
      <c r="S36" s="88"/>
      <c r="T36" s="87"/>
      <c r="U36" s="121"/>
      <c r="V36" s="122"/>
      <c r="W36" s="69"/>
      <c r="X36" s="119"/>
      <c r="Y36" s="120"/>
      <c r="Z36" s="88"/>
      <c r="AA36" s="87"/>
      <c r="AB36" s="121"/>
      <c r="AC36" s="122"/>
      <c r="AD36" s="69"/>
      <c r="AE36" s="119"/>
      <c r="AF36" s="120"/>
      <c r="AG36" s="88"/>
      <c r="AH36" s="87"/>
      <c r="AI36" s="121"/>
      <c r="AJ36" s="122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</row>
    <row r="37" spans="1:49" x14ac:dyDescent="0.25">
      <c r="A37" s="5" t="s">
        <v>18</v>
      </c>
      <c r="B37" s="271" t="str">
        <f>IF(Rates!D206=$A$37,Rates!B206," ")</f>
        <v>Low Voltage Service Rate</v>
      </c>
      <c r="C37" s="78"/>
      <c r="D37" s="271" t="str">
        <f>IF(Rates!D206=$A$37,Rates!E206," ")</f>
        <v>kW</v>
      </c>
      <c r="E37" s="79"/>
      <c r="F37" s="469">
        <f>IF(Rates!$G$1="CND 2018",Rates!G206," ")</f>
        <v>4.2099999999999999E-2</v>
      </c>
      <c r="G37" s="439">
        <f t="shared" ref="G37" si="12">IF(D37="customer",1,IF(D37="kWh",$F$19,$F$17))</f>
        <v>16000</v>
      </c>
      <c r="H37" s="126">
        <f>G37*F37</f>
        <v>673.6</v>
      </c>
      <c r="I37" s="87"/>
      <c r="J37" s="469">
        <f>IF(Rates!$L$1="E+ 2019",Rates!L206," ")</f>
        <v>0.18410000000000001</v>
      </c>
      <c r="K37" s="439">
        <f t="shared" ref="K37:K45" si="13">IF(D37="customer",1,IF(D37="kWh",$F$19,$F$17))</f>
        <v>16000</v>
      </c>
      <c r="L37" s="82">
        <f t="shared" si="1"/>
        <v>2945.6000000000004</v>
      </c>
      <c r="M37" s="87"/>
      <c r="N37" s="84">
        <f t="shared" si="2"/>
        <v>2272.0000000000005</v>
      </c>
      <c r="O37" s="85">
        <f t="shared" ref="O37:O44" si="14">IF(OR(H37=0,L37=0),"",(N37/H37))</f>
        <v>3.3729216152019008</v>
      </c>
      <c r="Q37" s="119"/>
      <c r="R37" s="87"/>
      <c r="S37" s="88"/>
      <c r="T37" s="87"/>
      <c r="U37" s="89"/>
      <c r="V37" s="90"/>
      <c r="W37" s="69"/>
      <c r="X37" s="119"/>
      <c r="Y37" s="87"/>
      <c r="Z37" s="88"/>
      <c r="AA37" s="87"/>
      <c r="AB37" s="89"/>
      <c r="AC37" s="90"/>
      <c r="AD37" s="69"/>
      <c r="AE37" s="119"/>
      <c r="AF37" s="87"/>
      <c r="AG37" s="88"/>
      <c r="AH37" s="87"/>
      <c r="AI37" s="89"/>
      <c r="AJ37" s="90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</row>
    <row r="38" spans="1:49" x14ac:dyDescent="0.25">
      <c r="A38" s="1"/>
      <c r="B38" s="124" t="s">
        <v>116</v>
      </c>
      <c r="C38" s="78"/>
      <c r="D38" s="271" t="s">
        <v>13</v>
      </c>
      <c r="E38" s="79"/>
      <c r="F38" s="469">
        <v>0</v>
      </c>
      <c r="G38" s="441"/>
      <c r="H38" s="126">
        <f t="shared" ref="H38:H44" si="15">G38*F38</f>
        <v>0</v>
      </c>
      <c r="I38" s="87"/>
      <c r="J38" s="469"/>
      <c r="K38" s="441"/>
      <c r="L38" s="82">
        <f t="shared" si="1"/>
        <v>0</v>
      </c>
      <c r="M38" s="87"/>
      <c r="N38" s="84">
        <f t="shared" si="2"/>
        <v>0</v>
      </c>
      <c r="O38" s="85" t="str">
        <f t="shared" si="14"/>
        <v/>
      </c>
      <c r="Q38" s="128"/>
      <c r="R38" s="129"/>
      <c r="S38" s="88"/>
      <c r="T38" s="87"/>
      <c r="U38" s="89"/>
      <c r="V38" s="90"/>
      <c r="W38" s="69"/>
      <c r="X38" s="128"/>
      <c r="Y38" s="129"/>
      <c r="Z38" s="88"/>
      <c r="AA38" s="87"/>
      <c r="AB38" s="89"/>
      <c r="AC38" s="90"/>
      <c r="AD38" s="69"/>
      <c r="AE38" s="128"/>
      <c r="AF38" s="129"/>
      <c r="AG38" s="88"/>
      <c r="AH38" s="87"/>
      <c r="AI38" s="89"/>
      <c r="AJ38" s="90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</row>
    <row r="39" spans="1:49" x14ac:dyDescent="0.25">
      <c r="A39" s="130"/>
      <c r="B39" s="271" t="str">
        <f>IF(Rates!D207=$A$37,Rates!B207," ")</f>
        <v>Rate Rider Other Fixed</v>
      </c>
      <c r="C39" s="78"/>
      <c r="D39" s="271" t="str">
        <f>IF(Rates!D207=$A$37,Rates!E207," ")</f>
        <v>customer</v>
      </c>
      <c r="E39" s="79"/>
      <c r="F39" s="469">
        <f>IF(Rates!$G$1="CND 2018",Rates!G207," ")</f>
        <v>0</v>
      </c>
      <c r="G39" s="439">
        <f t="shared" ref="G39:G45" si="16">IF(D39="customer",1,IF(D39="kWh",$F$19,$F$17))</f>
        <v>1</v>
      </c>
      <c r="H39" s="126">
        <f t="shared" si="15"/>
        <v>0</v>
      </c>
      <c r="I39" s="87"/>
      <c r="J39" s="469">
        <f>IF(Rates!$L$1="E+ 2019",Rates!L207," ")</f>
        <v>0</v>
      </c>
      <c r="K39" s="439">
        <f t="shared" si="13"/>
        <v>1</v>
      </c>
      <c r="L39" s="82">
        <f t="shared" si="1"/>
        <v>0</v>
      </c>
      <c r="M39" s="87"/>
      <c r="N39" s="84">
        <f t="shared" si="2"/>
        <v>0</v>
      </c>
      <c r="O39" s="85" t="str">
        <f t="shared" si="14"/>
        <v/>
      </c>
      <c r="Q39" s="119"/>
      <c r="R39" s="87"/>
      <c r="S39" s="88"/>
      <c r="T39" s="87"/>
      <c r="U39" s="89"/>
      <c r="V39" s="90"/>
      <c r="W39" s="69"/>
      <c r="X39" s="119"/>
      <c r="Y39" s="87"/>
      <c r="Z39" s="88"/>
      <c r="AA39" s="87"/>
      <c r="AB39" s="89"/>
      <c r="AC39" s="90"/>
      <c r="AD39" s="69"/>
      <c r="AE39" s="119"/>
      <c r="AF39" s="87"/>
      <c r="AG39" s="88"/>
      <c r="AH39" s="87"/>
      <c r="AI39" s="89"/>
      <c r="AJ39" s="90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</row>
    <row r="40" spans="1:49" x14ac:dyDescent="0.25">
      <c r="A40" s="130"/>
      <c r="B40" s="271" t="str">
        <f>IF(Rates!D208=$A$37,Rates!B208," ")</f>
        <v>Rate Rider Other Volumetric</v>
      </c>
      <c r="C40" s="78"/>
      <c r="D40" s="271" t="str">
        <f>IF(Rates!D208=$A$37,Rates!E208," ")</f>
        <v>kW</v>
      </c>
      <c r="E40" s="79"/>
      <c r="F40" s="469">
        <f>IF(Rates!$G$1="CND 2018",Rates!G208," ")</f>
        <v>0</v>
      </c>
      <c r="G40" s="439">
        <f t="shared" si="16"/>
        <v>16000</v>
      </c>
      <c r="H40" s="126">
        <f t="shared" si="15"/>
        <v>0</v>
      </c>
      <c r="I40" s="87"/>
      <c r="J40" s="469">
        <f>IF(Rates!$L$1="E+ 2019",Rates!L208," ")</f>
        <v>5.7697168998086863E-2</v>
      </c>
      <c r="K40" s="439">
        <f t="shared" si="13"/>
        <v>16000</v>
      </c>
      <c r="L40" s="82">
        <f t="shared" si="1"/>
        <v>923.15470396938986</v>
      </c>
      <c r="M40" s="87"/>
      <c r="N40" s="84">
        <f t="shared" si="2"/>
        <v>923.15470396938986</v>
      </c>
      <c r="O40" s="85" t="str">
        <f t="shared" si="14"/>
        <v/>
      </c>
      <c r="Q40" s="119"/>
      <c r="R40" s="87"/>
      <c r="S40" s="88"/>
      <c r="T40" s="87"/>
      <c r="U40" s="89"/>
      <c r="V40" s="90"/>
      <c r="W40" s="69"/>
      <c r="X40" s="119"/>
      <c r="Y40" s="87"/>
      <c r="Z40" s="88"/>
      <c r="AA40" s="87"/>
      <c r="AB40" s="89"/>
      <c r="AC40" s="90"/>
      <c r="AD40" s="69"/>
      <c r="AE40" s="119"/>
      <c r="AF40" s="87"/>
      <c r="AG40" s="88"/>
      <c r="AH40" s="87"/>
      <c r="AI40" s="89"/>
      <c r="AJ40" s="90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</row>
    <row r="41" spans="1:49" x14ac:dyDescent="0.25">
      <c r="A41" s="130"/>
      <c r="B41" s="271" t="str">
        <f>IF(Rates!D209=$A$37,Rates!B209," ")</f>
        <v>Rate Rider Other Volumetric</v>
      </c>
      <c r="C41" s="78"/>
      <c r="D41" s="271" t="str">
        <f>IF(Rates!D209=$A$37,Rates!E209," ")</f>
        <v>kW</v>
      </c>
      <c r="E41" s="79"/>
      <c r="F41" s="469">
        <f>IF(Rates!$G$1="CND 2018",Rates!G209," ")</f>
        <v>0</v>
      </c>
      <c r="G41" s="439">
        <f t="shared" si="16"/>
        <v>16000</v>
      </c>
      <c r="H41" s="126">
        <f t="shared" si="15"/>
        <v>0</v>
      </c>
      <c r="I41" s="87"/>
      <c r="J41" s="469">
        <f>IF(Rates!$L$1="E+ 2019",Rates!L209," ")</f>
        <v>0</v>
      </c>
      <c r="K41" s="439">
        <f t="shared" si="13"/>
        <v>16000</v>
      </c>
      <c r="L41" s="82">
        <f t="shared" si="1"/>
        <v>0</v>
      </c>
      <c r="M41" s="87"/>
      <c r="N41" s="84">
        <f t="shared" si="2"/>
        <v>0</v>
      </c>
      <c r="O41" s="85" t="str">
        <f t="shared" si="14"/>
        <v/>
      </c>
      <c r="Q41" s="119"/>
      <c r="R41" s="87"/>
      <c r="S41" s="88"/>
      <c r="T41" s="87"/>
      <c r="U41" s="89"/>
      <c r="V41" s="90"/>
      <c r="W41" s="69"/>
      <c r="X41" s="119"/>
      <c r="Y41" s="87"/>
      <c r="Z41" s="88"/>
      <c r="AA41" s="87"/>
      <c r="AB41" s="89"/>
      <c r="AC41" s="90"/>
      <c r="AD41" s="69"/>
      <c r="AE41" s="119"/>
      <c r="AF41" s="87"/>
      <c r="AG41" s="88"/>
      <c r="AH41" s="87"/>
      <c r="AI41" s="89"/>
      <c r="AJ41" s="90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</row>
    <row r="42" spans="1:49" x14ac:dyDescent="0.25">
      <c r="A42" s="1"/>
      <c r="B42" s="271" t="str">
        <f>IF(Rates!D210=$A$37,Rates!B210," ")</f>
        <v xml:space="preserve">Rate Rider for Disposition of Deferral/Variance Accounts </v>
      </c>
      <c r="C42" s="78"/>
      <c r="D42" s="271" t="str">
        <f>IF(Rates!D210=$A$37,Rates!E210," ")</f>
        <v>kW</v>
      </c>
      <c r="E42" s="79"/>
      <c r="F42" s="469">
        <f>IF(Rates!$G$1="CND 2018",Rates!G210," ")</f>
        <v>-2.5357339211051015</v>
      </c>
      <c r="G42" s="439">
        <f t="shared" si="16"/>
        <v>16000</v>
      </c>
      <c r="H42" s="126">
        <f t="shared" si="15"/>
        <v>-40571.742737681627</v>
      </c>
      <c r="I42" s="87"/>
      <c r="J42" s="469">
        <f>IF(Rates!$L$1="E+ 2019",Rates!L210," ")</f>
        <v>-0.6351518578447588</v>
      </c>
      <c r="K42" s="439">
        <f t="shared" si="13"/>
        <v>16000</v>
      </c>
      <c r="L42" s="82">
        <f t="shared" si="1"/>
        <v>-10162.42972551614</v>
      </c>
      <c r="M42" s="87"/>
      <c r="N42" s="84">
        <f t="shared" si="2"/>
        <v>30409.313012165487</v>
      </c>
      <c r="O42" s="85">
        <f t="shared" si="14"/>
        <v>-0.74951951679222228</v>
      </c>
      <c r="Q42" s="128"/>
      <c r="R42" s="129"/>
      <c r="S42" s="88"/>
      <c r="T42" s="87"/>
      <c r="U42" s="89"/>
      <c r="V42" s="90"/>
      <c r="W42" s="69"/>
      <c r="X42" s="128"/>
      <c r="Y42" s="129"/>
      <c r="Z42" s="88"/>
      <c r="AA42" s="87"/>
      <c r="AB42" s="89"/>
      <c r="AC42" s="90"/>
      <c r="AD42" s="69"/>
      <c r="AE42" s="128"/>
      <c r="AF42" s="129"/>
      <c r="AG42" s="88"/>
      <c r="AH42" s="87"/>
      <c r="AI42" s="89"/>
      <c r="AJ42" s="90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</row>
    <row r="43" spans="1:49" x14ac:dyDescent="0.25">
      <c r="A43" s="1"/>
      <c r="B43" s="271" t="str">
        <f>IF(Rates!D211=$A$37,Rates!B211," ")</f>
        <v>Rate Rider for Disposition of Deferral/Variance Accounts Non-WMP Customers</v>
      </c>
      <c r="C43" s="78"/>
      <c r="D43" s="271" t="str">
        <f>IF(Rates!D211=$A$37,Rates!E211," ")</f>
        <v>kW</v>
      </c>
      <c r="E43" s="79"/>
      <c r="F43" s="469">
        <f>IF(Rates!$G$1="CND 2018",Rates!G211," ")</f>
        <v>0</v>
      </c>
      <c r="G43" s="439">
        <f t="shared" si="16"/>
        <v>16000</v>
      </c>
      <c r="H43" s="126">
        <f t="shared" si="15"/>
        <v>0</v>
      </c>
      <c r="I43" s="87"/>
      <c r="J43" s="469">
        <f>IF(Rates!$L$1="E+ 2019",Rates!L211," ")</f>
        <v>0</v>
      </c>
      <c r="K43" s="439">
        <f t="shared" si="13"/>
        <v>16000</v>
      </c>
      <c r="L43" s="82">
        <f t="shared" si="1"/>
        <v>0</v>
      </c>
      <c r="M43" s="87"/>
      <c r="N43" s="84">
        <f t="shared" si="2"/>
        <v>0</v>
      </c>
      <c r="O43" s="85" t="str">
        <f t="shared" si="14"/>
        <v/>
      </c>
      <c r="Q43" s="128"/>
      <c r="R43" s="129"/>
      <c r="S43" s="88"/>
      <c r="T43" s="87"/>
      <c r="U43" s="89"/>
      <c r="V43" s="90"/>
      <c r="W43" s="69"/>
      <c r="X43" s="128"/>
      <c r="Y43" s="129"/>
      <c r="Z43" s="88"/>
      <c r="AA43" s="87"/>
      <c r="AB43" s="89"/>
      <c r="AC43" s="90"/>
      <c r="AD43" s="69"/>
      <c r="AE43" s="128"/>
      <c r="AF43" s="129"/>
      <c r="AG43" s="88"/>
      <c r="AH43" s="87"/>
      <c r="AI43" s="89"/>
      <c r="AJ43" s="90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</row>
    <row r="44" spans="1:49" x14ac:dyDescent="0.25">
      <c r="A44" s="1"/>
      <c r="B44" s="271" t="str">
        <f>IF(Rates!D212=$A$37,Rates!B212," ")</f>
        <v>Rate Rider for Disposition of GA DV</v>
      </c>
      <c r="C44" s="78"/>
      <c r="D44" s="271" t="str">
        <f>IF(Rates!D212=$A$37,Rates!E212," ")</f>
        <v>kWh</v>
      </c>
      <c r="E44" s="79"/>
      <c r="F44" s="469">
        <f>IF(Rates!$G$1="CND 2018",Rates!G212," ")</f>
        <v>0</v>
      </c>
      <c r="G44" s="439">
        <f t="shared" si="16"/>
        <v>6600000</v>
      </c>
      <c r="H44" s="126">
        <f t="shared" si="15"/>
        <v>0</v>
      </c>
      <c r="I44" s="87"/>
      <c r="J44" s="469">
        <f>IF(Rates!$L$1="E+ 2019",Rates!L212," ")</f>
        <v>3.8449181889326281E-4</v>
      </c>
      <c r="K44" s="439">
        <f t="shared" si="13"/>
        <v>6600000</v>
      </c>
      <c r="L44" s="82">
        <f t="shared" si="1"/>
        <v>2537.6460046955344</v>
      </c>
      <c r="M44" s="87"/>
      <c r="N44" s="84">
        <f t="shared" si="2"/>
        <v>2537.6460046955344</v>
      </c>
      <c r="O44" s="85" t="str">
        <f t="shared" si="14"/>
        <v/>
      </c>
      <c r="Q44" s="128"/>
      <c r="R44" s="129"/>
      <c r="S44" s="88"/>
      <c r="T44" s="87"/>
      <c r="U44" s="89"/>
      <c r="V44" s="90"/>
      <c r="W44" s="69"/>
      <c r="X44" s="128"/>
      <c r="Y44" s="129"/>
      <c r="Z44" s="88"/>
      <c r="AA44" s="87"/>
      <c r="AB44" s="89"/>
      <c r="AC44" s="90"/>
      <c r="AD44" s="69"/>
      <c r="AE44" s="128"/>
      <c r="AF44" s="129"/>
      <c r="AG44" s="88"/>
      <c r="AH44" s="87"/>
      <c r="AI44" s="89"/>
      <c r="AJ44" s="90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</row>
    <row r="45" spans="1:49" x14ac:dyDescent="0.25">
      <c r="A45" s="1"/>
      <c r="B45" s="271" t="str">
        <f>IF(Rates!D213=$A$37,Rates!B213," ")</f>
        <v>Rate Rider for Disposition of Capacity Based Recovery Account (2018) - Applicable only for Class B Customers</v>
      </c>
      <c r="C45" s="78"/>
      <c r="D45" s="271" t="str">
        <f>IF(Rates!D213=$A$37,Rates!E213," ")</f>
        <v>kW</v>
      </c>
      <c r="E45" s="79"/>
      <c r="F45" s="469">
        <f>IF(Rates!$G$1="CND 2018",Rates!G213," ")</f>
        <v>0</v>
      </c>
      <c r="G45" s="439">
        <f t="shared" si="16"/>
        <v>16000</v>
      </c>
      <c r="H45" s="126">
        <f t="shared" ref="H45" si="17">G45*F45</f>
        <v>0</v>
      </c>
      <c r="I45" s="87"/>
      <c r="J45" s="469">
        <f>IF(Rates!$L$1="E+ 2019",Rates!L213," ")</f>
        <v>7.6323637167737674E-5</v>
      </c>
      <c r="K45" s="439">
        <f t="shared" si="13"/>
        <v>16000</v>
      </c>
      <c r="L45" s="82">
        <f t="shared" ref="L45" si="18">K45*J45</f>
        <v>1.2211781946838027</v>
      </c>
      <c r="M45" s="87"/>
      <c r="N45" s="84">
        <f t="shared" ref="N45" si="19">L45-H45</f>
        <v>1.2211781946838027</v>
      </c>
      <c r="O45" s="85" t="str">
        <f t="shared" ref="O45" si="20">IF(OR(H45=0,L45=0),"",(N45/H45))</f>
        <v/>
      </c>
      <c r="Q45" s="128"/>
      <c r="R45" s="129"/>
      <c r="S45" s="88"/>
      <c r="T45" s="87"/>
      <c r="U45" s="89"/>
      <c r="V45" s="90"/>
      <c r="W45" s="69"/>
      <c r="X45" s="128"/>
      <c r="Y45" s="129"/>
      <c r="Z45" s="88"/>
      <c r="AA45" s="87"/>
      <c r="AB45" s="89"/>
      <c r="AC45" s="90"/>
      <c r="AD45" s="69"/>
      <c r="AE45" s="128"/>
      <c r="AF45" s="129"/>
      <c r="AG45" s="88"/>
      <c r="AH45" s="87"/>
      <c r="AI45" s="89"/>
      <c r="AJ45" s="90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</row>
    <row r="46" spans="1:49" hidden="1" x14ac:dyDescent="0.25">
      <c r="A46" s="1"/>
      <c r="B46" s="271"/>
      <c r="C46" s="78"/>
      <c r="D46" s="271"/>
      <c r="E46" s="79"/>
      <c r="F46" s="469"/>
      <c r="G46" s="439"/>
      <c r="H46" s="126"/>
      <c r="I46" s="87"/>
      <c r="J46" s="469"/>
      <c r="K46" s="439"/>
      <c r="L46" s="82"/>
      <c r="M46" s="87"/>
      <c r="N46" s="84"/>
      <c r="O46" s="85"/>
      <c r="Q46" s="128"/>
      <c r="R46" s="129"/>
      <c r="S46" s="88"/>
      <c r="T46" s="87"/>
      <c r="U46" s="89"/>
      <c r="V46" s="90"/>
      <c r="W46" s="69"/>
      <c r="X46" s="128"/>
      <c r="Y46" s="129"/>
      <c r="Z46" s="88"/>
      <c r="AA46" s="87"/>
      <c r="AB46" s="89"/>
      <c r="AC46" s="90"/>
      <c r="AD46" s="69"/>
      <c r="AE46" s="128"/>
      <c r="AF46" s="129"/>
      <c r="AG46" s="88"/>
      <c r="AH46" s="87"/>
      <c r="AI46" s="89"/>
      <c r="AJ46" s="90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</row>
    <row r="47" spans="1:49" x14ac:dyDescent="0.25">
      <c r="A47" s="1"/>
      <c r="B47" s="132" t="s">
        <v>80</v>
      </c>
      <c r="C47" s="133"/>
      <c r="D47" s="133"/>
      <c r="E47" s="133"/>
      <c r="F47" s="134"/>
      <c r="G47" s="135"/>
      <c r="H47" s="136">
        <f>SUM(H37:H46)+H36</f>
        <v>8960.0588623183721</v>
      </c>
      <c r="I47" s="87"/>
      <c r="J47" s="135"/>
      <c r="K47" s="137"/>
      <c r="L47" s="136">
        <f>SUM(L37:L46)+L36</f>
        <v>51605.087589927811</v>
      </c>
      <c r="M47" s="87"/>
      <c r="N47" s="117">
        <f>L47-H47</f>
        <v>42645.028727609439</v>
      </c>
      <c r="O47" s="138">
        <f>IF(OR(H47=0,L47=0),"",(N47/H47))</f>
        <v>4.7594585462996886</v>
      </c>
      <c r="Q47" s="87"/>
      <c r="R47" s="87"/>
      <c r="S47" s="121"/>
      <c r="T47" s="87"/>
      <c r="U47" s="121"/>
      <c r="V47" s="139"/>
      <c r="W47" s="69"/>
      <c r="X47" s="87"/>
      <c r="Y47" s="87"/>
      <c r="Z47" s="121"/>
      <c r="AA47" s="87"/>
      <c r="AB47" s="121"/>
      <c r="AC47" s="139"/>
      <c r="AD47" s="69"/>
      <c r="AE47" s="87"/>
      <c r="AF47" s="87"/>
      <c r="AG47" s="121"/>
      <c r="AH47" s="87"/>
      <c r="AI47" s="121"/>
      <c r="AJ47" s="13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</row>
    <row r="48" spans="1:49" x14ac:dyDescent="0.25">
      <c r="A48" s="38" t="s">
        <v>16</v>
      </c>
      <c r="B48" s="271" t="str">
        <f>IF(Rates!D214=$A$48,Rates!B214," ")</f>
        <v>Retail Transmission Rate – Network Service Rate</v>
      </c>
      <c r="C48" s="83"/>
      <c r="D48" s="271" t="str">
        <f>IF(Rates!D214= $A$48,Rates!E214," ")</f>
        <v>kW</v>
      </c>
      <c r="E48" s="91"/>
      <c r="F48" s="235">
        <f>IF(Rates!$G$1="CND 2018",Rates!G214," ")</f>
        <v>2.4156</v>
      </c>
      <c r="G48" s="140">
        <f>+$F$17</f>
        <v>16000</v>
      </c>
      <c r="H48" s="82">
        <f>G48*F48</f>
        <v>38649.599999999999</v>
      </c>
      <c r="I48" s="87"/>
      <c r="J48" s="235">
        <f>IF(Rates!$L$1="E+ 2019",Rates!L214," ")</f>
        <v>2.3100638640886344</v>
      </c>
      <c r="K48" s="140">
        <f>+$F$17</f>
        <v>16000</v>
      </c>
      <c r="L48" s="82">
        <f>K48*J48</f>
        <v>36961.021825418153</v>
      </c>
      <c r="M48" s="87"/>
      <c r="N48" s="84">
        <f t="shared" si="2"/>
        <v>-1688.5781745818458</v>
      </c>
      <c r="O48" s="85">
        <f>IF(OR(H48=0,L48=0),"",(N48/H48))</f>
        <v>-4.3689408805830998E-2</v>
      </c>
      <c r="Q48" s="119"/>
      <c r="R48" s="141"/>
      <c r="S48" s="294">
        <f>F48*K48</f>
        <v>38649.599999999999</v>
      </c>
      <c r="T48" s="87"/>
      <c r="U48" s="89"/>
      <c r="V48" s="90"/>
      <c r="W48" s="69"/>
      <c r="X48" s="119"/>
      <c r="Y48" s="141"/>
      <c r="Z48" s="88"/>
      <c r="AA48" s="87"/>
      <c r="AB48" s="89"/>
      <c r="AC48" s="90"/>
      <c r="AD48" s="69"/>
      <c r="AE48" s="119"/>
      <c r="AF48" s="141"/>
      <c r="AG48" s="88"/>
      <c r="AH48" s="87"/>
      <c r="AI48" s="89"/>
      <c r="AJ48" s="90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</row>
    <row r="49" spans="1:49" x14ac:dyDescent="0.25">
      <c r="A49" s="1"/>
      <c r="B49" s="271" t="str">
        <f>IF(Rates!D215=$A$48,Rates!B215," ")</f>
        <v>Retail Transmission Rate – Line and Transformation Connection Service Rate</v>
      </c>
      <c r="C49" s="83"/>
      <c r="D49" s="271" t="str">
        <f>IF(Rates!D215= $A$48,Rates!E215," ")</f>
        <v>kW</v>
      </c>
      <c r="E49" s="91"/>
      <c r="F49" s="235">
        <f>IF(Rates!$G$1="CND 2018",Rates!G215," ")</f>
        <v>1.9849000000000001</v>
      </c>
      <c r="G49" s="140">
        <f>+$F$17</f>
        <v>16000</v>
      </c>
      <c r="H49" s="82">
        <f t="shared" ref="H49" si="21">G49*F49</f>
        <v>31758.400000000001</v>
      </c>
      <c r="I49" s="87"/>
      <c r="J49" s="235">
        <f>IF(Rates!$L$1="E+ 2019",Rates!L215," ")</f>
        <v>1.9584380219639073</v>
      </c>
      <c r="K49" s="140">
        <f>+$F$17</f>
        <v>16000</v>
      </c>
      <c r="L49" s="82">
        <f t="shared" ref="L49" si="22">K49*J49</f>
        <v>31335.008351422515</v>
      </c>
      <c r="M49" s="87"/>
      <c r="N49" s="84">
        <f t="shared" si="2"/>
        <v>-423.39164857748619</v>
      </c>
      <c r="O49" s="85">
        <f t="shared" ref="O49" si="23">IF(OR(H49=0,L49=0),"",(N49/H49))</f>
        <v>-1.3331642922108361E-2</v>
      </c>
      <c r="Q49" s="119"/>
      <c r="R49" s="141"/>
      <c r="S49" s="295">
        <f>F49*K49</f>
        <v>31758.400000000001</v>
      </c>
      <c r="T49" s="87"/>
      <c r="U49" s="89"/>
      <c r="V49" s="90"/>
      <c r="W49" s="69"/>
      <c r="X49" s="119"/>
      <c r="Y49" s="141"/>
      <c r="Z49" s="88"/>
      <c r="AA49" s="87"/>
      <c r="AB49" s="89"/>
      <c r="AC49" s="90"/>
      <c r="AD49" s="69"/>
      <c r="AE49" s="119"/>
      <c r="AF49" s="141"/>
      <c r="AG49" s="88"/>
      <c r="AH49" s="87"/>
      <c r="AI49" s="89"/>
      <c r="AJ49" s="90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</row>
    <row r="50" spans="1:49" x14ac:dyDescent="0.25">
      <c r="A50" s="1"/>
      <c r="B50" s="132" t="s">
        <v>81</v>
      </c>
      <c r="C50" s="110"/>
      <c r="D50" s="110"/>
      <c r="E50" s="110"/>
      <c r="F50" s="142"/>
      <c r="G50" s="135"/>
      <c r="H50" s="136">
        <f>SUM(H47:H49)</f>
        <v>79368.058862318372</v>
      </c>
      <c r="I50" s="146"/>
      <c r="J50" s="144"/>
      <c r="K50" s="145"/>
      <c r="L50" s="136">
        <f>SUM(L47:L49)</f>
        <v>119901.11776676848</v>
      </c>
      <c r="M50" s="146"/>
      <c r="N50" s="117">
        <f>L50-H50</f>
        <v>40533.05890445011</v>
      </c>
      <c r="O50" s="138">
        <f>IF(OR(H50=0,L50=0),"",(N50/H50))</f>
        <v>0.51069736976639124</v>
      </c>
      <c r="Q50" s="146"/>
      <c r="R50" s="146"/>
      <c r="S50" s="296">
        <f>S48+S49</f>
        <v>70408</v>
      </c>
      <c r="T50" s="146"/>
      <c r="U50" s="121"/>
      <c r="V50" s="139"/>
      <c r="W50" s="69"/>
      <c r="X50" s="146"/>
      <c r="Y50" s="146"/>
      <c r="Z50" s="121"/>
      <c r="AA50" s="146"/>
      <c r="AB50" s="121"/>
      <c r="AC50" s="139"/>
      <c r="AD50" s="69"/>
      <c r="AE50" s="146"/>
      <c r="AF50" s="146"/>
      <c r="AG50" s="121"/>
      <c r="AH50" s="146"/>
      <c r="AI50" s="121"/>
      <c r="AJ50" s="13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</row>
    <row r="51" spans="1:49" x14ac:dyDescent="0.25">
      <c r="A51" s="4" t="s">
        <v>17</v>
      </c>
      <c r="B51" s="271" t="str">
        <f>IF(Rates!D8=$A$51,Rates!B8," ")</f>
        <v>Standard Supply Service – Administrative Charge (if applicable)</v>
      </c>
      <c r="C51" s="78"/>
      <c r="D51" s="271" t="str">
        <f>IF(Rates!D8=$A$51,Rates!E8," ")</f>
        <v>customer</v>
      </c>
      <c r="E51" s="79"/>
      <c r="F51" s="235">
        <f>IF(Rates!$J$1="BRT 2018",Rates!J8," ")</f>
        <v>0.25</v>
      </c>
      <c r="G51" s="439">
        <f t="shared" ref="G51" si="24">IF(D51="customer",1,IF(D51="kWh",$F$19,$F$17))</f>
        <v>1</v>
      </c>
      <c r="H51" s="148">
        <f t="shared" ref="H51:H60" si="25">G51*F51</f>
        <v>0.25</v>
      </c>
      <c r="I51" s="87"/>
      <c r="J51" s="80">
        <f>IF(Rates!$L$1="E+ 2019",Rates!L8," ")</f>
        <v>0.25</v>
      </c>
      <c r="K51" s="439">
        <f t="shared" ref="K51" si="26">IF(D51="customer",1,IF(D51="kWh",$F$19,$F$17))</f>
        <v>1</v>
      </c>
      <c r="L51" s="148">
        <f t="shared" ref="L51:L60" si="27">K51*J51</f>
        <v>0.25</v>
      </c>
      <c r="M51" s="87"/>
      <c r="N51" s="84">
        <f t="shared" si="2"/>
        <v>0</v>
      </c>
      <c r="O51" s="85">
        <f>IF(OR(H51=0,L51=0),"",(N51/H51))</f>
        <v>0</v>
      </c>
      <c r="Q51" s="150"/>
      <c r="R51" s="224"/>
      <c r="S51" s="151"/>
      <c r="T51" s="87"/>
      <c r="U51" s="89"/>
      <c r="V51" s="90"/>
      <c r="W51" s="69"/>
      <c r="X51" s="150"/>
      <c r="Y51" s="224"/>
      <c r="Z51" s="151"/>
      <c r="AA51" s="87"/>
      <c r="AB51" s="89"/>
      <c r="AC51" s="90"/>
      <c r="AD51" s="69"/>
      <c r="AE51" s="150"/>
      <c r="AF51" s="224"/>
      <c r="AG51" s="151"/>
      <c r="AH51" s="87"/>
      <c r="AI51" s="89"/>
      <c r="AJ51" s="90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</row>
    <row r="52" spans="1:49" x14ac:dyDescent="0.25">
      <c r="A52" s="1"/>
      <c r="B52" s="271" t="str">
        <f>IF(Rates!D9=$A$51,Rates!B9," ")</f>
        <v xml:space="preserve">Wholesale Market Service Rate </v>
      </c>
      <c r="C52" s="78"/>
      <c r="D52" s="271" t="str">
        <f>IF(Rates!D9=$A$51,Rates!E9," ")</f>
        <v>kWh</v>
      </c>
      <c r="E52" s="79"/>
      <c r="F52" s="235">
        <f>IF(Rates!$J$1="BRT 2018",Rates!J9," ")</f>
        <v>3.2000000000000002E-3</v>
      </c>
      <c r="G52" s="225">
        <f>$F$19*(1+$F$74)</f>
        <v>6629700</v>
      </c>
      <c r="H52" s="148">
        <f t="shared" si="25"/>
        <v>21215.040000000001</v>
      </c>
      <c r="I52" s="87"/>
      <c r="J52" s="235">
        <f>IF(Rates!$L$1="E+ 2019",Rates!L9," ")</f>
        <v>3.2000000000000002E-3</v>
      </c>
      <c r="K52" s="225">
        <f>$F$19*(1+$J$74)</f>
        <v>6629700</v>
      </c>
      <c r="L52" s="148">
        <f t="shared" si="27"/>
        <v>21215.040000000001</v>
      </c>
      <c r="M52" s="87"/>
      <c r="N52" s="84">
        <f t="shared" si="2"/>
        <v>0</v>
      </c>
      <c r="O52" s="85">
        <f t="shared" ref="O52:O71" si="28">IF(OR(H52=0,L52=0),"",(N52/H52))</f>
        <v>0</v>
      </c>
      <c r="Q52" s="150"/>
      <c r="R52" s="224"/>
      <c r="S52" s="151"/>
      <c r="T52" s="87"/>
      <c r="U52" s="89"/>
      <c r="V52" s="90"/>
      <c r="W52" s="69"/>
      <c r="X52" s="150"/>
      <c r="Y52" s="224"/>
      <c r="Z52" s="151"/>
      <c r="AA52" s="87"/>
      <c r="AB52" s="89"/>
      <c r="AC52" s="90"/>
      <c r="AD52" s="69"/>
      <c r="AE52" s="150"/>
      <c r="AF52" s="224"/>
      <c r="AG52" s="151"/>
      <c r="AH52" s="87"/>
      <c r="AI52" s="89"/>
      <c r="AJ52" s="90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</row>
    <row r="53" spans="1:49" x14ac:dyDescent="0.25">
      <c r="A53" s="1"/>
      <c r="B53" s="271" t="str">
        <f>IF(Rates!D10=$A$51,Rates!B10," ")</f>
        <v>Capacity Based Rcovery(CBR) - Class B Customers</v>
      </c>
      <c r="C53" s="78"/>
      <c r="D53" s="271" t="str">
        <f>IF(Rates!D10=$A$51,Rates!E10," ")</f>
        <v>kWh</v>
      </c>
      <c r="E53" s="79"/>
      <c r="F53" s="235">
        <f>IF(Rates!$J$1="BRT 2018",Rates!J10," ")</f>
        <v>4.0000000000000002E-4</v>
      </c>
      <c r="G53" s="225">
        <f>$F$19*(1+$F$74)</f>
        <v>6629700</v>
      </c>
      <c r="H53" s="148">
        <f t="shared" si="25"/>
        <v>2651.88</v>
      </c>
      <c r="I53" s="87"/>
      <c r="J53" s="235">
        <f>IF(Rates!$L$1="E+ 2019",Rates!L10," ")</f>
        <v>4.0000000000000002E-4</v>
      </c>
      <c r="K53" s="225">
        <f>$F$19*(1+$J$74)</f>
        <v>6629700</v>
      </c>
      <c r="L53" s="148">
        <f t="shared" si="27"/>
        <v>2651.88</v>
      </c>
      <c r="M53" s="87"/>
      <c r="N53" s="84">
        <f t="shared" si="2"/>
        <v>0</v>
      </c>
      <c r="O53" s="85">
        <f t="shared" si="28"/>
        <v>0</v>
      </c>
      <c r="Q53" s="150"/>
      <c r="R53" s="224"/>
      <c r="S53" s="151"/>
      <c r="T53" s="87"/>
      <c r="U53" s="89"/>
      <c r="V53" s="90"/>
      <c r="W53" s="69"/>
      <c r="X53" s="150"/>
      <c r="Y53" s="224"/>
      <c r="Z53" s="151"/>
      <c r="AA53" s="87"/>
      <c r="AB53" s="89"/>
      <c r="AC53" s="90"/>
      <c r="AD53" s="69"/>
      <c r="AE53" s="150"/>
      <c r="AF53" s="224"/>
      <c r="AG53" s="151"/>
      <c r="AH53" s="87"/>
      <c r="AI53" s="89"/>
      <c r="AJ53" s="90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</row>
    <row r="54" spans="1:49" x14ac:dyDescent="0.25">
      <c r="A54" s="1"/>
      <c r="B54" s="271" t="str">
        <f>IF(Rates!D11=$A$51,Rates!B11," ")</f>
        <v xml:space="preserve">Rural Rate Protection Charge </v>
      </c>
      <c r="C54" s="78"/>
      <c r="D54" s="271" t="str">
        <f>IF(Rates!D11=$A$51,Rates!E11," ")</f>
        <v>kWh</v>
      </c>
      <c r="E54" s="79"/>
      <c r="F54" s="235">
        <f>IF(Rates!$J$1="BRT 2018",Rates!J11," ")</f>
        <v>2.9999999999999997E-4</v>
      </c>
      <c r="G54" s="225">
        <f>$F$19*(1+$F$74)</f>
        <v>6629700</v>
      </c>
      <c r="H54" s="148">
        <f t="shared" si="25"/>
        <v>1988.9099999999999</v>
      </c>
      <c r="I54" s="87"/>
      <c r="J54" s="235">
        <f>IF(Rates!$L$1="E+ 2019",Rates!L11," ")</f>
        <v>2.9999999999999997E-4</v>
      </c>
      <c r="K54" s="225">
        <f>$F$19*(1+$J$74)</f>
        <v>6629700</v>
      </c>
      <c r="L54" s="148">
        <f t="shared" si="27"/>
        <v>1988.9099999999999</v>
      </c>
      <c r="M54" s="87"/>
      <c r="N54" s="84">
        <f t="shared" si="2"/>
        <v>0</v>
      </c>
      <c r="O54" s="85">
        <f t="shared" si="28"/>
        <v>0</v>
      </c>
      <c r="Q54" s="153"/>
      <c r="R54" s="87"/>
      <c r="S54" s="151"/>
      <c r="T54" s="87"/>
      <c r="U54" s="89"/>
      <c r="V54" s="90"/>
      <c r="W54" s="69"/>
      <c r="X54" s="153"/>
      <c r="Y54" s="87"/>
      <c r="Z54" s="151"/>
      <c r="AA54" s="87"/>
      <c r="AB54" s="89"/>
      <c r="AC54" s="90"/>
      <c r="AD54" s="69"/>
      <c r="AE54" s="153"/>
      <c r="AF54" s="87"/>
      <c r="AG54" s="151"/>
      <c r="AH54" s="87"/>
      <c r="AI54" s="89"/>
      <c r="AJ54" s="90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</row>
    <row r="55" spans="1:49" x14ac:dyDescent="0.25">
      <c r="A55" s="1"/>
      <c r="B55" s="271" t="str">
        <f>IF(Rates!D12=$A$51,Rates!B12," ")</f>
        <v>Debt Retirement Charge</v>
      </c>
      <c r="C55" s="78"/>
      <c r="D55" s="271" t="str">
        <f>IF(Rates!D12=$A$51,Rates!E12," ")</f>
        <v>kWh</v>
      </c>
      <c r="E55" s="79"/>
      <c r="F55" s="235">
        <f>IF(Rates!$J$1="BRT 2018",Rates!J12," ")</f>
        <v>7.0000000000000001E-3</v>
      </c>
      <c r="G55" s="225">
        <f>$F$19</f>
        <v>6600000</v>
      </c>
      <c r="H55" s="148">
        <f t="shared" si="25"/>
        <v>46200</v>
      </c>
      <c r="I55" s="87"/>
      <c r="J55" s="235">
        <f>IF(Rates!$L$1="E+ 2019",Rates!L12," ")</f>
        <v>7.0000000000000001E-3</v>
      </c>
      <c r="K55" s="225">
        <f>F19</f>
        <v>6600000</v>
      </c>
      <c r="L55" s="148">
        <f t="shared" si="27"/>
        <v>46200</v>
      </c>
      <c r="M55" s="87"/>
      <c r="N55" s="84">
        <f t="shared" si="2"/>
        <v>0</v>
      </c>
      <c r="O55" s="85">
        <f t="shared" si="28"/>
        <v>0</v>
      </c>
      <c r="Q55" s="153"/>
      <c r="R55" s="87"/>
      <c r="S55" s="151"/>
      <c r="T55" s="87"/>
      <c r="U55" s="89"/>
      <c r="V55" s="90"/>
      <c r="W55" s="69"/>
      <c r="X55" s="153"/>
      <c r="Y55" s="87"/>
      <c r="Z55" s="151"/>
      <c r="AA55" s="87"/>
      <c r="AB55" s="89"/>
      <c r="AC55" s="90"/>
      <c r="AD55" s="69"/>
      <c r="AE55" s="153"/>
      <c r="AF55" s="87"/>
      <c r="AG55" s="151"/>
      <c r="AH55" s="87"/>
      <c r="AI55" s="89"/>
      <c r="AJ55" s="90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</row>
    <row r="56" spans="1:49" x14ac:dyDescent="0.25">
      <c r="A56" s="6" t="s">
        <v>14</v>
      </c>
      <c r="B56" s="271" t="str">
        <f>IF(Rates!D2=$A$56,Rates!B2," ")</f>
        <v>TOU - Off Peak</v>
      </c>
      <c r="C56" s="78"/>
      <c r="D56" s="271" t="str">
        <f>IF(Rates!D2=$A$56,Rates!E2," ")</f>
        <v>kWh</v>
      </c>
      <c r="E56" s="79"/>
      <c r="F56" s="235">
        <f>IF(Rates!$J$1="BRT 2018",Rates!J2," ")</f>
        <v>6.5000000000000002E-2</v>
      </c>
      <c r="G56" s="226">
        <f>IF($G$59=0,0.65*($F$19*(1+$F$74)),0)</f>
        <v>0</v>
      </c>
      <c r="H56" s="148">
        <f t="shared" si="25"/>
        <v>0</v>
      </c>
      <c r="I56" s="87"/>
      <c r="J56" s="152">
        <f>IF(Rates!$L$1="E+ 2019",Rates!L2," ")</f>
        <v>6.5000000000000002E-2</v>
      </c>
      <c r="K56" s="226">
        <f>IF($K$59=0,0.65*$F$19,0)</f>
        <v>0</v>
      </c>
      <c r="L56" s="148">
        <f t="shared" si="27"/>
        <v>0</v>
      </c>
      <c r="M56" s="87"/>
      <c r="N56" s="84">
        <f t="shared" si="2"/>
        <v>0</v>
      </c>
      <c r="O56" s="85" t="str">
        <f t="shared" si="28"/>
        <v/>
      </c>
      <c r="Q56" s="150"/>
      <c r="R56" s="224"/>
      <c r="S56" s="151"/>
      <c r="T56" s="87"/>
      <c r="U56" s="89"/>
      <c r="V56" s="90"/>
      <c r="W56" s="69"/>
      <c r="X56" s="150"/>
      <c r="Y56" s="224"/>
      <c r="Z56" s="151"/>
      <c r="AA56" s="87"/>
      <c r="AB56" s="89"/>
      <c r="AC56" s="90"/>
      <c r="AD56" s="69"/>
      <c r="AE56" s="150"/>
      <c r="AF56" s="224"/>
      <c r="AG56" s="151"/>
      <c r="AH56" s="87"/>
      <c r="AI56" s="89"/>
      <c r="AJ56" s="90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</row>
    <row r="57" spans="1:49" x14ac:dyDescent="0.25">
      <c r="A57" s="1"/>
      <c r="B57" s="271" t="str">
        <f>IF(Rates!D3=$A$56,Rates!B3," ")</f>
        <v>TOU - Mid Peak</v>
      </c>
      <c r="C57" s="78"/>
      <c r="D57" s="271" t="str">
        <f>IF(Rates!D3=$A$56,Rates!E3," ")</f>
        <v>kWh</v>
      </c>
      <c r="E57" s="79"/>
      <c r="F57" s="235">
        <f>IF(Rates!$J$1="BRT 2018",Rates!J3," ")</f>
        <v>9.5000000000000001E-2</v>
      </c>
      <c r="G57" s="226">
        <f>IF($G$59=0,0.17*($F$19*(1+$F$74)),0)</f>
        <v>0</v>
      </c>
      <c r="H57" s="148">
        <f t="shared" si="25"/>
        <v>0</v>
      </c>
      <c r="I57" s="87"/>
      <c r="J57" s="147">
        <f t="shared" ref="J57:J60" si="29">+F57</f>
        <v>9.5000000000000001E-2</v>
      </c>
      <c r="K57" s="226">
        <f>IF($K$59=0,0.17*$F$19,0)</f>
        <v>0</v>
      </c>
      <c r="L57" s="148">
        <f t="shared" si="27"/>
        <v>0</v>
      </c>
      <c r="M57" s="87"/>
      <c r="N57" s="84">
        <f t="shared" si="2"/>
        <v>0</v>
      </c>
      <c r="O57" s="85" t="str">
        <f t="shared" si="28"/>
        <v/>
      </c>
      <c r="Q57" s="157"/>
      <c r="R57" s="227"/>
      <c r="S57" s="151"/>
      <c r="T57" s="87"/>
      <c r="U57" s="89"/>
      <c r="V57" s="90"/>
      <c r="W57" s="69"/>
      <c r="X57" s="157"/>
      <c r="Y57" s="227"/>
      <c r="Z57" s="151"/>
      <c r="AA57" s="87"/>
      <c r="AB57" s="89"/>
      <c r="AC57" s="90"/>
      <c r="AD57" s="69"/>
      <c r="AE57" s="157"/>
      <c r="AF57" s="227"/>
      <c r="AG57" s="151"/>
      <c r="AH57" s="87"/>
      <c r="AI57" s="89"/>
      <c r="AJ57" s="90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</row>
    <row r="58" spans="1:49" x14ac:dyDescent="0.25">
      <c r="A58" s="1"/>
      <c r="B58" s="271" t="str">
        <f>IF(Rates!D4=$A$56,Rates!B4," ")</f>
        <v>TOU - On Peak</v>
      </c>
      <c r="C58" s="78"/>
      <c r="D58" s="271" t="str">
        <f>IF(Rates!D4=$A$56,Rates!E4," ")</f>
        <v>kWh</v>
      </c>
      <c r="E58" s="79"/>
      <c r="F58" s="235">
        <f>IF(Rates!$J$1="BRT 2018",Rates!J4," ")</f>
        <v>0.13200000000000001</v>
      </c>
      <c r="G58" s="226">
        <f>IF($G$59=0,0.18*($F$19*(1+$F$74)),0)</f>
        <v>0</v>
      </c>
      <c r="H58" s="148">
        <f t="shared" si="25"/>
        <v>0</v>
      </c>
      <c r="I58" s="87"/>
      <c r="J58" s="147">
        <f t="shared" si="29"/>
        <v>0.13200000000000001</v>
      </c>
      <c r="K58" s="226">
        <f>IF($K$59=0,0.18*$F$19,0)</f>
        <v>0</v>
      </c>
      <c r="L58" s="148">
        <f t="shared" si="27"/>
        <v>0</v>
      </c>
      <c r="M58" s="87"/>
      <c r="N58" s="84">
        <f t="shared" si="2"/>
        <v>0</v>
      </c>
      <c r="O58" s="85" t="str">
        <f t="shared" si="28"/>
        <v/>
      </c>
      <c r="Q58" s="157"/>
      <c r="R58" s="227"/>
      <c r="S58" s="151"/>
      <c r="T58" s="87"/>
      <c r="U58" s="89"/>
      <c r="V58" s="90"/>
      <c r="W58" s="69"/>
      <c r="X58" s="157"/>
      <c r="Y58" s="227"/>
      <c r="Z58" s="151"/>
      <c r="AA58" s="87"/>
      <c r="AB58" s="89"/>
      <c r="AC58" s="90"/>
      <c r="AD58" s="69"/>
      <c r="AE58" s="157"/>
      <c r="AF58" s="227"/>
      <c r="AG58" s="151"/>
      <c r="AH58" s="87"/>
      <c r="AI58" s="89"/>
      <c r="AJ58" s="90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</row>
    <row r="59" spans="1:49" x14ac:dyDescent="0.25">
      <c r="A59" s="1"/>
      <c r="B59" s="271" t="str">
        <f>IF(Rates!D5=$A$56,Rates!B5," ")</f>
        <v>Commodity</v>
      </c>
      <c r="C59" s="160"/>
      <c r="D59" s="271" t="str">
        <f>IF(Rates!D5=$A$56,Rates!E5," ")</f>
        <v>kWh</v>
      </c>
      <c r="E59" s="161"/>
      <c r="F59" s="235">
        <f>IF(Rates!$J$1="BRT 2018",Rates!J5," ")</f>
        <v>1.8855833333333332E-2</v>
      </c>
      <c r="G59" s="225">
        <f>$F$19*(1+$F$74)</f>
        <v>6629700</v>
      </c>
      <c r="H59" s="148">
        <f t="shared" si="25"/>
        <v>125008.51824999999</v>
      </c>
      <c r="I59" s="166"/>
      <c r="J59" s="147">
        <f t="shared" si="29"/>
        <v>1.8855833333333332E-2</v>
      </c>
      <c r="K59" s="225">
        <f>$F$19*(1+$J$74)</f>
        <v>6629700</v>
      </c>
      <c r="L59" s="148">
        <f t="shared" si="27"/>
        <v>125008.51824999999</v>
      </c>
      <c r="M59" s="166"/>
      <c r="N59" s="84">
        <f t="shared" si="2"/>
        <v>0</v>
      </c>
      <c r="O59" s="85">
        <f>IF(OR(H59=0,L59=0),"",(N59/H59))</f>
        <v>0</v>
      </c>
      <c r="Q59" s="157"/>
      <c r="R59" s="227"/>
      <c r="S59" s="151"/>
      <c r="T59" s="166"/>
      <c r="U59" s="89"/>
      <c r="V59" s="90"/>
      <c r="W59" s="69"/>
      <c r="X59" s="157"/>
      <c r="Y59" s="227"/>
      <c r="Z59" s="151"/>
      <c r="AA59" s="166"/>
      <c r="AB59" s="89"/>
      <c r="AC59" s="90"/>
      <c r="AD59" s="69"/>
      <c r="AE59" s="157"/>
      <c r="AF59" s="227"/>
      <c r="AG59" s="151"/>
      <c r="AH59" s="166"/>
      <c r="AI59" s="89"/>
      <c r="AJ59" s="90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</row>
    <row r="60" spans="1:49" ht="15.75" thickBot="1" x14ac:dyDescent="0.3">
      <c r="A60" s="159"/>
      <c r="B60" s="271" t="str">
        <f>IF(Rates!D6=$A$56,Rates!B6," ")</f>
        <v>Global Adjustment</v>
      </c>
      <c r="C60" s="160"/>
      <c r="D60" s="271" t="str">
        <f>IF(Rates!D6=$A$56,Rates!E6," ")</f>
        <v>kWh</v>
      </c>
      <c r="E60" s="161"/>
      <c r="F60" s="235">
        <f>IF(Rates!$J$1="BRT 2018",Rates!J6," ")</f>
        <v>0.10303000000000001</v>
      </c>
      <c r="G60" s="225">
        <f>$F$19*(1+$F$74)</f>
        <v>6629700</v>
      </c>
      <c r="H60" s="148">
        <f t="shared" si="25"/>
        <v>683057.99100000004</v>
      </c>
      <c r="I60" s="166"/>
      <c r="J60" s="169">
        <f t="shared" si="29"/>
        <v>0.10303000000000001</v>
      </c>
      <c r="K60" s="225">
        <f>$F$19*(1+$J$74)</f>
        <v>6629700</v>
      </c>
      <c r="L60" s="148">
        <f t="shared" si="27"/>
        <v>683057.99100000004</v>
      </c>
      <c r="M60" s="166"/>
      <c r="N60" s="84">
        <f t="shared" si="2"/>
        <v>0</v>
      </c>
      <c r="O60" s="85">
        <f t="shared" si="28"/>
        <v>0</v>
      </c>
      <c r="Q60" s="157"/>
      <c r="R60" s="227"/>
      <c r="S60" s="151"/>
      <c r="T60" s="166"/>
      <c r="U60" s="89"/>
      <c r="V60" s="90"/>
      <c r="W60" s="69"/>
      <c r="X60" s="157"/>
      <c r="Y60" s="227"/>
      <c r="Z60" s="151"/>
      <c r="AA60" s="166"/>
      <c r="AB60" s="89"/>
      <c r="AC60" s="90"/>
      <c r="AD60" s="69"/>
      <c r="AE60" s="157"/>
      <c r="AF60" s="227"/>
      <c r="AG60" s="151"/>
      <c r="AH60" s="166"/>
      <c r="AI60" s="89"/>
      <c r="AJ60" s="90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</row>
    <row r="61" spans="1:49" ht="15.75" thickBot="1" x14ac:dyDescent="0.3">
      <c r="A61" s="159"/>
      <c r="B61" s="211"/>
      <c r="C61" s="212"/>
      <c r="D61" s="213"/>
      <c r="E61" s="212"/>
      <c r="F61" s="266"/>
      <c r="G61" s="214"/>
      <c r="H61" s="267"/>
      <c r="I61" s="87"/>
      <c r="J61" s="266"/>
      <c r="K61" s="216"/>
      <c r="L61" s="267"/>
      <c r="M61" s="87"/>
      <c r="N61" s="217"/>
      <c r="O61" s="205"/>
      <c r="Q61" s="157"/>
      <c r="R61" s="120"/>
      <c r="S61" s="151"/>
      <c r="T61" s="87"/>
      <c r="U61" s="89"/>
      <c r="V61" s="174"/>
      <c r="W61" s="69"/>
      <c r="X61" s="157"/>
      <c r="Y61" s="120"/>
      <c r="Z61" s="151"/>
      <c r="AA61" s="87"/>
      <c r="AB61" s="89"/>
      <c r="AC61" s="174"/>
      <c r="AD61" s="69"/>
      <c r="AE61" s="157"/>
      <c r="AF61" s="120"/>
      <c r="AG61" s="151"/>
      <c r="AH61" s="87"/>
      <c r="AI61" s="89"/>
      <c r="AJ61" s="174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</row>
    <row r="62" spans="1:49" x14ac:dyDescent="0.25">
      <c r="A62" s="159"/>
      <c r="B62" s="175" t="s">
        <v>97</v>
      </c>
      <c r="C62" s="78"/>
      <c r="D62" s="78"/>
      <c r="E62" s="78"/>
      <c r="F62" s="176"/>
      <c r="G62" s="177"/>
      <c r="H62" s="179">
        <f>SUM(H51:H55,H50,H59,,H60,)</f>
        <v>959490.64811231836</v>
      </c>
      <c r="I62" s="146"/>
      <c r="J62" s="178"/>
      <c r="K62" s="178"/>
      <c r="L62" s="179">
        <f>SUM(L51:L55,L50,L59,,L60,)</f>
        <v>1000023.7070167685</v>
      </c>
      <c r="M62" s="146"/>
      <c r="N62" s="179">
        <f>L62-H62</f>
        <v>40533.058904450154</v>
      </c>
      <c r="O62" s="180">
        <f t="shared" si="28"/>
        <v>4.2244350149940532E-2</v>
      </c>
      <c r="Q62" s="181"/>
      <c r="R62" s="181"/>
      <c r="S62" s="121"/>
      <c r="T62" s="146"/>
      <c r="U62" s="89"/>
      <c r="V62" s="90"/>
      <c r="W62" s="69"/>
      <c r="X62" s="181"/>
      <c r="Y62" s="181"/>
      <c r="Z62" s="121"/>
      <c r="AA62" s="146"/>
      <c r="AB62" s="89"/>
      <c r="AC62" s="90"/>
      <c r="AD62" s="69"/>
      <c r="AE62" s="181"/>
      <c r="AF62" s="181"/>
      <c r="AG62" s="121"/>
      <c r="AH62" s="146"/>
      <c r="AI62" s="89"/>
      <c r="AJ62" s="90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</row>
    <row r="63" spans="1:49" x14ac:dyDescent="0.25">
      <c r="A63" s="159"/>
      <c r="B63" s="182" t="s">
        <v>9</v>
      </c>
      <c r="C63" s="78"/>
      <c r="D63" s="78"/>
      <c r="E63" s="78"/>
      <c r="F63" s="183">
        <v>0.13</v>
      </c>
      <c r="G63" s="87"/>
      <c r="H63" s="188">
        <f>H62*F63</f>
        <v>124733.78425460139</v>
      </c>
      <c r="I63" s="187"/>
      <c r="J63" s="185">
        <v>0.13</v>
      </c>
      <c r="K63" s="184"/>
      <c r="L63" s="188">
        <f>L62*J63</f>
        <v>130003.08191217991</v>
      </c>
      <c r="M63" s="187"/>
      <c r="N63" s="188">
        <f>L63-H63</f>
        <v>5269.2976575785287</v>
      </c>
      <c r="O63" s="85">
        <f t="shared" si="28"/>
        <v>4.2244350149940602E-2</v>
      </c>
      <c r="Q63" s="189"/>
      <c r="R63" s="187"/>
      <c r="S63" s="190"/>
      <c r="T63" s="187"/>
      <c r="U63" s="89"/>
      <c r="V63" s="90"/>
      <c r="W63" s="69"/>
      <c r="X63" s="189"/>
      <c r="Y63" s="187"/>
      <c r="Z63" s="190"/>
      <c r="AA63" s="187"/>
      <c r="AB63" s="89"/>
      <c r="AC63" s="90"/>
      <c r="AD63" s="69"/>
      <c r="AE63" s="189"/>
      <c r="AF63" s="187"/>
      <c r="AG63" s="190"/>
      <c r="AH63" s="187"/>
      <c r="AI63" s="89"/>
      <c r="AJ63" s="90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</row>
    <row r="64" spans="1:49" ht="15.75" thickBot="1" x14ac:dyDescent="0.3">
      <c r="A64" s="1"/>
      <c r="B64" s="515" t="s">
        <v>98</v>
      </c>
      <c r="C64" s="515"/>
      <c r="D64" s="515"/>
      <c r="E64" s="192"/>
      <c r="F64" s="218"/>
      <c r="G64" s="219"/>
      <c r="H64" s="222">
        <f>SUM(H62:H63)</f>
        <v>1084224.4323669197</v>
      </c>
      <c r="I64" s="146"/>
      <c r="J64" s="220"/>
      <c r="K64" s="220"/>
      <c r="L64" s="222">
        <f>SUM(L62:L63)</f>
        <v>1130026.7889289483</v>
      </c>
      <c r="M64" s="146"/>
      <c r="N64" s="222">
        <f>L64-H64</f>
        <v>45802.356562028639</v>
      </c>
      <c r="O64" s="197">
        <f t="shared" si="28"/>
        <v>4.2244350149940504E-2</v>
      </c>
      <c r="Q64" s="146"/>
      <c r="R64" s="146"/>
      <c r="S64" s="121"/>
      <c r="T64" s="146"/>
      <c r="U64" s="121"/>
      <c r="V64" s="223"/>
      <c r="W64" s="69"/>
      <c r="X64" s="146"/>
      <c r="Y64" s="146"/>
      <c r="Z64" s="121"/>
      <c r="AA64" s="146"/>
      <c r="AB64" s="121"/>
      <c r="AC64" s="223"/>
      <c r="AD64" s="69"/>
      <c r="AE64" s="146"/>
      <c r="AF64" s="146"/>
      <c r="AG64" s="121"/>
      <c r="AH64" s="146"/>
      <c r="AI64" s="121"/>
      <c r="AJ64" s="223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</row>
    <row r="65" spans="1:49" ht="15.75" thickBot="1" x14ac:dyDescent="0.3">
      <c r="A65" s="1"/>
      <c r="B65" s="198"/>
      <c r="C65" s="199"/>
      <c r="D65" s="200"/>
      <c r="E65" s="199"/>
      <c r="F65" s="266"/>
      <c r="G65" s="201"/>
      <c r="H65" s="267"/>
      <c r="I65" s="166"/>
      <c r="J65" s="266"/>
      <c r="K65" s="203"/>
      <c r="L65" s="267"/>
      <c r="M65" s="166"/>
      <c r="N65" s="204"/>
      <c r="O65" s="205"/>
      <c r="Q65" s="157"/>
      <c r="R65" s="206"/>
      <c r="S65" s="151"/>
      <c r="T65" s="166"/>
      <c r="U65" s="207"/>
      <c r="V65" s="174"/>
      <c r="W65" s="69"/>
      <c r="X65" s="157"/>
      <c r="Y65" s="206"/>
      <c r="Z65" s="151"/>
      <c r="AA65" s="166"/>
      <c r="AB65" s="207"/>
      <c r="AC65" s="174"/>
      <c r="AD65" s="69"/>
      <c r="AE65" s="157"/>
      <c r="AF65" s="206"/>
      <c r="AG65" s="151"/>
      <c r="AH65" s="166"/>
      <c r="AI65" s="207"/>
      <c r="AJ65" s="174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</row>
    <row r="66" spans="1:49" x14ac:dyDescent="0.25">
      <c r="A66" s="1"/>
      <c r="B66" s="236" t="s">
        <v>99</v>
      </c>
      <c r="C66" s="160"/>
      <c r="D66" s="160"/>
      <c r="E66" s="160"/>
      <c r="F66" s="237"/>
      <c r="G66" s="238"/>
      <c r="H66" s="241">
        <f>IF($G$56&gt;0,SUM(H50,H51:H58),0)</f>
        <v>0</v>
      </c>
      <c r="I66" s="240"/>
      <c r="J66" s="239"/>
      <c r="K66" s="239"/>
      <c r="L66" s="241">
        <f>IF($K$56&gt;0,SUM(L50,L51:L58),0)</f>
        <v>0</v>
      </c>
      <c r="M66" s="240"/>
      <c r="N66" s="241">
        <f t="shared" ref="N66:N71" si="30">L66-H66</f>
        <v>0</v>
      </c>
      <c r="O66" s="180" t="str">
        <f t="shared" si="28"/>
        <v/>
      </c>
      <c r="Q66" s="242"/>
      <c r="R66" s="242"/>
      <c r="S66" s="243"/>
      <c r="T66" s="240"/>
      <c r="U66" s="89"/>
      <c r="V66" s="90"/>
      <c r="W66" s="69"/>
      <c r="X66" s="242"/>
      <c r="Y66" s="242"/>
      <c r="Z66" s="243"/>
      <c r="AA66" s="240"/>
      <c r="AB66" s="89"/>
      <c r="AC66" s="90"/>
      <c r="AD66" s="69"/>
      <c r="AE66" s="242"/>
      <c r="AF66" s="242"/>
      <c r="AG66" s="243"/>
      <c r="AH66" s="240"/>
      <c r="AI66" s="89"/>
      <c r="AJ66" s="90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</row>
    <row r="67" spans="1:49" x14ac:dyDescent="0.25">
      <c r="A67" s="1"/>
      <c r="B67" s="244" t="s">
        <v>9</v>
      </c>
      <c r="C67" s="160"/>
      <c r="D67" s="160"/>
      <c r="E67" s="160"/>
      <c r="F67" s="245">
        <v>0.13</v>
      </c>
      <c r="G67" s="238"/>
      <c r="H67" s="250">
        <f>$H$66*F67</f>
        <v>0</v>
      </c>
      <c r="I67" s="249"/>
      <c r="J67" s="247">
        <v>0.13</v>
      </c>
      <c r="K67" s="248"/>
      <c r="L67" s="250">
        <f>$L$66*J67</f>
        <v>0</v>
      </c>
      <c r="M67" s="249"/>
      <c r="N67" s="250">
        <f t="shared" si="30"/>
        <v>0</v>
      </c>
      <c r="O67" s="85" t="str">
        <f t="shared" si="28"/>
        <v/>
      </c>
      <c r="Q67" s="251"/>
      <c r="R67" s="252"/>
      <c r="S67" s="253"/>
      <c r="T67" s="249"/>
      <c r="U67" s="89"/>
      <c r="V67" s="90"/>
      <c r="W67" s="69"/>
      <c r="X67" s="251"/>
      <c r="Y67" s="252"/>
      <c r="Z67" s="253"/>
      <c r="AA67" s="249"/>
      <c r="AB67" s="89"/>
      <c r="AC67" s="90"/>
      <c r="AD67" s="69"/>
      <c r="AE67" s="251"/>
      <c r="AF67" s="252"/>
      <c r="AG67" s="253"/>
      <c r="AH67" s="249"/>
      <c r="AI67" s="89"/>
      <c r="AJ67" s="90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</row>
    <row r="68" spans="1:49" x14ac:dyDescent="0.25">
      <c r="A68" s="1"/>
      <c r="B68" s="182" t="s">
        <v>106</v>
      </c>
      <c r="C68" s="78"/>
      <c r="D68" s="78"/>
      <c r="E68" s="78"/>
      <c r="F68" s="183">
        <v>-0.05</v>
      </c>
      <c r="G68" s="87"/>
      <c r="H68" s="188">
        <f>$H$66*F68</f>
        <v>0</v>
      </c>
      <c r="I68" s="187"/>
      <c r="J68" s="183">
        <v>-0.05</v>
      </c>
      <c r="K68" s="184"/>
      <c r="L68" s="188">
        <f>$L$66*J68</f>
        <v>0</v>
      </c>
      <c r="M68" s="187"/>
      <c r="N68" s="188">
        <f t="shared" si="30"/>
        <v>0</v>
      </c>
      <c r="O68" s="85" t="str">
        <f t="shared" si="28"/>
        <v/>
      </c>
      <c r="Q68" s="189"/>
      <c r="R68" s="187"/>
      <c r="S68" s="190"/>
      <c r="T68" s="187"/>
      <c r="U68" s="89"/>
      <c r="V68" s="90"/>
      <c r="W68" s="69"/>
      <c r="X68" s="189"/>
      <c r="Y68" s="187"/>
      <c r="Z68" s="253"/>
      <c r="AA68" s="249"/>
      <c r="AB68" s="89"/>
      <c r="AC68" s="90"/>
      <c r="AD68" s="69"/>
      <c r="AE68" s="251"/>
      <c r="AF68" s="252"/>
      <c r="AG68" s="253"/>
      <c r="AH68" s="249"/>
      <c r="AI68" s="89"/>
      <c r="AJ68" s="90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</row>
    <row r="69" spans="1:49" x14ac:dyDescent="0.25">
      <c r="A69" s="159"/>
      <c r="B69" s="254" t="s">
        <v>100</v>
      </c>
      <c r="C69" s="160"/>
      <c r="D69" s="160"/>
      <c r="E69" s="160"/>
      <c r="F69" s="255"/>
      <c r="G69" s="166"/>
      <c r="H69" s="250">
        <f>SUM(H66:H68)</f>
        <v>0</v>
      </c>
      <c r="I69" s="249"/>
      <c r="J69" s="246"/>
      <c r="K69" s="246"/>
      <c r="L69" s="250">
        <f>SUM(L66:L68)</f>
        <v>0</v>
      </c>
      <c r="M69" s="249"/>
      <c r="N69" s="250">
        <f t="shared" si="30"/>
        <v>0</v>
      </c>
      <c r="O69" s="85" t="str">
        <f t="shared" si="28"/>
        <v/>
      </c>
      <c r="Q69" s="249"/>
      <c r="R69" s="249"/>
      <c r="S69" s="253"/>
      <c r="T69" s="249"/>
      <c r="U69" s="89"/>
      <c r="V69" s="90"/>
      <c r="W69" s="69"/>
      <c r="X69" s="249"/>
      <c r="Y69" s="249"/>
      <c r="Z69" s="253"/>
      <c r="AA69" s="249"/>
      <c r="AB69" s="89"/>
      <c r="AC69" s="90"/>
      <c r="AD69" s="69"/>
      <c r="AE69" s="249"/>
      <c r="AF69" s="249"/>
      <c r="AG69" s="253"/>
      <c r="AH69" s="249"/>
      <c r="AI69" s="89"/>
      <c r="AJ69" s="90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</row>
    <row r="70" spans="1:49" x14ac:dyDescent="0.25">
      <c r="A70" s="159"/>
      <c r="B70" s="516" t="s">
        <v>101</v>
      </c>
      <c r="C70" s="516"/>
      <c r="D70" s="516"/>
      <c r="E70" s="160"/>
      <c r="F70" s="255"/>
      <c r="G70" s="166"/>
      <c r="H70" s="256">
        <f>ROUND(-H69*0%,2)</f>
        <v>0</v>
      </c>
      <c r="I70" s="249"/>
      <c r="J70" s="246"/>
      <c r="K70" s="246"/>
      <c r="L70" s="256">
        <f>ROUND(-L69*0%,2)</f>
        <v>0</v>
      </c>
      <c r="M70" s="249"/>
      <c r="N70" s="256">
        <f t="shared" si="30"/>
        <v>0</v>
      </c>
      <c r="O70" s="257" t="str">
        <f>IF(OR(H70=0,L70=0),"",(N70/H70))</f>
        <v/>
      </c>
      <c r="Q70" s="249"/>
      <c r="R70" s="249"/>
      <c r="S70" s="258"/>
      <c r="T70" s="249"/>
      <c r="U70" s="259"/>
      <c r="V70" s="90"/>
      <c r="W70" s="69"/>
      <c r="X70" s="249"/>
      <c r="Y70" s="249"/>
      <c r="Z70" s="258"/>
      <c r="AA70" s="249"/>
      <c r="AB70" s="259"/>
      <c r="AC70" s="90"/>
      <c r="AD70" s="69"/>
      <c r="AE70" s="249"/>
      <c r="AF70" s="249"/>
      <c r="AG70" s="258"/>
      <c r="AH70" s="249"/>
      <c r="AI70" s="259"/>
      <c r="AJ70" s="90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</row>
    <row r="71" spans="1:49" ht="15.75" thickBot="1" x14ac:dyDescent="0.3">
      <c r="A71" s="159"/>
      <c r="B71" s="513" t="s">
        <v>102</v>
      </c>
      <c r="C71" s="513"/>
      <c r="D71" s="513"/>
      <c r="E71" s="260"/>
      <c r="F71" s="261"/>
      <c r="G71" s="262"/>
      <c r="H71" s="265">
        <f>SUM(H69:H70)</f>
        <v>0</v>
      </c>
      <c r="I71" s="240"/>
      <c r="J71" s="263"/>
      <c r="K71" s="263"/>
      <c r="L71" s="265">
        <f>SUM(L69:L70)</f>
        <v>0</v>
      </c>
      <c r="M71" s="240"/>
      <c r="N71" s="265">
        <f t="shared" si="30"/>
        <v>0</v>
      </c>
      <c r="O71" s="197" t="str">
        <f t="shared" si="28"/>
        <v/>
      </c>
      <c r="Q71" s="240"/>
      <c r="R71" s="240"/>
      <c r="S71" s="243"/>
      <c r="T71" s="240"/>
      <c r="U71" s="121"/>
      <c r="V71" s="223"/>
      <c r="W71" s="69"/>
      <c r="X71" s="240"/>
      <c r="Y71" s="240"/>
      <c r="Z71" s="243"/>
      <c r="AA71" s="240"/>
      <c r="AB71" s="121"/>
      <c r="AC71" s="223"/>
      <c r="AD71" s="69"/>
      <c r="AE71" s="240"/>
      <c r="AF71" s="240"/>
      <c r="AG71" s="243"/>
      <c r="AH71" s="240"/>
      <c r="AI71" s="121"/>
      <c r="AJ71" s="223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</row>
    <row r="72" spans="1:49" ht="15.75" thickBot="1" x14ac:dyDescent="0.3">
      <c r="A72" s="159"/>
      <c r="B72" s="198"/>
      <c r="C72" s="199"/>
      <c r="D72" s="200"/>
      <c r="E72" s="199"/>
      <c r="F72" s="390"/>
      <c r="G72" s="400"/>
      <c r="H72" s="401"/>
      <c r="I72" s="166"/>
      <c r="J72" s="390"/>
      <c r="K72" s="391"/>
      <c r="L72" s="392"/>
      <c r="M72" s="166"/>
      <c r="N72" s="268"/>
      <c r="O72" s="205"/>
      <c r="Q72" s="157"/>
      <c r="R72" s="206"/>
      <c r="S72" s="151"/>
      <c r="T72" s="166"/>
      <c r="U72" s="207"/>
      <c r="V72" s="174"/>
      <c r="W72" s="69"/>
      <c r="X72" s="157"/>
      <c r="Y72" s="206"/>
      <c r="Z72" s="151"/>
      <c r="AA72" s="166"/>
      <c r="AB72" s="207"/>
      <c r="AC72" s="174"/>
      <c r="AD72" s="69"/>
      <c r="AE72" s="157"/>
      <c r="AF72" s="206"/>
      <c r="AG72" s="151"/>
      <c r="AH72" s="166"/>
      <c r="AI72" s="207"/>
      <c r="AJ72" s="174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</row>
    <row r="73" spans="1:49" x14ac:dyDescent="0.25">
      <c r="A73" s="159"/>
      <c r="B73" s="1"/>
      <c r="C73" s="1"/>
      <c r="D73" s="1"/>
      <c r="E73" s="1"/>
      <c r="F73" s="1"/>
      <c r="G73" s="1"/>
      <c r="H73" s="67"/>
      <c r="I73" s="1"/>
      <c r="J73" s="1"/>
      <c r="K73" s="1"/>
      <c r="L73" s="67"/>
      <c r="M73" s="1"/>
      <c r="N73" s="1"/>
      <c r="O73" s="1"/>
      <c r="Q73" s="2"/>
      <c r="R73" s="2"/>
      <c r="S73" s="208"/>
      <c r="T73" s="2"/>
      <c r="U73" s="2"/>
      <c r="V73" s="2"/>
      <c r="W73" s="69"/>
      <c r="X73" s="2"/>
      <c r="Y73" s="2"/>
      <c r="Z73" s="208"/>
      <c r="AA73" s="2"/>
      <c r="AB73" s="2"/>
      <c r="AC73" s="2"/>
      <c r="AD73" s="69"/>
      <c r="AE73" s="2"/>
      <c r="AF73" s="2"/>
      <c r="AG73" s="208"/>
      <c r="AH73" s="2"/>
      <c r="AI73" s="2"/>
      <c r="AJ73" s="2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</row>
    <row r="74" spans="1:49" x14ac:dyDescent="0.25">
      <c r="A74" s="159"/>
      <c r="B74" s="65" t="s">
        <v>10</v>
      </c>
      <c r="C74" s="1"/>
      <c r="D74" s="1"/>
      <c r="E74" s="1"/>
      <c r="F74" s="209">
        <f>Rates!$R$4-1</f>
        <v>4.4999999999999485E-3</v>
      </c>
      <c r="G74" s="1"/>
      <c r="H74" s="1"/>
      <c r="I74" s="1"/>
      <c r="J74" s="209">
        <f>Rates!$T$4-1</f>
        <v>4.4999999999999485E-3</v>
      </c>
      <c r="K74" s="1"/>
      <c r="L74" s="67"/>
      <c r="M74" s="1"/>
      <c r="N74" s="1"/>
      <c r="O74" s="1"/>
      <c r="Q74" s="210"/>
      <c r="R74" s="2"/>
      <c r="S74" s="2"/>
      <c r="T74" s="2"/>
      <c r="U74" s="2"/>
      <c r="V74" s="2"/>
      <c r="W74" s="69"/>
      <c r="X74" s="210"/>
      <c r="Y74" s="2"/>
      <c r="Z74" s="2"/>
      <c r="AA74" s="2"/>
      <c r="AB74" s="2"/>
      <c r="AC74" s="2"/>
      <c r="AD74" s="69"/>
      <c r="AE74" s="210"/>
      <c r="AF74" s="2"/>
      <c r="AG74" s="2"/>
      <c r="AH74" s="2"/>
      <c r="AI74" s="2"/>
      <c r="AJ74" s="2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</row>
    <row r="75" spans="1:49" x14ac:dyDescent="0.25">
      <c r="A75" s="15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49" x14ac:dyDescent="0.25">
      <c r="A79" s="1" t="s">
        <v>84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49" x14ac:dyDescent="0.25">
      <c r="A80" s="1" t="s">
        <v>85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25">
      <c r="A82" s="64" t="s">
        <v>86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5">
      <c r="A83" s="64" t="s">
        <v>87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25">
      <c r="A85" s="1" t="s">
        <v>88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25">
      <c r="A86" s="1" t="s">
        <v>89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25">
      <c r="A87" s="1" t="s">
        <v>90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25">
      <c r="A88" s="1" t="s">
        <v>91</v>
      </c>
      <c r="B88" s="1" t="s">
        <v>93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25">
      <c r="A89" s="1" t="s">
        <v>92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</sheetData>
  <mergeCells count="24">
    <mergeCell ref="AI20:AJ20"/>
    <mergeCell ref="A3:K3"/>
    <mergeCell ref="B10:O10"/>
    <mergeCell ref="B11:O11"/>
    <mergeCell ref="D14:O14"/>
    <mergeCell ref="F20:H20"/>
    <mergeCell ref="J20:L20"/>
    <mergeCell ref="N20:O20"/>
    <mergeCell ref="Q20:S20"/>
    <mergeCell ref="U20:V20"/>
    <mergeCell ref="X20:Z20"/>
    <mergeCell ref="AB20:AC20"/>
    <mergeCell ref="AE20:AG20"/>
    <mergeCell ref="AI21:AI22"/>
    <mergeCell ref="AJ21:AJ22"/>
    <mergeCell ref="B64:D64"/>
    <mergeCell ref="B70:D70"/>
    <mergeCell ref="B71:D71"/>
    <mergeCell ref="N21:N22"/>
    <mergeCell ref="O21:O22"/>
    <mergeCell ref="U21:U22"/>
    <mergeCell ref="V21:V22"/>
    <mergeCell ref="AB21:AB22"/>
    <mergeCell ref="AC21:AC22"/>
  </mergeCells>
  <dataValidations count="4">
    <dataValidation type="list" allowBlank="1" showInputMessage="1" showErrorMessage="1" sqref="E23:E35">
      <formula1>#REF!</formula1>
    </dataValidation>
    <dataValidation type="list" allowBlank="1" showInputMessage="1" showErrorMessage="1" sqref="E48:E49 E72 E65 E51:E61 E37:E46">
      <formula1>#REF!</formula1>
    </dataValidation>
    <dataValidation type="list" allowBlank="1" showInputMessage="1" showErrorMessage="1" prompt="Select Charge Unit - monthly, per kWh, per kW" sqref="D72 D61 D65">
      <formula1>"Monthly, per kWh, per kW"</formula1>
    </dataValidation>
    <dataValidation type="list" allowBlank="1" showInputMessage="1" showErrorMessage="1" sqref="D16">
      <formula1>"TOU, non-TOU"</formula1>
    </dataValidation>
  </dataValidations>
  <printOptions horizontalCentered="1"/>
  <pageMargins left="0.3" right="0.35" top="0.92" bottom="0.7" header="0.56999999999999995" footer="0.41"/>
  <pageSetup paperSize="3" scale="60" fitToHeight="0" orientation="landscape" r:id="rId1"/>
  <headerFooter>
    <oddFooter>&amp;C&amp;A</oddFooter>
  </headerFooter>
  <ignoredErrors>
    <ignoredError sqref="J37:J45 J23:J3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2099" r:id="rId4" name="Option Button 3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476250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0" r:id="rId5" name="Option Button 4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152400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1" r:id="rId6" name="Option Button 5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476250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2" r:id="rId7" name="Option Button 6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152400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3" r:id="rId8" name="Option Button 7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476250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4" r:id="rId9" name="Option Button 8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152400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5" r:id="rId10" name="Option Button 9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476250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6" r:id="rId11" name="Option Button 10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152400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7" r:id="rId12" name="Option Button 11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476250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8" r:id="rId13" name="Option Button 12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152400</xdr:colOff>
                    <xdr:row>90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A1:AW89"/>
  <sheetViews>
    <sheetView showGridLines="0" topLeftCell="B16" zoomScale="80" zoomScaleNormal="80" workbookViewId="0">
      <selection activeCell="J25" sqref="J25"/>
    </sheetView>
  </sheetViews>
  <sheetFormatPr defaultColWidth="9.140625" defaultRowHeight="15" x14ac:dyDescent="0.25"/>
  <cols>
    <col min="1" max="1" width="48.28515625" customWidth="1"/>
    <col min="2" max="2" width="122" customWidth="1"/>
    <col min="3" max="3" width="1.5703125" customWidth="1"/>
    <col min="4" max="4" width="12.42578125" customWidth="1"/>
    <col min="5" max="5" width="1.7109375" customWidth="1"/>
    <col min="6" max="6" width="12" customWidth="1"/>
    <col min="7" max="7" width="11.7109375" customWidth="1"/>
    <col min="8" max="8" width="16.42578125" customWidth="1"/>
    <col min="9" max="9" width="1.28515625" customWidth="1"/>
    <col min="10" max="10" width="12.28515625" customWidth="1"/>
    <col min="11" max="11" width="10.5703125" customWidth="1"/>
    <col min="12" max="12" width="16.28515625" customWidth="1"/>
    <col min="13" max="13" width="1" customWidth="1"/>
    <col min="14" max="14" width="14.7109375" customWidth="1"/>
    <col min="15" max="15" width="10.5703125" customWidth="1"/>
    <col min="16" max="16" width="1.42578125" customWidth="1"/>
    <col min="17" max="17" width="1.7109375" customWidth="1"/>
    <col min="18" max="18" width="9.42578125" customWidth="1"/>
    <col min="19" max="19" width="12.5703125" customWidth="1"/>
    <col min="20" max="20" width="1.28515625" customWidth="1"/>
    <col min="21" max="21" width="10.85546875" customWidth="1"/>
    <col min="22" max="22" width="10.140625" customWidth="1"/>
    <col min="23" max="23" width="1.28515625" customWidth="1"/>
    <col min="24" max="24" width="11" customWidth="1"/>
    <col min="25" max="25" width="9.5703125" customWidth="1"/>
    <col min="26" max="26" width="12.42578125" customWidth="1"/>
    <col min="27" max="27" width="1.28515625" customWidth="1"/>
    <col min="28" max="28" width="10" customWidth="1"/>
    <col min="30" max="30" width="0.85546875" customWidth="1"/>
    <col min="31" max="31" width="11.140625" customWidth="1"/>
    <col min="32" max="32" width="9.5703125" customWidth="1"/>
    <col min="33" max="33" width="12.42578125" customWidth="1"/>
    <col min="34" max="34" width="1.140625" customWidth="1"/>
    <col min="35" max="35" width="10.42578125" customWidth="1"/>
    <col min="37" max="37" width="0.85546875" customWidth="1"/>
  </cols>
  <sheetData>
    <row r="1" spans="1:21" ht="21.75" x14ac:dyDescent="0.25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0"/>
      <c r="M1" s="50"/>
      <c r="N1" s="52" t="s">
        <v>68</v>
      </c>
      <c r="O1" s="53">
        <v>0</v>
      </c>
      <c r="T1">
        <v>1</v>
      </c>
      <c r="U1">
        <v>2</v>
      </c>
    </row>
    <row r="2" spans="1:21" ht="18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0"/>
      <c r="M2" s="50"/>
      <c r="N2" s="52" t="s">
        <v>69</v>
      </c>
      <c r="O2" s="55"/>
    </row>
    <row r="3" spans="1:21" ht="18" x14ac:dyDescent="0.25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"/>
      <c r="M3" s="50"/>
      <c r="N3" s="52" t="s">
        <v>70</v>
      </c>
      <c r="O3" s="55"/>
    </row>
    <row r="4" spans="1:21" ht="18" x14ac:dyDescent="0.25">
      <c r="A4" s="54"/>
      <c r="B4" s="54"/>
      <c r="C4" s="54"/>
      <c r="D4" s="54"/>
      <c r="E4" s="54"/>
      <c r="F4" s="54"/>
      <c r="G4" s="54"/>
      <c r="H4" s="54"/>
      <c r="I4" s="56"/>
      <c r="J4" s="56"/>
      <c r="K4" s="56"/>
      <c r="L4" s="50"/>
      <c r="M4" s="50"/>
      <c r="N4" s="52" t="s">
        <v>71</v>
      </c>
      <c r="O4" s="55"/>
    </row>
    <row r="5" spans="1:21" ht="15.75" x14ac:dyDescent="0.25">
      <c r="A5" s="50"/>
      <c r="B5" s="50"/>
      <c r="C5" s="57"/>
      <c r="D5" s="57"/>
      <c r="E5" s="57"/>
      <c r="F5" s="50"/>
      <c r="G5" s="50"/>
      <c r="H5" s="50"/>
      <c r="I5" s="50"/>
      <c r="J5" s="50"/>
      <c r="K5" s="50"/>
      <c r="L5" s="50"/>
      <c r="M5" s="50"/>
      <c r="N5" s="52" t="s">
        <v>72</v>
      </c>
      <c r="O5" s="58"/>
    </row>
    <row r="6" spans="1:2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2"/>
      <c r="O6" s="53"/>
    </row>
    <row r="7" spans="1:2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2" t="s">
        <v>73</v>
      </c>
      <c r="O7" s="58"/>
    </row>
    <row r="8" spans="1:21" x14ac:dyDescent="0.25">
      <c r="A8" s="5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1" ht="18" x14ac:dyDescent="0.25">
      <c r="A10" s="1"/>
      <c r="B10" s="508" t="s">
        <v>74</v>
      </c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508"/>
      <c r="N10" s="508"/>
      <c r="O10" s="508"/>
    </row>
    <row r="11" spans="1:21" ht="18" x14ac:dyDescent="0.25">
      <c r="A11" s="1"/>
      <c r="B11" s="508" t="s">
        <v>75</v>
      </c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1" ht="15.75" x14ac:dyDescent="0.25">
      <c r="A14" s="1"/>
      <c r="B14" s="60" t="s">
        <v>0</v>
      </c>
      <c r="C14" s="1"/>
      <c r="D14" s="509" t="s">
        <v>122</v>
      </c>
      <c r="E14" s="509"/>
      <c r="F14" s="509"/>
      <c r="G14" s="509"/>
      <c r="H14" s="509"/>
      <c r="I14" s="509"/>
      <c r="J14" s="509"/>
      <c r="K14" s="509"/>
      <c r="L14" s="509"/>
      <c r="M14" s="509"/>
      <c r="N14" s="509"/>
      <c r="O14" s="509"/>
    </row>
    <row r="15" spans="1:21" ht="15.75" x14ac:dyDescent="0.25">
      <c r="A15" s="1"/>
      <c r="B15" s="61"/>
      <c r="C15" s="1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pans="1:21" ht="15.75" x14ac:dyDescent="0.25">
      <c r="A16" s="1"/>
      <c r="B16" s="60" t="s">
        <v>76</v>
      </c>
      <c r="C16" s="1"/>
      <c r="D16" s="63" t="s">
        <v>94</v>
      </c>
      <c r="E16" s="62"/>
      <c r="F16" s="228" t="s">
        <v>95</v>
      </c>
      <c r="G16" s="62"/>
      <c r="H16" s="62"/>
      <c r="I16" s="62"/>
      <c r="J16" s="62"/>
      <c r="K16" s="62"/>
      <c r="L16" s="62"/>
      <c r="M16" s="62"/>
      <c r="N16" s="62"/>
      <c r="O16" s="62"/>
    </row>
    <row r="17" spans="1:49" ht="15.75" x14ac:dyDescent="0.25">
      <c r="A17" s="1"/>
      <c r="B17" s="61"/>
      <c r="C17" s="1"/>
      <c r="D17" s="62"/>
      <c r="E17" s="62"/>
      <c r="F17" s="229">
        <f>ROUND(+F18*0.9,0)</f>
        <v>8280</v>
      </c>
      <c r="G17" s="230" t="s">
        <v>96</v>
      </c>
      <c r="H17" s="231"/>
      <c r="I17" s="62"/>
      <c r="J17" s="62"/>
      <c r="K17" s="62"/>
      <c r="L17" s="62"/>
      <c r="M17" s="62"/>
      <c r="N17" s="62"/>
      <c r="O17" s="62"/>
    </row>
    <row r="18" spans="1:49" x14ac:dyDescent="0.25">
      <c r="A18" s="1"/>
      <c r="B18" s="64"/>
      <c r="C18" s="1"/>
      <c r="D18" s="65"/>
      <c r="E18" s="65"/>
      <c r="F18" s="229">
        <v>9200</v>
      </c>
      <c r="G18" s="65" t="s">
        <v>113</v>
      </c>
      <c r="H18" s="1"/>
      <c r="I18" s="1"/>
      <c r="J18" s="1"/>
      <c r="K18" s="1"/>
      <c r="L18" s="1"/>
      <c r="M18" s="1"/>
      <c r="N18" s="1"/>
      <c r="O18" s="1"/>
    </row>
    <row r="19" spans="1:49" x14ac:dyDescent="0.25">
      <c r="A19" s="1"/>
      <c r="B19" s="64"/>
      <c r="C19" s="1"/>
      <c r="D19" s="65" t="s">
        <v>1</v>
      </c>
      <c r="E19" s="1"/>
      <c r="F19" s="232">
        <v>0</v>
      </c>
      <c r="G19" s="230" t="s">
        <v>78</v>
      </c>
      <c r="H19" s="67"/>
      <c r="I19" s="1"/>
      <c r="J19" s="67"/>
      <c r="K19" s="233"/>
      <c r="L19" s="67"/>
      <c r="M19" s="1"/>
      <c r="N19" s="233"/>
      <c r="O19" s="1"/>
      <c r="S19" s="234"/>
    </row>
    <row r="20" spans="1:49" x14ac:dyDescent="0.25">
      <c r="A20" s="1"/>
      <c r="B20" s="64"/>
      <c r="C20" s="1"/>
      <c r="D20" s="68"/>
      <c r="E20" s="68"/>
      <c r="F20" s="510" t="s">
        <v>105</v>
      </c>
      <c r="G20" s="511"/>
      <c r="H20" s="512"/>
      <c r="I20" s="2"/>
      <c r="J20" s="510" t="s">
        <v>104</v>
      </c>
      <c r="K20" s="511"/>
      <c r="L20" s="512"/>
      <c r="M20" s="2"/>
      <c r="N20" s="510" t="s">
        <v>61</v>
      </c>
      <c r="O20" s="512"/>
      <c r="Q20" s="506"/>
      <c r="R20" s="506"/>
      <c r="S20" s="506"/>
      <c r="T20" s="2"/>
      <c r="U20" s="506"/>
      <c r="V20" s="506"/>
      <c r="W20" s="69"/>
      <c r="X20" s="506"/>
      <c r="Y20" s="506"/>
      <c r="Z20" s="506"/>
      <c r="AA20" s="2"/>
      <c r="AB20" s="506"/>
      <c r="AC20" s="506"/>
      <c r="AD20" s="69"/>
      <c r="AE20" s="506"/>
      <c r="AF20" s="506"/>
      <c r="AG20" s="506"/>
      <c r="AH20" s="2"/>
      <c r="AI20" s="506"/>
      <c r="AJ20" s="506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</row>
    <row r="21" spans="1:49" ht="15" customHeight="1" x14ac:dyDescent="0.25">
      <c r="A21" s="1"/>
      <c r="B21" s="64"/>
      <c r="C21" s="1"/>
      <c r="D21" s="1"/>
      <c r="E21" s="70"/>
      <c r="F21" s="71" t="s">
        <v>2</v>
      </c>
      <c r="G21" s="71" t="s">
        <v>3</v>
      </c>
      <c r="H21" s="72" t="s">
        <v>4</v>
      </c>
      <c r="I21" s="2"/>
      <c r="J21" s="71" t="s">
        <v>2</v>
      </c>
      <c r="K21" s="73" t="s">
        <v>3</v>
      </c>
      <c r="L21" s="72" t="s">
        <v>4</v>
      </c>
      <c r="M21" s="2"/>
      <c r="N21" s="502" t="s">
        <v>62</v>
      </c>
      <c r="O21" s="504" t="s">
        <v>63</v>
      </c>
      <c r="Q21" s="270"/>
      <c r="R21" s="270"/>
      <c r="S21" s="270"/>
      <c r="T21" s="2"/>
      <c r="U21" s="501"/>
      <c r="V21" s="501"/>
      <c r="W21" s="69"/>
      <c r="X21" s="270"/>
      <c r="Y21" s="270"/>
      <c r="Z21" s="270"/>
      <c r="AA21" s="2"/>
      <c r="AB21" s="501"/>
      <c r="AC21" s="501"/>
      <c r="AD21" s="69"/>
      <c r="AE21" s="270"/>
      <c r="AF21" s="270"/>
      <c r="AG21" s="270"/>
      <c r="AH21" s="2"/>
      <c r="AI21" s="501"/>
      <c r="AJ21" s="501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</row>
    <row r="22" spans="1:49" x14ac:dyDescent="0.25">
      <c r="A22" s="1"/>
      <c r="B22" s="64"/>
      <c r="C22" s="1"/>
      <c r="D22" s="1"/>
      <c r="E22" s="70"/>
      <c r="F22" s="75" t="s">
        <v>79</v>
      </c>
      <c r="G22" s="75"/>
      <c r="H22" s="76" t="s">
        <v>79</v>
      </c>
      <c r="I22" s="2"/>
      <c r="J22" s="75" t="s">
        <v>79</v>
      </c>
      <c r="K22" s="76"/>
      <c r="L22" s="76" t="s">
        <v>79</v>
      </c>
      <c r="M22" s="2"/>
      <c r="N22" s="503"/>
      <c r="O22" s="505"/>
      <c r="Q22" s="77"/>
      <c r="R22" s="77"/>
      <c r="S22" s="77"/>
      <c r="T22" s="2"/>
      <c r="U22" s="514"/>
      <c r="V22" s="514"/>
      <c r="W22" s="69"/>
      <c r="X22" s="77"/>
      <c r="Y22" s="77"/>
      <c r="Z22" s="77"/>
      <c r="AA22" s="2"/>
      <c r="AB22" s="514"/>
      <c r="AC22" s="514"/>
      <c r="AD22" s="69"/>
      <c r="AE22" s="77"/>
      <c r="AF22" s="77"/>
      <c r="AG22" s="77"/>
      <c r="AH22" s="2"/>
      <c r="AI22" s="514"/>
      <c r="AJ22" s="514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</row>
    <row r="23" spans="1:49" x14ac:dyDescent="0.25">
      <c r="A23" s="7" t="s">
        <v>15</v>
      </c>
      <c r="B23" s="271" t="str">
        <f>IF(Rates!D100=$A$23,Rates!B100," ")</f>
        <v>Service Charge</v>
      </c>
      <c r="C23" s="78"/>
      <c r="D23" s="271" t="str">
        <f>IF(Rates!D100=$A$23,Rates!E100," ")</f>
        <v>customer</v>
      </c>
      <c r="E23" s="79"/>
      <c r="F23" s="80">
        <f>IF(Rates!$G$1="CND 2018",Rates!G100," ")</f>
        <v>0</v>
      </c>
      <c r="G23" s="439">
        <f>IF(D23="customer",1,IF(D23="kWh",$F$19,$F$17))</f>
        <v>1</v>
      </c>
      <c r="H23" s="82">
        <f t="shared" ref="H23:H35" si="0">G23*F23</f>
        <v>0</v>
      </c>
      <c r="I23" s="87"/>
      <c r="J23" s="469">
        <f>IF(Rates!$L$1="E+ 2019",Rates!L100," ")</f>
        <v>0</v>
      </c>
      <c r="K23" s="108">
        <f>IF(D23="customer",1,IF(D23="kWh",$F$19,$F$17))</f>
        <v>1</v>
      </c>
      <c r="L23" s="82">
        <f t="shared" ref="L23:L44" si="1">K23*J23</f>
        <v>0</v>
      </c>
      <c r="M23" s="87"/>
      <c r="N23" s="84">
        <f t="shared" ref="N23:N60" si="2">L23-H23</f>
        <v>0</v>
      </c>
      <c r="O23" s="85" t="str">
        <f>IF(OR(H23=0,L23=0),"",(N23/H23))</f>
        <v/>
      </c>
      <c r="Q23" s="86"/>
      <c r="R23" s="87"/>
      <c r="S23" s="88"/>
      <c r="T23" s="87"/>
      <c r="U23" s="89"/>
      <c r="V23" s="90"/>
      <c r="W23" s="69"/>
      <c r="X23" s="86"/>
      <c r="Y23" s="87"/>
      <c r="Z23" s="88"/>
      <c r="AA23" s="87"/>
      <c r="AB23" s="89"/>
      <c r="AC23" s="90"/>
      <c r="AD23" s="69"/>
      <c r="AE23" s="86"/>
      <c r="AF23" s="87"/>
      <c r="AG23" s="88"/>
      <c r="AH23" s="87"/>
      <c r="AI23" s="89"/>
      <c r="AJ23" s="90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</row>
    <row r="24" spans="1:49" x14ac:dyDescent="0.25">
      <c r="A24" s="1"/>
      <c r="B24" s="271" t="str">
        <f>IF(Rates!D101=$A$23,Rates!B101," ")</f>
        <v>Rate Rider ACM</v>
      </c>
      <c r="C24" s="78"/>
      <c r="D24" s="271" t="str">
        <f>IF(Rates!D101=$A$23,Rates!E101," ")</f>
        <v>customer</v>
      </c>
      <c r="E24" s="79"/>
      <c r="F24" s="80">
        <f>IF(Rates!$G$1="CND 2018",Rates!G101," ")</f>
        <v>0</v>
      </c>
      <c r="G24" s="439">
        <f t="shared" ref="G24:G33" si="3">IF(D24="customer",1,IF(D24="kWh",$F$19,$F$17))</f>
        <v>1</v>
      </c>
      <c r="H24" s="82">
        <f t="shared" si="0"/>
        <v>0</v>
      </c>
      <c r="I24" s="87"/>
      <c r="J24" s="469">
        <f>IF(Rates!$L$1="E+ 2019",Rates!L101," ")</f>
        <v>0</v>
      </c>
      <c r="K24" s="108">
        <f t="shared" ref="K24:K33" si="4">IF(D24="customer",1,IF(D24="kWh",$F$19,$F$17))</f>
        <v>1</v>
      </c>
      <c r="L24" s="82">
        <f t="shared" si="1"/>
        <v>0</v>
      </c>
      <c r="M24" s="87"/>
      <c r="N24" s="84">
        <f t="shared" si="2"/>
        <v>0</v>
      </c>
      <c r="O24" s="85" t="str">
        <f t="shared" ref="O24:O35" si="5">IF(OR(H24=0,L24=0),"",(N24/H24))</f>
        <v/>
      </c>
      <c r="Q24" s="86"/>
      <c r="R24" s="87"/>
      <c r="S24" s="88"/>
      <c r="T24" s="87"/>
      <c r="U24" s="89"/>
      <c r="V24" s="90"/>
      <c r="W24" s="69"/>
      <c r="X24" s="86"/>
      <c r="Y24" s="87"/>
      <c r="Z24" s="88"/>
      <c r="AA24" s="87"/>
      <c r="AB24" s="89"/>
      <c r="AC24" s="90"/>
      <c r="AD24" s="69"/>
      <c r="AE24" s="86"/>
      <c r="AF24" s="87"/>
      <c r="AG24" s="88"/>
      <c r="AH24" s="87"/>
      <c r="AI24" s="89"/>
      <c r="AJ24" s="90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</row>
    <row r="25" spans="1:49" s="94" customFormat="1" x14ac:dyDescent="0.25">
      <c r="A25" s="3"/>
      <c r="B25" s="271" t="str">
        <f>IF(Rates!D102=$A$23,Rates!B102," ")</f>
        <v>Distribution Volumetric Rate</v>
      </c>
      <c r="C25" s="78"/>
      <c r="D25" s="271" t="str">
        <f>IF(Rates!D102=$A$23,Rates!E102," ")</f>
        <v>kW</v>
      </c>
      <c r="E25" s="79"/>
      <c r="F25" s="235">
        <f>IF(Rates!$G$1="CND 2018",Rates!G102," ")</f>
        <v>1.9166963999999997</v>
      </c>
      <c r="G25" s="439">
        <f t="shared" si="3"/>
        <v>8280</v>
      </c>
      <c r="H25" s="82">
        <f t="shared" si="0"/>
        <v>15870.246191999999</v>
      </c>
      <c r="I25" s="87"/>
      <c r="J25" s="469">
        <f>IF(Rates!$L$1="E+ 2019",Rates!L102," ")</f>
        <v>1.4219999999999999</v>
      </c>
      <c r="K25" s="108">
        <f t="shared" si="4"/>
        <v>8280</v>
      </c>
      <c r="L25" s="82">
        <f t="shared" si="1"/>
        <v>11774.16</v>
      </c>
      <c r="M25" s="87"/>
      <c r="N25" s="84">
        <f t="shared" si="2"/>
        <v>-4096.0861919999988</v>
      </c>
      <c r="O25" s="85">
        <f t="shared" si="5"/>
        <v>-0.25809846567249767</v>
      </c>
      <c r="Q25" s="95"/>
      <c r="R25" s="87"/>
      <c r="S25" s="88"/>
      <c r="T25" s="87"/>
      <c r="U25" s="89"/>
      <c r="V25" s="90"/>
      <c r="W25" s="69"/>
      <c r="X25" s="95"/>
      <c r="Y25" s="87"/>
      <c r="Z25" s="88"/>
      <c r="AA25" s="87"/>
      <c r="AB25" s="89"/>
      <c r="AC25" s="90"/>
      <c r="AD25" s="69"/>
      <c r="AE25" s="95"/>
      <c r="AF25" s="87"/>
      <c r="AG25" s="88"/>
      <c r="AH25" s="87"/>
      <c r="AI25" s="89"/>
      <c r="AJ25" s="90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</row>
    <row r="26" spans="1:49" s="94" customFormat="1" x14ac:dyDescent="0.25">
      <c r="A26" s="3"/>
      <c r="B26" s="271" t="str">
        <f>IF(Rates!D103=$A$23,Rates!B103," ")</f>
        <v>Rate Rider ACM</v>
      </c>
      <c r="C26" s="78"/>
      <c r="D26" s="271" t="str">
        <f>IF(Rates!D103=$A$23,Rates!E103," ")</f>
        <v>kW</v>
      </c>
      <c r="E26" s="79"/>
      <c r="F26" s="80">
        <f>IF(Rates!$G$1="CND 2018",Rates!G103," ")</f>
        <v>0</v>
      </c>
      <c r="G26" s="439">
        <f t="shared" si="3"/>
        <v>8280</v>
      </c>
      <c r="H26" s="82">
        <f t="shared" si="0"/>
        <v>0</v>
      </c>
      <c r="I26" s="87"/>
      <c r="J26" s="469">
        <f>IF(Rates!$L$1="E+ 2019",Rates!L103," ")</f>
        <v>0</v>
      </c>
      <c r="K26" s="108">
        <f t="shared" si="4"/>
        <v>8280</v>
      </c>
      <c r="L26" s="82">
        <f t="shared" si="1"/>
        <v>0</v>
      </c>
      <c r="M26" s="87"/>
      <c r="N26" s="84">
        <f t="shared" si="2"/>
        <v>0</v>
      </c>
      <c r="O26" s="85" t="str">
        <f t="shared" si="5"/>
        <v/>
      </c>
      <c r="Q26" s="95"/>
      <c r="R26" s="87"/>
      <c r="S26" s="88"/>
      <c r="T26" s="87"/>
      <c r="U26" s="89"/>
      <c r="V26" s="90"/>
      <c r="W26" s="69"/>
      <c r="X26" s="95"/>
      <c r="Y26" s="87"/>
      <c r="Z26" s="88"/>
      <c r="AA26" s="87"/>
      <c r="AB26" s="89"/>
      <c r="AC26" s="90"/>
      <c r="AD26" s="69"/>
      <c r="AE26" s="95"/>
      <c r="AF26" s="87"/>
      <c r="AG26" s="88"/>
      <c r="AH26" s="87"/>
      <c r="AI26" s="89"/>
      <c r="AJ26" s="90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</row>
    <row r="27" spans="1:49" x14ac:dyDescent="0.25">
      <c r="A27" s="3"/>
      <c r="B27" s="271" t="str">
        <f>IF(Rates!D104=$A$23,Rates!B104," ")</f>
        <v>Rate Rider for Disposition of Account 1575 and 1576</v>
      </c>
      <c r="C27" s="78"/>
      <c r="D27" s="271" t="str">
        <f>IF(Rates!D104=$A$23,Rates!E104," ")</f>
        <v>customer</v>
      </c>
      <c r="E27" s="79"/>
      <c r="F27" s="80">
        <f>IF(Rates!$G$1="CND 2018",Rates!G104," ")</f>
        <v>0</v>
      </c>
      <c r="G27" s="439">
        <f t="shared" si="3"/>
        <v>1</v>
      </c>
      <c r="H27" s="82">
        <f t="shared" si="0"/>
        <v>0</v>
      </c>
      <c r="I27" s="87"/>
      <c r="J27" s="469">
        <f>IF(Rates!$L$1="E+ 2019",Rates!L104," ")</f>
        <v>0</v>
      </c>
      <c r="K27" s="108">
        <f t="shared" si="4"/>
        <v>1</v>
      </c>
      <c r="L27" s="82">
        <f t="shared" si="1"/>
        <v>0</v>
      </c>
      <c r="M27" s="87"/>
      <c r="N27" s="84">
        <f t="shared" si="2"/>
        <v>0</v>
      </c>
      <c r="O27" s="85" t="str">
        <f t="shared" si="5"/>
        <v/>
      </c>
      <c r="Q27" s="86"/>
      <c r="R27" s="87"/>
      <c r="S27" s="88"/>
      <c r="T27" s="87"/>
      <c r="U27" s="89"/>
      <c r="V27" s="90"/>
      <c r="W27" s="69"/>
      <c r="X27" s="86"/>
      <c r="Y27" s="87"/>
      <c r="Z27" s="88"/>
      <c r="AA27" s="87"/>
      <c r="AB27" s="89"/>
      <c r="AC27" s="90"/>
      <c r="AD27" s="69"/>
      <c r="AE27" s="86"/>
      <c r="AF27" s="87"/>
      <c r="AG27" s="88"/>
      <c r="AH27" s="87"/>
      <c r="AI27" s="89"/>
      <c r="AJ27" s="90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</row>
    <row r="28" spans="1:49" x14ac:dyDescent="0.25">
      <c r="A28" s="3"/>
      <c r="B28" s="271" t="str">
        <f>IF(Rates!D105=$A$23,Rates!B105," ")</f>
        <v>Rate Rider for Disposition of Account 1575 and 1576</v>
      </c>
      <c r="C28" s="78"/>
      <c r="D28" s="271" t="str">
        <f>IF(Rates!D105=$A$23,Rates!E105," ")</f>
        <v>kW</v>
      </c>
      <c r="E28" s="79"/>
      <c r="F28" s="80">
        <f>IF(Rates!$G$1="CND 2018",Rates!G105," ")</f>
        <v>0</v>
      </c>
      <c r="G28" s="439">
        <f t="shared" si="3"/>
        <v>8280</v>
      </c>
      <c r="H28" s="82">
        <f t="shared" si="0"/>
        <v>0</v>
      </c>
      <c r="I28" s="87"/>
      <c r="J28" s="469">
        <f>IF(Rates!$L$1="E+ 2019",Rates!L105," ")</f>
        <v>-0.16280876196483032</v>
      </c>
      <c r="K28" s="108">
        <f t="shared" si="4"/>
        <v>8280</v>
      </c>
      <c r="L28" s="82">
        <f t="shared" si="1"/>
        <v>-1348.056549068795</v>
      </c>
      <c r="M28" s="87"/>
      <c r="N28" s="84">
        <f t="shared" si="2"/>
        <v>-1348.056549068795</v>
      </c>
      <c r="O28" s="85" t="str">
        <f t="shared" si="5"/>
        <v/>
      </c>
      <c r="Q28" s="119"/>
      <c r="R28" s="87"/>
      <c r="S28" s="88"/>
      <c r="T28" s="87"/>
      <c r="U28" s="89"/>
      <c r="V28" s="90"/>
      <c r="W28" s="69"/>
      <c r="X28" s="119"/>
      <c r="Y28" s="87"/>
      <c r="Z28" s="88"/>
      <c r="AA28" s="87"/>
      <c r="AB28" s="89"/>
      <c r="AC28" s="90"/>
      <c r="AD28" s="69"/>
      <c r="AE28" s="119"/>
      <c r="AF28" s="87"/>
      <c r="AG28" s="88"/>
      <c r="AH28" s="87"/>
      <c r="AI28" s="89"/>
      <c r="AJ28" s="90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</row>
    <row r="29" spans="1:49" x14ac:dyDescent="0.25">
      <c r="A29" s="3"/>
      <c r="B29" s="271" t="str">
        <f>IF(Rates!D106=$A$23,Rates!B106," ")</f>
        <v>Rate Rider for Disposition of Account 1575 and 1576</v>
      </c>
      <c r="C29" s="78"/>
      <c r="D29" s="271" t="str">
        <f>IF(Rates!D106=$A$23,Rates!E106," ")</f>
        <v>customer</v>
      </c>
      <c r="E29" s="79"/>
      <c r="F29" s="80">
        <f>IF(Rates!$G$1="CND 2018",Rates!G106," ")</f>
        <v>0</v>
      </c>
      <c r="G29" s="439">
        <f t="shared" si="3"/>
        <v>1</v>
      </c>
      <c r="H29" s="82">
        <f t="shared" si="0"/>
        <v>0</v>
      </c>
      <c r="I29" s="87"/>
      <c r="J29" s="469">
        <f>IF(Rates!$L$1="E+ 2019",Rates!L106," ")</f>
        <v>0</v>
      </c>
      <c r="K29" s="108">
        <f t="shared" si="4"/>
        <v>1</v>
      </c>
      <c r="L29" s="82">
        <f t="shared" si="1"/>
        <v>0</v>
      </c>
      <c r="M29" s="87"/>
      <c r="N29" s="84">
        <f t="shared" si="2"/>
        <v>0</v>
      </c>
      <c r="O29" s="85" t="str">
        <f t="shared" si="5"/>
        <v/>
      </c>
      <c r="Q29" s="119"/>
      <c r="R29" s="87"/>
      <c r="S29" s="88"/>
      <c r="T29" s="87"/>
      <c r="U29" s="89"/>
      <c r="V29" s="90"/>
      <c r="W29" s="69"/>
      <c r="X29" s="119"/>
      <c r="Y29" s="87"/>
      <c r="Z29" s="88"/>
      <c r="AA29" s="87"/>
      <c r="AB29" s="89"/>
      <c r="AC29" s="90"/>
      <c r="AD29" s="69"/>
      <c r="AE29" s="119"/>
      <c r="AF29" s="87"/>
      <c r="AG29" s="88"/>
      <c r="AH29" s="87"/>
      <c r="AI29" s="89"/>
      <c r="AJ29" s="90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</row>
    <row r="30" spans="1:49" s="94" customFormat="1" x14ac:dyDescent="0.25">
      <c r="A30" s="99"/>
      <c r="B30" s="271" t="str">
        <f>IF(Rates!D107=$A$23,Rates!B107," ")</f>
        <v>Rate Rider for Disposition of Account 1575 and 1576</v>
      </c>
      <c r="C30" s="78"/>
      <c r="D30" s="271" t="str">
        <f>IF(Rates!D107=$A$23,Rates!E107," ")</f>
        <v>kW</v>
      </c>
      <c r="E30" s="79"/>
      <c r="F30" s="80">
        <f>IF(Rates!$G$1="CND 2018",Rates!G107," ")</f>
        <v>0</v>
      </c>
      <c r="G30" s="439">
        <f t="shared" si="3"/>
        <v>8280</v>
      </c>
      <c r="H30" s="82">
        <f t="shared" si="0"/>
        <v>0</v>
      </c>
      <c r="I30" s="87"/>
      <c r="J30" s="469">
        <f>IF(Rates!$L$1="E+ 2019",Rates!L107," ")</f>
        <v>0</v>
      </c>
      <c r="K30" s="108">
        <f t="shared" si="4"/>
        <v>8280</v>
      </c>
      <c r="L30" s="82">
        <f t="shared" si="1"/>
        <v>0</v>
      </c>
      <c r="M30" s="87"/>
      <c r="N30" s="84">
        <f t="shared" si="2"/>
        <v>0</v>
      </c>
      <c r="O30" s="85" t="str">
        <f t="shared" si="5"/>
        <v/>
      </c>
      <c r="Q30" s="119"/>
      <c r="R30" s="87"/>
      <c r="S30" s="88"/>
      <c r="T30" s="87"/>
      <c r="U30" s="89"/>
      <c r="V30" s="90"/>
      <c r="W30" s="69"/>
      <c r="X30" s="119"/>
      <c r="Y30" s="87"/>
      <c r="Z30" s="88"/>
      <c r="AA30" s="87"/>
      <c r="AB30" s="89"/>
      <c r="AC30" s="90"/>
      <c r="AD30" s="69"/>
      <c r="AE30" s="119"/>
      <c r="AF30" s="87"/>
      <c r="AG30" s="88"/>
      <c r="AH30" s="87"/>
      <c r="AI30" s="89"/>
      <c r="AJ30" s="90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</row>
    <row r="31" spans="1:49" s="94" customFormat="1" x14ac:dyDescent="0.25">
      <c r="A31" s="3"/>
      <c r="B31" s="271" t="str">
        <f>IF(Rates!D108=$A$23,Rates!B108," ")</f>
        <v>Rate Rider for LRAMVA</v>
      </c>
      <c r="C31" s="78"/>
      <c r="D31" s="271" t="str">
        <f>IF(Rates!D108=$A$23,Rates!E108," ")</f>
        <v>kW</v>
      </c>
      <c r="E31" s="79"/>
      <c r="F31" s="80">
        <f>IF(Rates!$G$1="CND 2018",Rates!G108," ")</f>
        <v>0</v>
      </c>
      <c r="G31" s="439">
        <f t="shared" si="3"/>
        <v>8280</v>
      </c>
      <c r="H31" s="82">
        <f t="shared" si="0"/>
        <v>0</v>
      </c>
      <c r="I31" s="87"/>
      <c r="J31" s="469">
        <f>IF(Rates!$L$1="E+ 2019",Rates!L108," ")</f>
        <v>0</v>
      </c>
      <c r="K31" s="108">
        <f t="shared" si="4"/>
        <v>8280</v>
      </c>
      <c r="L31" s="82">
        <f t="shared" si="1"/>
        <v>0</v>
      </c>
      <c r="M31" s="87"/>
      <c r="N31" s="84">
        <f t="shared" si="2"/>
        <v>0</v>
      </c>
      <c r="O31" s="85" t="str">
        <f t="shared" si="5"/>
        <v/>
      </c>
      <c r="Q31" s="119"/>
      <c r="R31" s="87"/>
      <c r="S31" s="88"/>
      <c r="T31" s="87"/>
      <c r="U31" s="89"/>
      <c r="V31" s="90"/>
      <c r="W31" s="69"/>
      <c r="X31" s="119"/>
      <c r="Y31" s="87"/>
      <c r="Z31" s="88"/>
      <c r="AA31" s="87"/>
      <c r="AB31" s="89"/>
      <c r="AC31" s="90"/>
      <c r="AD31" s="69"/>
      <c r="AE31" s="119"/>
      <c r="AF31" s="87"/>
      <c r="AG31" s="88"/>
      <c r="AH31" s="87"/>
      <c r="AI31" s="89"/>
      <c r="AJ31" s="90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</row>
    <row r="32" spans="1:49" x14ac:dyDescent="0.25">
      <c r="A32" s="3"/>
      <c r="B32" s="271" t="str">
        <f>IF(Rates!D109=$A$23,Rates!B109," ")</f>
        <v>Other Fixed</v>
      </c>
      <c r="C32" s="78"/>
      <c r="D32" s="271" t="str">
        <f>IF(Rates!D109=$A$23,Rates!E109," ")</f>
        <v>customer</v>
      </c>
      <c r="E32" s="79"/>
      <c r="F32" s="80">
        <f>IF(Rates!$G$1="CND 2018",Rates!G109," ")</f>
        <v>0</v>
      </c>
      <c r="G32" s="439">
        <f t="shared" si="3"/>
        <v>1</v>
      </c>
      <c r="H32" s="82">
        <f t="shared" si="0"/>
        <v>0</v>
      </c>
      <c r="I32" s="87"/>
      <c r="J32" s="469">
        <f>IF(Rates!$L$1="E+ 2019",Rates!L109," ")</f>
        <v>0</v>
      </c>
      <c r="K32" s="108">
        <f t="shared" si="4"/>
        <v>1</v>
      </c>
      <c r="L32" s="82">
        <f t="shared" si="1"/>
        <v>0</v>
      </c>
      <c r="M32" s="87"/>
      <c r="N32" s="84">
        <f t="shared" si="2"/>
        <v>0</v>
      </c>
      <c r="O32" s="85" t="str">
        <f t="shared" si="5"/>
        <v/>
      </c>
      <c r="Q32" s="98"/>
      <c r="R32" s="87"/>
      <c r="S32" s="88"/>
      <c r="T32" s="87"/>
      <c r="U32" s="89"/>
      <c r="V32" s="90"/>
      <c r="W32" s="69"/>
      <c r="X32" s="98"/>
      <c r="Y32" s="87"/>
      <c r="Z32" s="88"/>
      <c r="AA32" s="87"/>
      <c r="AB32" s="89"/>
      <c r="AC32" s="90"/>
      <c r="AD32" s="69"/>
      <c r="AE32" s="98"/>
      <c r="AF32" s="87"/>
      <c r="AG32" s="88"/>
      <c r="AH32" s="87"/>
      <c r="AI32" s="89"/>
      <c r="AJ32" s="90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</row>
    <row r="33" spans="1:49" x14ac:dyDescent="0.25">
      <c r="A33" s="3"/>
      <c r="B33" s="271" t="str">
        <f>IF(Rates!D110=$A$23,Rates!B110," ")</f>
        <v>Other Volumetric</v>
      </c>
      <c r="C33" s="78"/>
      <c r="D33" s="271" t="str">
        <f>IF(Rates!D110=$A$23,Rates!E110," ")</f>
        <v>kW</v>
      </c>
      <c r="E33" s="79"/>
      <c r="F33" s="80">
        <f>IF(Rates!$G$1="CND 2018",Rates!G110," ")</f>
        <v>0</v>
      </c>
      <c r="G33" s="439">
        <f t="shared" si="3"/>
        <v>8280</v>
      </c>
      <c r="H33" s="82">
        <f t="shared" si="0"/>
        <v>0</v>
      </c>
      <c r="I33" s="87"/>
      <c r="J33" s="469">
        <f>IF(Rates!$L$1="E+ 2019",Rates!L110," ")</f>
        <v>0</v>
      </c>
      <c r="K33" s="108">
        <f t="shared" si="4"/>
        <v>8280</v>
      </c>
      <c r="L33" s="82">
        <f t="shared" si="1"/>
        <v>0</v>
      </c>
      <c r="M33" s="87"/>
      <c r="N33" s="84">
        <f t="shared" si="2"/>
        <v>0</v>
      </c>
      <c r="O33" s="85" t="str">
        <f t="shared" si="5"/>
        <v/>
      </c>
      <c r="Q33" s="98"/>
      <c r="R33" s="87"/>
      <c r="S33" s="88"/>
      <c r="T33" s="87"/>
      <c r="U33" s="89"/>
      <c r="V33" s="90"/>
      <c r="W33" s="69"/>
      <c r="X33" s="98"/>
      <c r="Y33" s="87"/>
      <c r="Z33" s="88"/>
      <c r="AA33" s="87"/>
      <c r="AB33" s="89"/>
      <c r="AC33" s="90"/>
      <c r="AD33" s="69"/>
      <c r="AE33" s="98"/>
      <c r="AF33" s="87"/>
      <c r="AG33" s="88"/>
      <c r="AH33" s="87"/>
      <c r="AI33" s="89"/>
      <c r="AJ33" s="90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</row>
    <row r="34" spans="1:49" x14ac:dyDescent="0.25">
      <c r="A34" s="3"/>
      <c r="B34" s="271" t="str">
        <f>IF(Rates!D111=$A$23,Rates!B111," ")</f>
        <v>Rate Rider for gain on Sale of Property</v>
      </c>
      <c r="C34" s="78"/>
      <c r="D34" s="271" t="str">
        <f>IF(Rates!D111=$A$23,Rates!E111," ")</f>
        <v>kW</v>
      </c>
      <c r="E34" s="79"/>
      <c r="F34" s="80">
        <f>IF(Rates!$G$1="CND 2018",Rates!G111," ")</f>
        <v>0</v>
      </c>
      <c r="G34" s="439">
        <f t="shared" ref="G34" si="6">IF(D34="customer",1,IF(D34="kWh",$F$19,$F$17))</f>
        <v>8280</v>
      </c>
      <c r="H34" s="82">
        <f t="shared" ref="H34" si="7">G34*F34</f>
        <v>0</v>
      </c>
      <c r="I34" s="87"/>
      <c r="J34" s="469">
        <f>IF(Rates!$L$1="E+ 2019",Rates!L111," ")</f>
        <v>-0.12497497554703023</v>
      </c>
      <c r="K34" s="108">
        <f t="shared" ref="K34" si="8">IF(D34="customer",1,IF(D34="kWh",$F$19,$F$17))</f>
        <v>8280</v>
      </c>
      <c r="L34" s="82">
        <f t="shared" ref="L34" si="9">K34*J34</f>
        <v>-1034.7927975294103</v>
      </c>
      <c r="M34" s="87"/>
      <c r="N34" s="84">
        <f t="shared" ref="N34" si="10">L34-H34</f>
        <v>-1034.7927975294103</v>
      </c>
      <c r="O34" s="85" t="str">
        <f t="shared" ref="O34" si="11">IF(OR(H34=0,L34=0),"",(N34/H34))</f>
        <v/>
      </c>
      <c r="Q34" s="98"/>
      <c r="R34" s="87"/>
      <c r="S34" s="88"/>
      <c r="T34" s="87"/>
      <c r="U34" s="89"/>
      <c r="V34" s="90"/>
      <c r="W34" s="69"/>
      <c r="X34" s="98"/>
      <c r="Y34" s="87"/>
      <c r="Z34" s="88"/>
      <c r="AA34" s="87"/>
      <c r="AB34" s="89"/>
      <c r="AC34" s="90"/>
      <c r="AD34" s="69"/>
      <c r="AE34" s="98"/>
      <c r="AF34" s="87"/>
      <c r="AG34" s="88"/>
      <c r="AH34" s="87"/>
      <c r="AI34" s="89"/>
      <c r="AJ34" s="90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</row>
    <row r="35" spans="1:49" hidden="1" x14ac:dyDescent="0.25">
      <c r="A35" s="3"/>
      <c r="B35" s="271"/>
      <c r="C35" s="78"/>
      <c r="D35" s="271"/>
      <c r="E35" s="79"/>
      <c r="F35" s="80"/>
      <c r="G35" s="108"/>
      <c r="H35" s="82">
        <f t="shared" si="0"/>
        <v>0</v>
      </c>
      <c r="I35" s="87"/>
      <c r="J35" s="469"/>
      <c r="K35" s="108"/>
      <c r="L35" s="82">
        <f t="shared" si="1"/>
        <v>0</v>
      </c>
      <c r="M35" s="87"/>
      <c r="N35" s="84">
        <f t="shared" si="2"/>
        <v>0</v>
      </c>
      <c r="O35" s="85" t="str">
        <f t="shared" si="5"/>
        <v/>
      </c>
      <c r="Q35" s="98"/>
      <c r="R35" s="87"/>
      <c r="S35" s="88"/>
      <c r="T35" s="87"/>
      <c r="U35" s="89"/>
      <c r="V35" s="90"/>
      <c r="W35" s="69"/>
      <c r="X35" s="98"/>
      <c r="Y35" s="87"/>
      <c r="Z35" s="88"/>
      <c r="AA35" s="87"/>
      <c r="AB35" s="89"/>
      <c r="AC35" s="90"/>
      <c r="AD35" s="69"/>
      <c r="AE35" s="98"/>
      <c r="AF35" s="87"/>
      <c r="AG35" s="88"/>
      <c r="AH35" s="87"/>
      <c r="AI35" s="89"/>
      <c r="AJ35" s="90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</row>
    <row r="36" spans="1:49" x14ac:dyDescent="0.25">
      <c r="A36" s="3"/>
      <c r="B36" s="109" t="s">
        <v>64</v>
      </c>
      <c r="C36" s="110"/>
      <c r="D36" s="110"/>
      <c r="E36" s="110"/>
      <c r="F36" s="111"/>
      <c r="G36" s="112"/>
      <c r="H36" s="113">
        <f>SUM(H23:H35)</f>
        <v>15870.246191999999</v>
      </c>
      <c r="I36" s="87"/>
      <c r="J36" s="115"/>
      <c r="K36" s="116"/>
      <c r="L36" s="113">
        <f>SUM(L23:L35)</f>
        <v>9391.3106534017952</v>
      </c>
      <c r="M36" s="87"/>
      <c r="N36" s="117">
        <f t="shared" si="2"/>
        <v>-6478.9355385982035</v>
      </c>
      <c r="O36" s="118">
        <f>IF(OR(H36=0, L36=0),"",(N36/H36))</f>
        <v>-0.40824417341831515</v>
      </c>
      <c r="Q36" s="119"/>
      <c r="R36" s="120"/>
      <c r="S36" s="88"/>
      <c r="T36" s="87"/>
      <c r="U36" s="121"/>
      <c r="V36" s="122"/>
      <c r="W36" s="69"/>
      <c r="X36" s="119"/>
      <c r="Y36" s="120"/>
      <c r="Z36" s="88"/>
      <c r="AA36" s="87"/>
      <c r="AB36" s="121"/>
      <c r="AC36" s="122"/>
      <c r="AD36" s="69"/>
      <c r="AE36" s="119"/>
      <c r="AF36" s="120"/>
      <c r="AG36" s="88"/>
      <c r="AH36" s="87"/>
      <c r="AI36" s="121"/>
      <c r="AJ36" s="122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</row>
    <row r="37" spans="1:49" x14ac:dyDescent="0.25">
      <c r="A37" s="5" t="s">
        <v>18</v>
      </c>
      <c r="B37" s="271" t="str">
        <f>IF(Rates!D112=$A$37,Rates!B112," ")</f>
        <v>Low Voltage Service Rate</v>
      </c>
      <c r="C37" s="78"/>
      <c r="D37" s="271" t="str">
        <f>IF(Rates!D112=$A$37,Rates!E112," ")</f>
        <v>kW</v>
      </c>
      <c r="E37" s="79"/>
      <c r="F37" s="469">
        <f>IF(Rates!$G$1="CND 2018",Rates!G112," ")</f>
        <v>0</v>
      </c>
      <c r="G37" s="439">
        <f t="shared" ref="G37" si="12">IF(D37="customer",1,IF(D37="kWh",$F$19,$F$17))</f>
        <v>8280</v>
      </c>
      <c r="H37" s="126">
        <f>G37*F37</f>
        <v>0</v>
      </c>
      <c r="I37" s="87"/>
      <c r="J37" s="469">
        <f>IF(Rates!$L$1="E+ 2019",Rates!L112," ")</f>
        <v>0</v>
      </c>
      <c r="K37" s="108">
        <f t="shared" ref="K37" si="13">IF(D37="customer",1,IF(D37="kWh",$F$19,$F$17))</f>
        <v>8280</v>
      </c>
      <c r="L37" s="82">
        <f t="shared" si="1"/>
        <v>0</v>
      </c>
      <c r="M37" s="87"/>
      <c r="N37" s="84">
        <f t="shared" si="2"/>
        <v>0</v>
      </c>
      <c r="O37" s="85" t="str">
        <f t="shared" ref="O37:O44" si="14">IF(OR(H37=0,L37=0),"",(N37/H37))</f>
        <v/>
      </c>
      <c r="Q37" s="119"/>
      <c r="R37" s="87"/>
      <c r="S37" s="88"/>
      <c r="T37" s="87"/>
      <c r="U37" s="89"/>
      <c r="V37" s="90"/>
      <c r="W37" s="69"/>
      <c r="X37" s="119"/>
      <c r="Y37" s="87"/>
      <c r="Z37" s="88"/>
      <c r="AA37" s="87"/>
      <c r="AB37" s="89"/>
      <c r="AC37" s="90"/>
      <c r="AD37" s="69"/>
      <c r="AE37" s="119"/>
      <c r="AF37" s="87"/>
      <c r="AG37" s="88"/>
      <c r="AH37" s="87"/>
      <c r="AI37" s="89"/>
      <c r="AJ37" s="90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</row>
    <row r="38" spans="1:49" x14ac:dyDescent="0.25">
      <c r="A38" s="1"/>
      <c r="B38" s="271" t="s">
        <v>116</v>
      </c>
      <c r="C38" s="78"/>
      <c r="D38" s="271" t="s">
        <v>13</v>
      </c>
      <c r="E38" s="79"/>
      <c r="F38" s="469">
        <v>0</v>
      </c>
      <c r="G38" s="125"/>
      <c r="H38" s="126">
        <f t="shared" ref="H38:H44" si="15">G38*F38</f>
        <v>0</v>
      </c>
      <c r="I38" s="87"/>
      <c r="J38" s="469"/>
      <c r="K38" s="125"/>
      <c r="L38" s="82">
        <f t="shared" si="1"/>
        <v>0</v>
      </c>
      <c r="M38" s="87"/>
      <c r="N38" s="84">
        <f t="shared" si="2"/>
        <v>0</v>
      </c>
      <c r="O38" s="85" t="str">
        <f t="shared" si="14"/>
        <v/>
      </c>
      <c r="Q38" s="128"/>
      <c r="R38" s="129"/>
      <c r="S38" s="88"/>
      <c r="T38" s="87"/>
      <c r="U38" s="89"/>
      <c r="V38" s="90"/>
      <c r="W38" s="69"/>
      <c r="X38" s="128"/>
      <c r="Y38" s="129"/>
      <c r="Z38" s="88"/>
      <c r="AA38" s="87"/>
      <c r="AB38" s="89"/>
      <c r="AC38" s="90"/>
      <c r="AD38" s="69"/>
      <c r="AE38" s="128"/>
      <c r="AF38" s="129"/>
      <c r="AG38" s="88"/>
      <c r="AH38" s="87"/>
      <c r="AI38" s="89"/>
      <c r="AJ38" s="90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</row>
    <row r="39" spans="1:49" x14ac:dyDescent="0.25">
      <c r="A39" s="130"/>
      <c r="B39" s="271" t="str">
        <f>IF(Rates!D113=$A$37,Rates!B113," ")</f>
        <v>Rate Rider Other Fixed</v>
      </c>
      <c r="C39" s="78"/>
      <c r="D39" s="271" t="str">
        <f>IF(Rates!D113=$A$37,Rates!E113," ")</f>
        <v>customer</v>
      </c>
      <c r="E39" s="79"/>
      <c r="F39" s="469">
        <f>IF(Rates!$G$1="CND 2018",Rates!G113," ")</f>
        <v>0</v>
      </c>
      <c r="G39" s="439">
        <f t="shared" ref="G39:G43" si="16">IF(D39="customer",1,IF(D39="kWh",$F$19,$F$17))</f>
        <v>1</v>
      </c>
      <c r="H39" s="126">
        <f t="shared" si="15"/>
        <v>0</v>
      </c>
      <c r="I39" s="87"/>
      <c r="J39" s="469">
        <f>IF(Rates!$L$1="E+ 2019",Rates!L113," ")</f>
        <v>0</v>
      </c>
      <c r="K39" s="108">
        <f t="shared" ref="K39:K45" si="17">IF(D39="customer",1,IF(D39="kWh",$F$19,$F$17))</f>
        <v>1</v>
      </c>
      <c r="L39" s="82">
        <f t="shared" si="1"/>
        <v>0</v>
      </c>
      <c r="M39" s="87"/>
      <c r="N39" s="84">
        <f t="shared" si="2"/>
        <v>0</v>
      </c>
      <c r="O39" s="85" t="str">
        <f t="shared" si="14"/>
        <v/>
      </c>
      <c r="Q39" s="119"/>
      <c r="R39" s="87"/>
      <c r="S39" s="88"/>
      <c r="T39" s="87"/>
      <c r="U39" s="89"/>
      <c r="V39" s="90"/>
      <c r="W39" s="69"/>
      <c r="X39" s="119"/>
      <c r="Y39" s="87"/>
      <c r="Z39" s="88"/>
      <c r="AA39" s="87"/>
      <c r="AB39" s="89"/>
      <c r="AC39" s="90"/>
      <c r="AD39" s="69"/>
      <c r="AE39" s="119"/>
      <c r="AF39" s="87"/>
      <c r="AG39" s="88"/>
      <c r="AH39" s="87"/>
      <c r="AI39" s="89"/>
      <c r="AJ39" s="90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</row>
    <row r="40" spans="1:49" x14ac:dyDescent="0.25">
      <c r="A40" s="130"/>
      <c r="B40" s="271" t="str">
        <f>IF(Rates!D114=$A$37,Rates!B114," ")</f>
        <v>Rate Rider Other Volumetric</v>
      </c>
      <c r="C40" s="78"/>
      <c r="D40" s="271" t="str">
        <f>IF(Rates!D114=$A$37,Rates!E114," ")</f>
        <v>kW</v>
      </c>
      <c r="E40" s="79"/>
      <c r="F40" s="469">
        <f>IF(Rates!$G$1="CND 2018",Rates!G114," ")</f>
        <v>0</v>
      </c>
      <c r="G40" s="439">
        <f t="shared" si="16"/>
        <v>8280</v>
      </c>
      <c r="H40" s="126">
        <f t="shared" si="15"/>
        <v>0</v>
      </c>
      <c r="I40" s="87"/>
      <c r="J40" s="469">
        <f>IF(Rates!$L$1="E+ 2019",Rates!L114," ")</f>
        <v>2.8769065722947407E-2</v>
      </c>
      <c r="K40" s="108">
        <f t="shared" si="17"/>
        <v>8280</v>
      </c>
      <c r="L40" s="82">
        <f t="shared" si="1"/>
        <v>238.20786418600451</v>
      </c>
      <c r="M40" s="87"/>
      <c r="N40" s="84">
        <f t="shared" si="2"/>
        <v>238.20786418600451</v>
      </c>
      <c r="O40" s="85" t="str">
        <f t="shared" si="14"/>
        <v/>
      </c>
      <c r="Q40" s="119"/>
      <c r="R40" s="87"/>
      <c r="S40" s="88"/>
      <c r="T40" s="87"/>
      <c r="U40" s="89"/>
      <c r="V40" s="90"/>
      <c r="W40" s="69"/>
      <c r="X40" s="119"/>
      <c r="Y40" s="87"/>
      <c r="Z40" s="88"/>
      <c r="AA40" s="87"/>
      <c r="AB40" s="89"/>
      <c r="AC40" s="90"/>
      <c r="AD40" s="69"/>
      <c r="AE40" s="119"/>
      <c r="AF40" s="87"/>
      <c r="AG40" s="88"/>
      <c r="AH40" s="87"/>
      <c r="AI40" s="89"/>
      <c r="AJ40" s="90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</row>
    <row r="41" spans="1:49" x14ac:dyDescent="0.25">
      <c r="A41" s="130"/>
      <c r="B41" s="271" t="str">
        <f>IF(Rates!D115=$A$37,Rates!B115," ")</f>
        <v>Rate Rider Other Volumetric</v>
      </c>
      <c r="C41" s="78"/>
      <c r="D41" s="271" t="str">
        <f>IF(Rates!D115=$A$37,Rates!E115," ")</f>
        <v>kW</v>
      </c>
      <c r="E41" s="79"/>
      <c r="F41" s="469">
        <f>IF(Rates!$G$1="CND 2018",Rates!G115," ")</f>
        <v>0</v>
      </c>
      <c r="G41" s="439">
        <f t="shared" si="16"/>
        <v>8280</v>
      </c>
      <c r="H41" s="126">
        <f t="shared" si="15"/>
        <v>0</v>
      </c>
      <c r="I41" s="87"/>
      <c r="J41" s="469">
        <f>IF(Rates!$L$1="E+ 2019",Rates!L115," ")</f>
        <v>0</v>
      </c>
      <c r="K41" s="108">
        <f t="shared" si="17"/>
        <v>8280</v>
      </c>
      <c r="L41" s="82">
        <f t="shared" si="1"/>
        <v>0</v>
      </c>
      <c r="M41" s="87"/>
      <c r="N41" s="84">
        <f t="shared" si="2"/>
        <v>0</v>
      </c>
      <c r="O41" s="85" t="str">
        <f t="shared" si="14"/>
        <v/>
      </c>
      <c r="Q41" s="119"/>
      <c r="R41" s="87"/>
      <c r="S41" s="88"/>
      <c r="T41" s="87"/>
      <c r="U41" s="89"/>
      <c r="V41" s="90"/>
      <c r="W41" s="69"/>
      <c r="X41" s="119"/>
      <c r="Y41" s="87"/>
      <c r="Z41" s="88"/>
      <c r="AA41" s="87"/>
      <c r="AB41" s="89"/>
      <c r="AC41" s="90"/>
      <c r="AD41" s="69"/>
      <c r="AE41" s="119"/>
      <c r="AF41" s="87"/>
      <c r="AG41" s="88"/>
      <c r="AH41" s="87"/>
      <c r="AI41" s="89"/>
      <c r="AJ41" s="90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</row>
    <row r="42" spans="1:49" x14ac:dyDescent="0.25">
      <c r="A42" s="1"/>
      <c r="B42" s="271" t="str">
        <f>IF(Rates!D116=$A$37,Rates!B116," ")</f>
        <v xml:space="preserve">Rate Rider for Disposition of Deferral/Variance Accounts </v>
      </c>
      <c r="C42" s="78"/>
      <c r="D42" s="271" t="str">
        <f>IF(Rates!D116=$A$37,Rates!E116," ")</f>
        <v>kW</v>
      </c>
      <c r="E42" s="79"/>
      <c r="F42" s="469">
        <f>IF(Rates!$G$1="CND 2018",Rates!G116," ")</f>
        <v>-0.53879655044503272</v>
      </c>
      <c r="G42" s="439">
        <f t="shared" si="16"/>
        <v>8280</v>
      </c>
      <c r="H42" s="126">
        <f t="shared" si="15"/>
        <v>-4461.2354376848707</v>
      </c>
      <c r="I42" s="87"/>
      <c r="J42" s="469">
        <f>IF(Rates!$L$1="E+ 2019",Rates!L116," ")</f>
        <v>-0.8451241798863538</v>
      </c>
      <c r="K42" s="108">
        <f t="shared" si="17"/>
        <v>8280</v>
      </c>
      <c r="L42" s="82">
        <f t="shared" si="1"/>
        <v>-6997.6282094590097</v>
      </c>
      <c r="M42" s="87"/>
      <c r="N42" s="84">
        <f t="shared" si="2"/>
        <v>-2536.392771774139</v>
      </c>
      <c r="O42" s="85">
        <f t="shared" si="14"/>
        <v>0.5685404429339832</v>
      </c>
      <c r="Q42" s="128"/>
      <c r="R42" s="129"/>
      <c r="S42" s="88"/>
      <c r="T42" s="87"/>
      <c r="U42" s="89"/>
      <c r="V42" s="90"/>
      <c r="W42" s="69"/>
      <c r="X42" s="128"/>
      <c r="Y42" s="129"/>
      <c r="Z42" s="88"/>
      <c r="AA42" s="87"/>
      <c r="AB42" s="89"/>
      <c r="AC42" s="90"/>
      <c r="AD42" s="69"/>
      <c r="AE42" s="128"/>
      <c r="AF42" s="129"/>
      <c r="AG42" s="88"/>
      <c r="AH42" s="87"/>
      <c r="AI42" s="89"/>
      <c r="AJ42" s="90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</row>
    <row r="43" spans="1:49" x14ac:dyDescent="0.25">
      <c r="A43" s="1"/>
      <c r="B43" s="271" t="str">
        <f>IF(Rates!D117=$A$37,Rates!B117," ")</f>
        <v>Rate Rider for Disposition of Deferral/Variance Accounts Non-WMP Customers</v>
      </c>
      <c r="C43" s="78"/>
      <c r="D43" s="271" t="str">
        <f>IF(Rates!D117=$A$37,Rates!E117," ")</f>
        <v>kW</v>
      </c>
      <c r="E43" s="79"/>
      <c r="F43" s="469">
        <f>IF(Rates!$G$1="CND 2018",Rates!G117," ")</f>
        <v>0</v>
      </c>
      <c r="G43" s="439">
        <f t="shared" si="16"/>
        <v>8280</v>
      </c>
      <c r="H43" s="126">
        <f t="shared" si="15"/>
        <v>0</v>
      </c>
      <c r="I43" s="87"/>
      <c r="J43" s="469">
        <f>IF(Rates!$L$1="E+ 2019",Rates!L117," ")</f>
        <v>0</v>
      </c>
      <c r="K43" s="108">
        <f t="shared" si="17"/>
        <v>8280</v>
      </c>
      <c r="L43" s="82">
        <f t="shared" si="1"/>
        <v>0</v>
      </c>
      <c r="M43" s="87"/>
      <c r="N43" s="84">
        <f t="shared" si="2"/>
        <v>0</v>
      </c>
      <c r="O43" s="85" t="str">
        <f t="shared" si="14"/>
        <v/>
      </c>
      <c r="Q43" s="128"/>
      <c r="R43" s="129"/>
      <c r="S43" s="88"/>
      <c r="T43" s="87"/>
      <c r="U43" s="89"/>
      <c r="V43" s="90"/>
      <c r="W43" s="69"/>
      <c r="X43" s="128"/>
      <c r="Y43" s="129"/>
      <c r="Z43" s="88"/>
      <c r="AA43" s="87"/>
      <c r="AB43" s="89"/>
      <c r="AC43" s="90"/>
      <c r="AD43" s="69"/>
      <c r="AE43" s="128"/>
      <c r="AF43" s="129"/>
      <c r="AG43" s="88"/>
      <c r="AH43" s="87"/>
      <c r="AI43" s="89"/>
      <c r="AJ43" s="90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</row>
    <row r="44" spans="1:49" x14ac:dyDescent="0.25">
      <c r="A44" s="1"/>
      <c r="B44" s="271" t="str">
        <f>IF(Rates!D118=$A$37,Rates!B118," ")</f>
        <v>Rate Rider for Disposition of GA DV</v>
      </c>
      <c r="C44" s="78"/>
      <c r="D44" s="271" t="str">
        <f>IF(Rates!D118=$A$37,Rates!E118," ")</f>
        <v>kWh</v>
      </c>
      <c r="E44" s="79"/>
      <c r="F44" s="469">
        <f>IF(Rates!$G$1="CND 2018",Rates!G118," ")</f>
        <v>3.3E-3</v>
      </c>
      <c r="G44" s="97">
        <f>$F$19</f>
        <v>0</v>
      </c>
      <c r="H44" s="126">
        <f t="shared" si="15"/>
        <v>0</v>
      </c>
      <c r="I44" s="87"/>
      <c r="J44" s="469">
        <f>IF(Rates!$L$1="E+ 2019",Rates!L118," ")</f>
        <v>3.8449181889326281E-4</v>
      </c>
      <c r="K44" s="108">
        <f t="shared" si="17"/>
        <v>0</v>
      </c>
      <c r="L44" s="82">
        <f t="shared" si="1"/>
        <v>0</v>
      </c>
      <c r="M44" s="87"/>
      <c r="N44" s="84">
        <f t="shared" si="2"/>
        <v>0</v>
      </c>
      <c r="O44" s="85" t="str">
        <f t="shared" si="14"/>
        <v/>
      </c>
      <c r="Q44" s="128"/>
      <c r="R44" s="129"/>
      <c r="S44" s="88"/>
      <c r="T44" s="87"/>
      <c r="U44" s="89"/>
      <c r="V44" s="90"/>
      <c r="W44" s="69"/>
      <c r="X44" s="128"/>
      <c r="Y44" s="129"/>
      <c r="Z44" s="88"/>
      <c r="AA44" s="87"/>
      <c r="AB44" s="89"/>
      <c r="AC44" s="90"/>
      <c r="AD44" s="69"/>
      <c r="AE44" s="128"/>
      <c r="AF44" s="129"/>
      <c r="AG44" s="88"/>
      <c r="AH44" s="87"/>
      <c r="AI44" s="89"/>
      <c r="AJ44" s="90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</row>
    <row r="45" spans="1:49" x14ac:dyDescent="0.25">
      <c r="A45" s="1"/>
      <c r="B45" s="271" t="str">
        <f>IF(Rates!D119=$A$37,Rates!B119," ")</f>
        <v>Rate Rider for Disposition of Capacity Based Recovery Account (2018) - Applicable only for Class B Customers</v>
      </c>
      <c r="C45" s="78"/>
      <c r="D45" s="271" t="str">
        <f>IF(Rates!D119=$A$37,Rates!E119," ")</f>
        <v>kW</v>
      </c>
      <c r="E45" s="79"/>
      <c r="F45" s="469">
        <f>IF(Rates!$G$1="CND 2018",Rates!G119," ")</f>
        <v>3.6799999999999999E-2</v>
      </c>
      <c r="G45" s="97">
        <f>$F$19</f>
        <v>0</v>
      </c>
      <c r="H45" s="126">
        <f t="shared" ref="H45" si="18">G45*F45</f>
        <v>0</v>
      </c>
      <c r="I45" s="87"/>
      <c r="J45" s="469">
        <f>IF(Rates!$L$1="E+ 2019",Rates!L119," ")</f>
        <v>2.5119721471893578E-3</v>
      </c>
      <c r="K45" s="108">
        <f t="shared" si="17"/>
        <v>8280</v>
      </c>
      <c r="L45" s="82">
        <f t="shared" ref="L45" si="19">K45*J45</f>
        <v>20.799129378727883</v>
      </c>
      <c r="M45" s="87"/>
      <c r="N45" s="84">
        <f t="shared" ref="N45" si="20">L45-H45</f>
        <v>20.799129378727883</v>
      </c>
      <c r="O45" s="85" t="str">
        <f t="shared" ref="O45" si="21">IF(OR(H45=0,L45=0),"",(N45/H45))</f>
        <v/>
      </c>
      <c r="Q45" s="128"/>
      <c r="R45" s="129"/>
      <c r="S45" s="88"/>
      <c r="T45" s="87"/>
      <c r="U45" s="89"/>
      <c r="V45" s="90"/>
      <c r="W45" s="69"/>
      <c r="X45" s="128"/>
      <c r="Y45" s="129"/>
      <c r="Z45" s="88"/>
      <c r="AA45" s="87"/>
      <c r="AB45" s="89"/>
      <c r="AC45" s="90"/>
      <c r="AD45" s="69"/>
      <c r="AE45" s="128"/>
      <c r="AF45" s="129"/>
      <c r="AG45" s="88"/>
      <c r="AH45" s="87"/>
      <c r="AI45" s="89"/>
      <c r="AJ45" s="90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</row>
    <row r="46" spans="1:49" hidden="1" x14ac:dyDescent="0.25">
      <c r="A46" s="1"/>
      <c r="B46" s="271"/>
      <c r="C46" s="78"/>
      <c r="D46" s="271"/>
      <c r="E46" s="79"/>
      <c r="F46" s="469"/>
      <c r="G46" s="97"/>
      <c r="H46" s="126"/>
      <c r="I46" s="87"/>
      <c r="J46" s="469"/>
      <c r="K46" s="108"/>
      <c r="L46" s="82"/>
      <c r="M46" s="87"/>
      <c r="N46" s="84"/>
      <c r="O46" s="85"/>
      <c r="Q46" s="128"/>
      <c r="R46" s="129"/>
      <c r="S46" s="88"/>
      <c r="T46" s="87"/>
      <c r="U46" s="89"/>
      <c r="V46" s="90"/>
      <c r="W46" s="69"/>
      <c r="X46" s="128"/>
      <c r="Y46" s="129"/>
      <c r="Z46" s="88"/>
      <c r="AA46" s="87"/>
      <c r="AB46" s="89"/>
      <c r="AC46" s="90"/>
      <c r="AD46" s="69"/>
      <c r="AE46" s="128"/>
      <c r="AF46" s="129"/>
      <c r="AG46" s="88"/>
      <c r="AH46" s="87"/>
      <c r="AI46" s="89"/>
      <c r="AJ46" s="90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</row>
    <row r="47" spans="1:49" x14ac:dyDescent="0.25">
      <c r="A47" s="1"/>
      <c r="B47" s="132" t="s">
        <v>80</v>
      </c>
      <c r="C47" s="133"/>
      <c r="D47" s="133"/>
      <c r="E47" s="133"/>
      <c r="F47" s="134"/>
      <c r="G47" s="135"/>
      <c r="H47" s="136">
        <f>SUM(H37:H43)+H36+H46</f>
        <v>11409.010754315128</v>
      </c>
      <c r="I47" s="87"/>
      <c r="J47" s="135"/>
      <c r="K47" s="137"/>
      <c r="L47" s="136">
        <f>SUM(L37:L43)+L36+L46</f>
        <v>2631.8903081287899</v>
      </c>
      <c r="M47" s="87"/>
      <c r="N47" s="117">
        <f t="shared" si="2"/>
        <v>-8777.1204461863381</v>
      </c>
      <c r="O47" s="138">
        <f>IF(OR(H47=0,L47=0),"",(N47/H47))</f>
        <v>-0.76931476665202081</v>
      </c>
      <c r="Q47" s="87"/>
      <c r="R47" s="87"/>
      <c r="S47" s="121"/>
      <c r="T47" s="87"/>
      <c r="U47" s="121"/>
      <c r="V47" s="139"/>
      <c r="W47" s="69"/>
      <c r="X47" s="87"/>
      <c r="Y47" s="87"/>
      <c r="Z47" s="121"/>
      <c r="AA47" s="87"/>
      <c r="AB47" s="121"/>
      <c r="AC47" s="139"/>
      <c r="AD47" s="69"/>
      <c r="AE47" s="87"/>
      <c r="AF47" s="87"/>
      <c r="AG47" s="121"/>
      <c r="AH47" s="87"/>
      <c r="AI47" s="121"/>
      <c r="AJ47" s="13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</row>
    <row r="48" spans="1:49" x14ac:dyDescent="0.25">
      <c r="A48" s="38" t="s">
        <v>16</v>
      </c>
      <c r="B48" s="271" t="str">
        <f>IF(Rates!D120=$A$48,Rates!B120," ")</f>
        <v>Retail Transmission Rate – Network Service Rate</v>
      </c>
      <c r="C48" s="83"/>
      <c r="D48" s="271" t="str">
        <f>IF(Rates!D120= $A$48,Rates!E120," ")</f>
        <v>kW</v>
      </c>
      <c r="E48" s="91"/>
      <c r="F48" s="235">
        <f>IF(Rates!$G$1="CND 2018",Rates!G120," ")</f>
        <v>2.4156</v>
      </c>
      <c r="G48" s="140">
        <f>+$F$17</f>
        <v>8280</v>
      </c>
      <c r="H48" s="82">
        <f>G48*F48</f>
        <v>20001.168000000001</v>
      </c>
      <c r="I48" s="87"/>
      <c r="J48" s="235">
        <f>IF(Rates!$L$1="E+ 2019",Rates!L120," ")</f>
        <v>2.310063868617755</v>
      </c>
      <c r="K48" s="140">
        <f>+$F$17</f>
        <v>8280</v>
      </c>
      <c r="L48" s="82">
        <f>K48*J48</f>
        <v>19127.32883215501</v>
      </c>
      <c r="M48" s="87"/>
      <c r="N48" s="84">
        <f t="shared" si="2"/>
        <v>-873.83916784499161</v>
      </c>
      <c r="O48" s="85">
        <f>IF(OR(H48=0,L48=0),"",(N48/H48))</f>
        <v>-4.3689406930884814E-2</v>
      </c>
      <c r="Q48" s="119"/>
      <c r="R48" s="141"/>
      <c r="S48" s="294">
        <f>F48*K48</f>
        <v>20001.168000000001</v>
      </c>
      <c r="T48" s="87"/>
      <c r="U48" s="89"/>
      <c r="V48" s="90"/>
      <c r="W48" s="69"/>
      <c r="X48" s="119"/>
      <c r="Y48" s="141"/>
      <c r="Z48" s="88"/>
      <c r="AA48" s="87"/>
      <c r="AB48" s="89"/>
      <c r="AC48" s="90"/>
      <c r="AD48" s="69"/>
      <c r="AE48" s="119"/>
      <c r="AF48" s="141"/>
      <c r="AG48" s="88"/>
      <c r="AH48" s="87"/>
      <c r="AI48" s="89"/>
      <c r="AJ48" s="90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</row>
    <row r="49" spans="1:49" x14ac:dyDescent="0.25">
      <c r="A49" s="1"/>
      <c r="B49" s="271" t="str">
        <f>IF(Rates!D121=$A$48,Rates!B121," ")</f>
        <v>Retail Transmission Rate – Line and Transformation Connection Service Rate</v>
      </c>
      <c r="C49" s="83"/>
      <c r="D49" s="271" t="str">
        <f>IF(Rates!D121= $A$48,Rates!E121," ")</f>
        <v>kW</v>
      </c>
      <c r="E49" s="91"/>
      <c r="F49" s="235">
        <f>IF(Rates!$G$1="CND 2018",Rates!G121," ")</f>
        <v>1.9849000000000001</v>
      </c>
      <c r="G49" s="140">
        <f>+$F$17</f>
        <v>8280</v>
      </c>
      <c r="H49" s="82">
        <f t="shared" ref="H49" si="22">G49*F49</f>
        <v>16434.972000000002</v>
      </c>
      <c r="I49" s="87"/>
      <c r="J49" s="235">
        <f>IF(Rates!$L$1="E+ 2019",Rates!L121," ")</f>
        <v>1.9584380508433166</v>
      </c>
      <c r="K49" s="140">
        <f>+$F$17</f>
        <v>8280</v>
      </c>
      <c r="L49" s="82">
        <f t="shared" ref="L49" si="23">K49*J49</f>
        <v>16215.86706098266</v>
      </c>
      <c r="M49" s="87"/>
      <c r="N49" s="84">
        <f t="shared" si="2"/>
        <v>-219.10493901734117</v>
      </c>
      <c r="O49" s="85">
        <f t="shared" ref="O49" si="24">IF(OR(H49=0,L49=0),"",(N49/H49))</f>
        <v>-1.3331628372554645E-2</v>
      </c>
      <c r="Q49" s="119"/>
      <c r="R49" s="141"/>
      <c r="S49" s="295">
        <f>F49*K49</f>
        <v>16434.972000000002</v>
      </c>
      <c r="T49" s="87"/>
      <c r="U49" s="89"/>
      <c r="V49" s="90"/>
      <c r="W49" s="69"/>
      <c r="X49" s="119"/>
      <c r="Y49" s="141"/>
      <c r="Z49" s="88"/>
      <c r="AA49" s="87"/>
      <c r="AB49" s="89"/>
      <c r="AC49" s="90"/>
      <c r="AD49" s="69"/>
      <c r="AE49" s="119"/>
      <c r="AF49" s="141"/>
      <c r="AG49" s="88"/>
      <c r="AH49" s="87"/>
      <c r="AI49" s="89"/>
      <c r="AJ49" s="90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</row>
    <row r="50" spans="1:49" x14ac:dyDescent="0.25">
      <c r="A50" s="1"/>
      <c r="B50" s="132" t="s">
        <v>81</v>
      </c>
      <c r="C50" s="110"/>
      <c r="D50" s="110"/>
      <c r="E50" s="110"/>
      <c r="F50" s="142"/>
      <c r="G50" s="135"/>
      <c r="H50" s="136">
        <f>SUM(H47:H49)</f>
        <v>47845.150754315131</v>
      </c>
      <c r="I50" s="146"/>
      <c r="J50" s="144"/>
      <c r="K50" s="145"/>
      <c r="L50" s="136">
        <f>SUM(L47:L49)</f>
        <v>37975.086201266458</v>
      </c>
      <c r="M50" s="146"/>
      <c r="N50" s="117">
        <f>L50-H50</f>
        <v>-9870.0645530486727</v>
      </c>
      <c r="O50" s="138">
        <f>IF(OR(H50=0,L50=0),"",(N50/H50))</f>
        <v>-0.20629184770952982</v>
      </c>
      <c r="Q50" s="146"/>
      <c r="R50" s="146"/>
      <c r="S50" s="296">
        <f>S48+S49</f>
        <v>36436.14</v>
      </c>
      <c r="T50" s="146"/>
      <c r="U50" s="121"/>
      <c r="V50" s="139"/>
      <c r="W50" s="69"/>
      <c r="X50" s="146"/>
      <c r="Y50" s="146"/>
      <c r="Z50" s="121"/>
      <c r="AA50" s="146"/>
      <c r="AB50" s="121"/>
      <c r="AC50" s="139"/>
      <c r="AD50" s="69"/>
      <c r="AE50" s="146"/>
      <c r="AF50" s="146"/>
      <c r="AG50" s="121"/>
      <c r="AH50" s="146"/>
      <c r="AI50" s="121"/>
      <c r="AJ50" s="13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</row>
    <row r="51" spans="1:49" x14ac:dyDescent="0.25">
      <c r="A51" s="4" t="s">
        <v>17</v>
      </c>
      <c r="B51" s="271" t="str">
        <f>IF(Rates!D8=$A$51,Rates!B8," ")</f>
        <v>Standard Supply Service – Administrative Charge (if applicable)</v>
      </c>
      <c r="C51" s="78"/>
      <c r="D51" s="271" t="str">
        <f>IF(Rates!D8=$A$51,Rates!E8," ")</f>
        <v>customer</v>
      </c>
      <c r="E51" s="79"/>
      <c r="F51" s="235">
        <f>IF(Rates!$J$1="BRT 2018",Rates!J8," ")</f>
        <v>0.25</v>
      </c>
      <c r="G51" s="439">
        <f t="shared" ref="G51" si="25">IF(D51="customer",1,IF(D51="kWh",$F$19,$F$17))</f>
        <v>1</v>
      </c>
      <c r="H51" s="148">
        <f t="shared" ref="H51:H60" si="26">G51*F51</f>
        <v>0.25</v>
      </c>
      <c r="I51" s="87"/>
      <c r="J51" s="80">
        <f>IF(Rates!$L$1="E+ 2019",Rates!L8," ")</f>
        <v>0.25</v>
      </c>
      <c r="K51" s="108">
        <f t="shared" ref="K51" si="27">IF(D51="customer",1,IF(D51="kWh",$F$19,$F$17))</f>
        <v>1</v>
      </c>
      <c r="L51" s="148">
        <f t="shared" ref="L51:L60" si="28">K51*J51</f>
        <v>0.25</v>
      </c>
      <c r="M51" s="87"/>
      <c r="N51" s="84">
        <f t="shared" si="2"/>
        <v>0</v>
      </c>
      <c r="O51" s="85">
        <f>IF(OR(H51=0,L51=0),"",(N51/H51))</f>
        <v>0</v>
      </c>
      <c r="Q51" s="150"/>
      <c r="R51" s="224"/>
      <c r="S51" s="151"/>
      <c r="T51" s="87"/>
      <c r="U51" s="89"/>
      <c r="V51" s="90"/>
      <c r="W51" s="69"/>
      <c r="X51" s="150"/>
      <c r="Y51" s="224"/>
      <c r="Z51" s="151"/>
      <c r="AA51" s="87"/>
      <c r="AB51" s="89"/>
      <c r="AC51" s="90"/>
      <c r="AD51" s="69"/>
      <c r="AE51" s="150"/>
      <c r="AF51" s="224"/>
      <c r="AG51" s="151"/>
      <c r="AH51" s="87"/>
      <c r="AI51" s="89"/>
      <c r="AJ51" s="90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</row>
    <row r="52" spans="1:49" x14ac:dyDescent="0.25">
      <c r="A52" s="1"/>
      <c r="B52" s="271" t="str">
        <f>IF(Rates!D9=$A$51,Rates!B9," ")</f>
        <v xml:space="preserve">Wholesale Market Service Rate </v>
      </c>
      <c r="C52" s="78"/>
      <c r="D52" s="271" t="str">
        <f>IF(Rates!D9=$A$51,Rates!E9," ")</f>
        <v>kWh</v>
      </c>
      <c r="E52" s="79"/>
      <c r="F52" s="235">
        <f>IF(Rates!$J$1="BRT 2018",Rates!J9," ")</f>
        <v>3.2000000000000002E-3</v>
      </c>
      <c r="G52" s="225">
        <f>$F$19*(1+$F$74)</f>
        <v>0</v>
      </c>
      <c r="H52" s="148">
        <f t="shared" si="26"/>
        <v>0</v>
      </c>
      <c r="I52" s="87"/>
      <c r="J52" s="235">
        <f>IF(Rates!$L$1="E+ 2019",Rates!L9," ")</f>
        <v>3.2000000000000002E-3</v>
      </c>
      <c r="K52" s="225">
        <f>$F$19*(1+$J$74)</f>
        <v>0</v>
      </c>
      <c r="L52" s="148">
        <f t="shared" si="28"/>
        <v>0</v>
      </c>
      <c r="M52" s="87"/>
      <c r="N52" s="84">
        <f t="shared" si="2"/>
        <v>0</v>
      </c>
      <c r="O52" s="85" t="str">
        <f t="shared" ref="O52:O71" si="29">IF(OR(H52=0,L52=0),"",(N52/H52))</f>
        <v/>
      </c>
      <c r="Q52" s="150"/>
      <c r="R52" s="224"/>
      <c r="S52" s="151"/>
      <c r="T52" s="87"/>
      <c r="U52" s="89"/>
      <c r="V52" s="90"/>
      <c r="W52" s="69"/>
      <c r="X52" s="150"/>
      <c r="Y52" s="224"/>
      <c r="Z52" s="151"/>
      <c r="AA52" s="87"/>
      <c r="AB52" s="89"/>
      <c r="AC52" s="90"/>
      <c r="AD52" s="69"/>
      <c r="AE52" s="150"/>
      <c r="AF52" s="224"/>
      <c r="AG52" s="151"/>
      <c r="AH52" s="87"/>
      <c r="AI52" s="89"/>
      <c r="AJ52" s="90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</row>
    <row r="53" spans="1:49" x14ac:dyDescent="0.25">
      <c r="A53" s="1"/>
      <c r="B53" s="271" t="str">
        <f>IF(Rates!D10=$A$51,Rates!B10," ")</f>
        <v>Capacity Based Rcovery(CBR) - Class B Customers</v>
      </c>
      <c r="C53" s="78"/>
      <c r="D53" s="271" t="str">
        <f>IF(Rates!D10=$A$51,Rates!E10," ")</f>
        <v>kWh</v>
      </c>
      <c r="E53" s="79"/>
      <c r="F53" s="235">
        <f>IF(Rates!$J$1="BRT 2018",Rates!J10," ")</f>
        <v>4.0000000000000002E-4</v>
      </c>
      <c r="G53" s="225">
        <f>$F$19*(1+$F$74)</f>
        <v>0</v>
      </c>
      <c r="H53" s="148">
        <f t="shared" si="26"/>
        <v>0</v>
      </c>
      <c r="I53" s="87"/>
      <c r="J53" s="235">
        <f>IF(Rates!$L$1="E+ 2019",Rates!L10," ")</f>
        <v>4.0000000000000002E-4</v>
      </c>
      <c r="K53" s="225">
        <f>$F$19*(1+$J$74)</f>
        <v>0</v>
      </c>
      <c r="L53" s="148">
        <f t="shared" si="28"/>
        <v>0</v>
      </c>
      <c r="M53" s="87"/>
      <c r="N53" s="84">
        <f t="shared" si="2"/>
        <v>0</v>
      </c>
      <c r="O53" s="85" t="str">
        <f t="shared" si="29"/>
        <v/>
      </c>
      <c r="Q53" s="150"/>
      <c r="R53" s="224"/>
      <c r="S53" s="151"/>
      <c r="T53" s="87"/>
      <c r="U53" s="89"/>
      <c r="V53" s="90"/>
      <c r="W53" s="69"/>
      <c r="X53" s="150"/>
      <c r="Y53" s="224"/>
      <c r="Z53" s="151"/>
      <c r="AA53" s="87"/>
      <c r="AB53" s="89"/>
      <c r="AC53" s="90"/>
      <c r="AD53" s="69"/>
      <c r="AE53" s="150"/>
      <c r="AF53" s="224"/>
      <c r="AG53" s="151"/>
      <c r="AH53" s="87"/>
      <c r="AI53" s="89"/>
      <c r="AJ53" s="90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</row>
    <row r="54" spans="1:49" x14ac:dyDescent="0.25">
      <c r="A54" s="1"/>
      <c r="B54" s="271" t="str">
        <f>IF(Rates!D11=$A$51,Rates!B11," ")</f>
        <v xml:space="preserve">Rural Rate Protection Charge </v>
      </c>
      <c r="C54" s="78"/>
      <c r="D54" s="271" t="str">
        <f>IF(Rates!D11=$A$51,Rates!E11," ")</f>
        <v>kWh</v>
      </c>
      <c r="E54" s="79"/>
      <c r="F54" s="235">
        <f>IF(Rates!$J$1="BRT 2018",Rates!J11," ")</f>
        <v>2.9999999999999997E-4</v>
      </c>
      <c r="G54" s="225">
        <f>$F$19*(1+$F$74)</f>
        <v>0</v>
      </c>
      <c r="H54" s="148">
        <f t="shared" si="26"/>
        <v>0</v>
      </c>
      <c r="I54" s="87"/>
      <c r="J54" s="235">
        <f>IF(Rates!$L$1="E+ 2019",Rates!L11," ")</f>
        <v>2.9999999999999997E-4</v>
      </c>
      <c r="K54" s="225">
        <f>$F$19*(1+$J$74)</f>
        <v>0</v>
      </c>
      <c r="L54" s="148">
        <f t="shared" si="28"/>
        <v>0</v>
      </c>
      <c r="M54" s="87"/>
      <c r="N54" s="84">
        <f t="shared" si="2"/>
        <v>0</v>
      </c>
      <c r="O54" s="85" t="str">
        <f t="shared" si="29"/>
        <v/>
      </c>
      <c r="Q54" s="153"/>
      <c r="R54" s="87"/>
      <c r="S54" s="151"/>
      <c r="T54" s="87"/>
      <c r="U54" s="89"/>
      <c r="V54" s="90"/>
      <c r="W54" s="69"/>
      <c r="X54" s="153"/>
      <c r="Y54" s="87"/>
      <c r="Z54" s="151"/>
      <c r="AA54" s="87"/>
      <c r="AB54" s="89"/>
      <c r="AC54" s="90"/>
      <c r="AD54" s="69"/>
      <c r="AE54" s="153"/>
      <c r="AF54" s="87"/>
      <c r="AG54" s="151"/>
      <c r="AH54" s="87"/>
      <c r="AI54" s="89"/>
      <c r="AJ54" s="90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</row>
    <row r="55" spans="1:49" x14ac:dyDescent="0.25">
      <c r="A55" s="1"/>
      <c r="B55" s="271" t="str">
        <f>IF(Rates!D12=$A$51,Rates!B12," ")</f>
        <v>Debt Retirement Charge</v>
      </c>
      <c r="C55" s="78"/>
      <c r="D55" s="271" t="str">
        <f>IF(Rates!D12=$A$51,Rates!E12," ")</f>
        <v>kWh</v>
      </c>
      <c r="E55" s="79"/>
      <c r="F55" s="235">
        <f>IF(Rates!$J$1="BRT 2018",Rates!J12," ")</f>
        <v>7.0000000000000001E-3</v>
      </c>
      <c r="G55" s="225">
        <f>$F$19*(1+$F$74)</f>
        <v>0</v>
      </c>
      <c r="H55" s="148">
        <f t="shared" si="26"/>
        <v>0</v>
      </c>
      <c r="I55" s="87"/>
      <c r="J55" s="235">
        <f>IF(Rates!$L$1="E+ 2019",Rates!L12," ")</f>
        <v>7.0000000000000001E-3</v>
      </c>
      <c r="K55" s="225">
        <f>$F$19*(1+$J$74)</f>
        <v>0</v>
      </c>
      <c r="L55" s="148">
        <f t="shared" si="28"/>
        <v>0</v>
      </c>
      <c r="M55" s="87"/>
      <c r="N55" s="84">
        <f t="shared" si="2"/>
        <v>0</v>
      </c>
      <c r="O55" s="85" t="str">
        <f t="shared" si="29"/>
        <v/>
      </c>
      <c r="Q55" s="153"/>
      <c r="R55" s="87"/>
      <c r="S55" s="151"/>
      <c r="T55" s="87"/>
      <c r="U55" s="89"/>
      <c r="V55" s="90"/>
      <c r="W55" s="69"/>
      <c r="X55" s="153"/>
      <c r="Y55" s="87"/>
      <c r="Z55" s="151"/>
      <c r="AA55" s="87"/>
      <c r="AB55" s="89"/>
      <c r="AC55" s="90"/>
      <c r="AD55" s="69"/>
      <c r="AE55" s="153"/>
      <c r="AF55" s="87"/>
      <c r="AG55" s="151"/>
      <c r="AH55" s="87"/>
      <c r="AI55" s="89"/>
      <c r="AJ55" s="90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</row>
    <row r="56" spans="1:49" x14ac:dyDescent="0.25">
      <c r="A56" s="6" t="s">
        <v>14</v>
      </c>
      <c r="B56" s="271" t="str">
        <f>IF(Rates!D2=$A$56,Rates!B2," ")</f>
        <v>TOU - Off Peak</v>
      </c>
      <c r="C56" s="78"/>
      <c r="D56" s="271" t="str">
        <f>IF(Rates!D2=$A$56,Rates!E2," ")</f>
        <v>kWh</v>
      </c>
      <c r="E56" s="79"/>
      <c r="F56" s="235">
        <f>IF(Rates!$J$1="BRT 2018",Rates!J2," ")</f>
        <v>6.5000000000000002E-2</v>
      </c>
      <c r="G56" s="226">
        <f>IF($G$59=0,0.65*($F$19*(1+$F$74)),0)</f>
        <v>0</v>
      </c>
      <c r="H56" s="148">
        <f t="shared" si="26"/>
        <v>0</v>
      </c>
      <c r="I56" s="87"/>
      <c r="J56" s="152">
        <f>IF(Rates!$L$1="E+ 2019",Rates!L2," ")</f>
        <v>6.5000000000000002E-2</v>
      </c>
      <c r="K56" s="226">
        <f>IF($K$59=0,0.65*$F$19,0)</f>
        <v>0</v>
      </c>
      <c r="L56" s="148">
        <f t="shared" si="28"/>
        <v>0</v>
      </c>
      <c r="M56" s="87"/>
      <c r="N56" s="84">
        <f t="shared" si="2"/>
        <v>0</v>
      </c>
      <c r="O56" s="85" t="str">
        <f t="shared" si="29"/>
        <v/>
      </c>
      <c r="Q56" s="150"/>
      <c r="R56" s="224"/>
      <c r="S56" s="151"/>
      <c r="T56" s="87"/>
      <c r="U56" s="89"/>
      <c r="V56" s="90"/>
      <c r="W56" s="69"/>
      <c r="X56" s="150"/>
      <c r="Y56" s="224"/>
      <c r="Z56" s="151"/>
      <c r="AA56" s="87"/>
      <c r="AB56" s="89"/>
      <c r="AC56" s="90"/>
      <c r="AD56" s="69"/>
      <c r="AE56" s="150"/>
      <c r="AF56" s="224"/>
      <c r="AG56" s="151"/>
      <c r="AH56" s="87"/>
      <c r="AI56" s="89"/>
      <c r="AJ56" s="90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</row>
    <row r="57" spans="1:49" x14ac:dyDescent="0.25">
      <c r="A57" s="1"/>
      <c r="B57" s="271" t="str">
        <f>IF(Rates!D3=$A$56,Rates!B3," ")</f>
        <v>TOU - Mid Peak</v>
      </c>
      <c r="C57" s="78"/>
      <c r="D57" s="271" t="str">
        <f>IF(Rates!D3=$A$56,Rates!E3," ")</f>
        <v>kWh</v>
      </c>
      <c r="E57" s="79"/>
      <c r="F57" s="235">
        <f>IF(Rates!$J$1="BRT 2018",Rates!J3," ")</f>
        <v>9.5000000000000001E-2</v>
      </c>
      <c r="G57" s="226">
        <f>IF($G$59=0,0.17*($F$19*(1+$F$74)),0)</f>
        <v>0</v>
      </c>
      <c r="H57" s="148">
        <f t="shared" si="26"/>
        <v>0</v>
      </c>
      <c r="I57" s="87"/>
      <c r="J57" s="147">
        <f t="shared" ref="J57:J60" si="30">+F57</f>
        <v>9.5000000000000001E-2</v>
      </c>
      <c r="K57" s="226">
        <f>IF($K$59=0,0.17*$F$19,0)</f>
        <v>0</v>
      </c>
      <c r="L57" s="148">
        <f t="shared" si="28"/>
        <v>0</v>
      </c>
      <c r="M57" s="87"/>
      <c r="N57" s="84">
        <f t="shared" si="2"/>
        <v>0</v>
      </c>
      <c r="O57" s="85" t="str">
        <f t="shared" si="29"/>
        <v/>
      </c>
      <c r="Q57" s="157"/>
      <c r="R57" s="227"/>
      <c r="S57" s="151"/>
      <c r="T57" s="87"/>
      <c r="U57" s="89"/>
      <c r="V57" s="90"/>
      <c r="W57" s="69"/>
      <c r="X57" s="157"/>
      <c r="Y57" s="227"/>
      <c r="Z57" s="151"/>
      <c r="AA57" s="87"/>
      <c r="AB57" s="89"/>
      <c r="AC57" s="90"/>
      <c r="AD57" s="69"/>
      <c r="AE57" s="157"/>
      <c r="AF57" s="227"/>
      <c r="AG57" s="151"/>
      <c r="AH57" s="87"/>
      <c r="AI57" s="89"/>
      <c r="AJ57" s="90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</row>
    <row r="58" spans="1:49" x14ac:dyDescent="0.25">
      <c r="A58" s="1"/>
      <c r="B58" s="271" t="str">
        <f>IF(Rates!D4=$A$56,Rates!B4," ")</f>
        <v>TOU - On Peak</v>
      </c>
      <c r="C58" s="78"/>
      <c r="D58" s="271" t="str">
        <f>IF(Rates!D4=$A$56,Rates!E4," ")</f>
        <v>kWh</v>
      </c>
      <c r="E58" s="79"/>
      <c r="F58" s="235">
        <f>IF(Rates!$J$1="BRT 2018",Rates!J4," ")</f>
        <v>0.13200000000000001</v>
      </c>
      <c r="G58" s="226">
        <f>IF($G$59=0,0.18*($F$19*(1+$F$74)),0)</f>
        <v>0</v>
      </c>
      <c r="H58" s="148">
        <f t="shared" si="26"/>
        <v>0</v>
      </c>
      <c r="I58" s="87"/>
      <c r="J58" s="147">
        <f t="shared" si="30"/>
        <v>0.13200000000000001</v>
      </c>
      <c r="K58" s="226">
        <f>IF($K$59=0,0.18*$F$19,0)</f>
        <v>0</v>
      </c>
      <c r="L58" s="148">
        <f t="shared" si="28"/>
        <v>0</v>
      </c>
      <c r="M58" s="87"/>
      <c r="N58" s="84">
        <f t="shared" si="2"/>
        <v>0</v>
      </c>
      <c r="O58" s="85" t="str">
        <f t="shared" si="29"/>
        <v/>
      </c>
      <c r="Q58" s="157"/>
      <c r="R58" s="227"/>
      <c r="S58" s="151"/>
      <c r="T58" s="87"/>
      <c r="U58" s="89"/>
      <c r="V58" s="90"/>
      <c r="W58" s="69"/>
      <c r="X58" s="157"/>
      <c r="Y58" s="227"/>
      <c r="Z58" s="151"/>
      <c r="AA58" s="87"/>
      <c r="AB58" s="89"/>
      <c r="AC58" s="90"/>
      <c r="AD58" s="69"/>
      <c r="AE58" s="157"/>
      <c r="AF58" s="227"/>
      <c r="AG58" s="151"/>
      <c r="AH58" s="87"/>
      <c r="AI58" s="89"/>
      <c r="AJ58" s="90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</row>
    <row r="59" spans="1:49" x14ac:dyDescent="0.25">
      <c r="A59" s="1"/>
      <c r="B59" s="271" t="str">
        <f>IF(Rates!D5=$A$56,Rates!B5," ")</f>
        <v>Commodity</v>
      </c>
      <c r="C59" s="160"/>
      <c r="D59" s="271" t="str">
        <f>IF(Rates!D5=$A$56,Rates!E5," ")</f>
        <v>kWh</v>
      </c>
      <c r="E59" s="161"/>
      <c r="F59" s="235">
        <f>IF(Rates!$J$1="BRT 2018",Rates!J5," ")</f>
        <v>1.8855833333333332E-2</v>
      </c>
      <c r="G59" s="225">
        <f>$F$19*(1+$F$74)</f>
        <v>0</v>
      </c>
      <c r="H59" s="148">
        <f t="shared" si="26"/>
        <v>0</v>
      </c>
      <c r="I59" s="166"/>
      <c r="J59" s="147">
        <f t="shared" si="30"/>
        <v>1.8855833333333332E-2</v>
      </c>
      <c r="K59" s="225">
        <f>$F$19*(1+$J$74)</f>
        <v>0</v>
      </c>
      <c r="L59" s="148">
        <f t="shared" si="28"/>
        <v>0</v>
      </c>
      <c r="M59" s="166"/>
      <c r="N59" s="84">
        <f t="shared" si="2"/>
        <v>0</v>
      </c>
      <c r="O59" s="85" t="str">
        <f t="shared" si="29"/>
        <v/>
      </c>
      <c r="Q59" s="157"/>
      <c r="R59" s="227"/>
      <c r="S59" s="151"/>
      <c r="T59" s="166"/>
      <c r="U59" s="89"/>
      <c r="V59" s="90"/>
      <c r="W59" s="69"/>
      <c r="X59" s="157"/>
      <c r="Y59" s="227"/>
      <c r="Z59" s="151"/>
      <c r="AA59" s="166"/>
      <c r="AB59" s="89"/>
      <c r="AC59" s="90"/>
      <c r="AD59" s="69"/>
      <c r="AE59" s="157"/>
      <c r="AF59" s="227"/>
      <c r="AG59" s="151"/>
      <c r="AH59" s="166"/>
      <c r="AI59" s="89"/>
      <c r="AJ59" s="90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</row>
    <row r="60" spans="1:49" ht="15.75" thickBot="1" x14ac:dyDescent="0.3">
      <c r="A60" s="159"/>
      <c r="B60" s="271" t="str">
        <f>IF(Rates!D6=$A$56,Rates!B6," ")</f>
        <v>Global Adjustment</v>
      </c>
      <c r="C60" s="160"/>
      <c r="D60" s="271" t="str">
        <f>IF(Rates!D6=$A$56,Rates!E6," ")</f>
        <v>kWh</v>
      </c>
      <c r="E60" s="161"/>
      <c r="F60" s="235">
        <f>IF(Rates!$J$1="BRT 2018",Rates!J6," ")</f>
        <v>0.10303000000000001</v>
      </c>
      <c r="G60" s="225">
        <f>$F$19*(1+$F$74)</f>
        <v>0</v>
      </c>
      <c r="H60" s="148">
        <f t="shared" si="26"/>
        <v>0</v>
      </c>
      <c r="I60" s="166"/>
      <c r="J60" s="169">
        <f t="shared" si="30"/>
        <v>0.10303000000000001</v>
      </c>
      <c r="K60" s="225">
        <f>$F$19*(1+$J$74)</f>
        <v>0</v>
      </c>
      <c r="L60" s="148">
        <f t="shared" si="28"/>
        <v>0</v>
      </c>
      <c r="M60" s="166"/>
      <c r="N60" s="84">
        <f t="shared" si="2"/>
        <v>0</v>
      </c>
      <c r="O60" s="85" t="str">
        <f t="shared" si="29"/>
        <v/>
      </c>
      <c r="Q60" s="157"/>
      <c r="R60" s="227"/>
      <c r="S60" s="151"/>
      <c r="T60" s="166"/>
      <c r="U60" s="89"/>
      <c r="V60" s="90"/>
      <c r="W60" s="69"/>
      <c r="X60" s="157"/>
      <c r="Y60" s="227"/>
      <c r="Z60" s="151"/>
      <c r="AA60" s="166"/>
      <c r="AB60" s="89"/>
      <c r="AC60" s="90"/>
      <c r="AD60" s="69"/>
      <c r="AE60" s="157"/>
      <c r="AF60" s="227"/>
      <c r="AG60" s="151"/>
      <c r="AH60" s="166"/>
      <c r="AI60" s="89"/>
      <c r="AJ60" s="90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</row>
    <row r="61" spans="1:49" ht="15.75" thickBot="1" x14ac:dyDescent="0.3">
      <c r="A61" s="159"/>
      <c r="B61" s="211"/>
      <c r="C61" s="212"/>
      <c r="D61" s="213"/>
      <c r="E61" s="212"/>
      <c r="F61" s="266"/>
      <c r="G61" s="214"/>
      <c r="H61" s="267"/>
      <c r="I61" s="87"/>
      <c r="J61" s="266"/>
      <c r="K61" s="216"/>
      <c r="L61" s="267"/>
      <c r="M61" s="87"/>
      <c r="N61" s="217"/>
      <c r="O61" s="205"/>
      <c r="Q61" s="157"/>
      <c r="R61" s="120"/>
      <c r="S61" s="151"/>
      <c r="T61" s="87"/>
      <c r="U61" s="89"/>
      <c r="V61" s="174"/>
      <c r="W61" s="69"/>
      <c r="X61" s="157"/>
      <c r="Y61" s="120"/>
      <c r="Z61" s="151"/>
      <c r="AA61" s="87"/>
      <c r="AB61" s="89"/>
      <c r="AC61" s="174"/>
      <c r="AD61" s="69"/>
      <c r="AE61" s="157"/>
      <c r="AF61" s="120"/>
      <c r="AG61" s="151"/>
      <c r="AH61" s="87"/>
      <c r="AI61" s="89"/>
      <c r="AJ61" s="174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</row>
    <row r="62" spans="1:49" x14ac:dyDescent="0.25">
      <c r="A62" s="159"/>
      <c r="B62" s="175" t="s">
        <v>97</v>
      </c>
      <c r="C62" s="78"/>
      <c r="D62" s="78"/>
      <c r="E62" s="78"/>
      <c r="F62" s="176"/>
      <c r="G62" s="177"/>
      <c r="H62" s="179">
        <f>SUM(H51:H55,H50,H59,,H60,)</f>
        <v>47845.400754315131</v>
      </c>
      <c r="I62" s="146"/>
      <c r="J62" s="178"/>
      <c r="K62" s="178"/>
      <c r="L62" s="179">
        <f>SUM(L51:L55,L50,L59,,L60,)</f>
        <v>37975.336201266458</v>
      </c>
      <c r="M62" s="146"/>
      <c r="N62" s="179">
        <f>L62-H62</f>
        <v>-9870.0645530486727</v>
      </c>
      <c r="O62" s="180">
        <f t="shared" si="29"/>
        <v>-0.20629076980107647</v>
      </c>
      <c r="Q62" s="181"/>
      <c r="R62" s="181"/>
      <c r="S62" s="121"/>
      <c r="T62" s="146"/>
      <c r="U62" s="89"/>
      <c r="V62" s="90"/>
      <c r="W62" s="69"/>
      <c r="X62" s="181"/>
      <c r="Y62" s="181"/>
      <c r="Z62" s="121"/>
      <c r="AA62" s="146"/>
      <c r="AB62" s="89"/>
      <c r="AC62" s="90"/>
      <c r="AD62" s="69"/>
      <c r="AE62" s="181"/>
      <c r="AF62" s="181"/>
      <c r="AG62" s="121"/>
      <c r="AH62" s="146"/>
      <c r="AI62" s="89"/>
      <c r="AJ62" s="90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</row>
    <row r="63" spans="1:49" x14ac:dyDescent="0.25">
      <c r="A63" s="159"/>
      <c r="B63" s="182" t="s">
        <v>9</v>
      </c>
      <c r="C63" s="78"/>
      <c r="D63" s="78"/>
      <c r="E63" s="78"/>
      <c r="F63" s="183">
        <v>0.13</v>
      </c>
      <c r="G63" s="87"/>
      <c r="H63" s="188">
        <f>H62*F63</f>
        <v>6219.9020980609675</v>
      </c>
      <c r="I63" s="187"/>
      <c r="J63" s="185">
        <v>0.13</v>
      </c>
      <c r="K63" s="184"/>
      <c r="L63" s="188">
        <f>L62*J63</f>
        <v>4936.7937061646398</v>
      </c>
      <c r="M63" s="187"/>
      <c r="N63" s="188">
        <f>L63-H63</f>
        <v>-1283.1083918963277</v>
      </c>
      <c r="O63" s="85">
        <f t="shared" si="29"/>
        <v>-0.2062907698010765</v>
      </c>
      <c r="Q63" s="189"/>
      <c r="R63" s="187"/>
      <c r="S63" s="190"/>
      <c r="T63" s="187"/>
      <c r="U63" s="89"/>
      <c r="V63" s="90"/>
      <c r="W63" s="69"/>
      <c r="X63" s="189"/>
      <c r="Y63" s="187"/>
      <c r="Z63" s="190"/>
      <c r="AA63" s="187"/>
      <c r="AB63" s="89"/>
      <c r="AC63" s="90"/>
      <c r="AD63" s="69"/>
      <c r="AE63" s="189"/>
      <c r="AF63" s="187"/>
      <c r="AG63" s="190"/>
      <c r="AH63" s="187"/>
      <c r="AI63" s="89"/>
      <c r="AJ63" s="90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</row>
    <row r="64" spans="1:49" ht="15.75" thickBot="1" x14ac:dyDescent="0.3">
      <c r="A64" s="1"/>
      <c r="B64" s="515" t="s">
        <v>98</v>
      </c>
      <c r="C64" s="515"/>
      <c r="D64" s="515"/>
      <c r="E64" s="192"/>
      <c r="F64" s="218"/>
      <c r="G64" s="219"/>
      <c r="H64" s="222">
        <f>SUM(H62:H63)</f>
        <v>54065.302852376102</v>
      </c>
      <c r="I64" s="146"/>
      <c r="J64" s="220"/>
      <c r="K64" s="220"/>
      <c r="L64" s="222">
        <f>SUM(L62:L63)</f>
        <v>42912.129907431095</v>
      </c>
      <c r="M64" s="146"/>
      <c r="N64" s="222">
        <f>L64-H64</f>
        <v>-11153.172944945007</v>
      </c>
      <c r="O64" s="197">
        <f t="shared" si="29"/>
        <v>-0.20629076980107658</v>
      </c>
      <c r="Q64" s="146"/>
      <c r="R64" s="146"/>
      <c r="S64" s="121"/>
      <c r="T64" s="146"/>
      <c r="U64" s="121"/>
      <c r="V64" s="223"/>
      <c r="W64" s="69"/>
      <c r="X64" s="146"/>
      <c r="Y64" s="146"/>
      <c r="Z64" s="121"/>
      <c r="AA64" s="146"/>
      <c r="AB64" s="121"/>
      <c r="AC64" s="223"/>
      <c r="AD64" s="69"/>
      <c r="AE64" s="146"/>
      <c r="AF64" s="146"/>
      <c r="AG64" s="121"/>
      <c r="AH64" s="146"/>
      <c r="AI64" s="121"/>
      <c r="AJ64" s="223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</row>
    <row r="65" spans="1:49" ht="15.75" thickBot="1" x14ac:dyDescent="0.3">
      <c r="A65" s="1"/>
      <c r="B65" s="198"/>
      <c r="C65" s="199"/>
      <c r="D65" s="200"/>
      <c r="E65" s="199"/>
      <c r="F65" s="266"/>
      <c r="G65" s="201"/>
      <c r="H65" s="267"/>
      <c r="I65" s="166"/>
      <c r="J65" s="266"/>
      <c r="K65" s="203"/>
      <c r="L65" s="267"/>
      <c r="M65" s="166"/>
      <c r="N65" s="204"/>
      <c r="O65" s="205"/>
      <c r="Q65" s="157"/>
      <c r="R65" s="206"/>
      <c r="S65" s="151"/>
      <c r="T65" s="166"/>
      <c r="U65" s="207"/>
      <c r="V65" s="174"/>
      <c r="W65" s="69"/>
      <c r="X65" s="157"/>
      <c r="Y65" s="206"/>
      <c r="Z65" s="151"/>
      <c r="AA65" s="166"/>
      <c r="AB65" s="207"/>
      <c r="AC65" s="174"/>
      <c r="AD65" s="69"/>
      <c r="AE65" s="157"/>
      <c r="AF65" s="206"/>
      <c r="AG65" s="151"/>
      <c r="AH65" s="166"/>
      <c r="AI65" s="207"/>
      <c r="AJ65" s="174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</row>
    <row r="66" spans="1:49" x14ac:dyDescent="0.25">
      <c r="A66" s="1"/>
      <c r="B66" s="236" t="s">
        <v>99</v>
      </c>
      <c r="C66" s="160"/>
      <c r="D66" s="160"/>
      <c r="E66" s="160"/>
      <c r="F66" s="237"/>
      <c r="G66" s="238"/>
      <c r="H66" s="241">
        <f>IF($G$56&gt;0,SUM(H50,H51:H58),0)</f>
        <v>0</v>
      </c>
      <c r="I66" s="240"/>
      <c r="J66" s="239"/>
      <c r="K66" s="239"/>
      <c r="L66" s="241">
        <f>IF($K$56&gt;0,SUM(L50,L51:L58),0)</f>
        <v>0</v>
      </c>
      <c r="M66" s="240"/>
      <c r="N66" s="241">
        <f t="shared" ref="N66:N71" si="31">L66-H66</f>
        <v>0</v>
      </c>
      <c r="O66" s="180" t="str">
        <f t="shared" si="29"/>
        <v/>
      </c>
      <c r="Q66" s="242"/>
      <c r="R66" s="242"/>
      <c r="S66" s="243"/>
      <c r="T66" s="240"/>
      <c r="U66" s="89"/>
      <c r="V66" s="90"/>
      <c r="W66" s="69"/>
      <c r="X66" s="242"/>
      <c r="Y66" s="242"/>
      <c r="Z66" s="243"/>
      <c r="AA66" s="240"/>
      <c r="AB66" s="89"/>
      <c r="AC66" s="90"/>
      <c r="AD66" s="69"/>
      <c r="AE66" s="242"/>
      <c r="AF66" s="242"/>
      <c r="AG66" s="243"/>
      <c r="AH66" s="240"/>
      <c r="AI66" s="89"/>
      <c r="AJ66" s="90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</row>
    <row r="67" spans="1:49" x14ac:dyDescent="0.25">
      <c r="A67" s="1"/>
      <c r="B67" s="244" t="s">
        <v>9</v>
      </c>
      <c r="C67" s="160"/>
      <c r="D67" s="160"/>
      <c r="E67" s="160"/>
      <c r="F67" s="245">
        <v>0.13</v>
      </c>
      <c r="G67" s="238"/>
      <c r="H67" s="250">
        <f>$H$66*F67</f>
        <v>0</v>
      </c>
      <c r="I67" s="249"/>
      <c r="J67" s="247">
        <v>0.13</v>
      </c>
      <c r="K67" s="248"/>
      <c r="L67" s="250">
        <f>$L$66*J67</f>
        <v>0</v>
      </c>
      <c r="M67" s="249"/>
      <c r="N67" s="250">
        <f t="shared" si="31"/>
        <v>0</v>
      </c>
      <c r="O67" s="85" t="str">
        <f t="shared" si="29"/>
        <v/>
      </c>
      <c r="Q67" s="251"/>
      <c r="R67" s="252"/>
      <c r="S67" s="253"/>
      <c r="T67" s="249"/>
      <c r="U67" s="89"/>
      <c r="V67" s="90"/>
      <c r="W67" s="69"/>
      <c r="X67" s="251"/>
      <c r="Y67" s="252"/>
      <c r="Z67" s="253"/>
      <c r="AA67" s="249"/>
      <c r="AB67" s="89"/>
      <c r="AC67" s="90"/>
      <c r="AD67" s="69"/>
      <c r="AE67" s="251"/>
      <c r="AF67" s="252"/>
      <c r="AG67" s="253"/>
      <c r="AH67" s="249"/>
      <c r="AI67" s="89"/>
      <c r="AJ67" s="90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</row>
    <row r="68" spans="1:49" x14ac:dyDescent="0.25">
      <c r="A68" s="1"/>
      <c r="B68" s="182" t="s">
        <v>106</v>
      </c>
      <c r="C68" s="78"/>
      <c r="D68" s="78"/>
      <c r="E68" s="78"/>
      <c r="F68" s="183">
        <v>-0.05</v>
      </c>
      <c r="G68" s="87"/>
      <c r="H68" s="188">
        <f>$H$66*F68</f>
        <v>0</v>
      </c>
      <c r="I68" s="187"/>
      <c r="J68" s="183">
        <v>-0.05</v>
      </c>
      <c r="K68" s="184"/>
      <c r="L68" s="188">
        <f>$L$66*J68</f>
        <v>0</v>
      </c>
      <c r="M68" s="187"/>
      <c r="N68" s="188">
        <f t="shared" si="31"/>
        <v>0</v>
      </c>
      <c r="O68" s="85" t="str">
        <f t="shared" si="29"/>
        <v/>
      </c>
      <c r="Q68" s="189"/>
      <c r="R68" s="187"/>
      <c r="S68" s="190"/>
      <c r="T68" s="187"/>
      <c r="U68" s="89"/>
      <c r="V68" s="90"/>
      <c r="W68" s="69"/>
      <c r="X68" s="189"/>
      <c r="Y68" s="187"/>
      <c r="Z68" s="253"/>
      <c r="AA68" s="249"/>
      <c r="AB68" s="89"/>
      <c r="AC68" s="90"/>
      <c r="AD68" s="69"/>
      <c r="AE68" s="251"/>
      <c r="AF68" s="252"/>
      <c r="AG68" s="253"/>
      <c r="AH68" s="249"/>
      <c r="AI68" s="89"/>
      <c r="AJ68" s="90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</row>
    <row r="69" spans="1:49" x14ac:dyDescent="0.25">
      <c r="A69" s="159"/>
      <c r="B69" s="254" t="s">
        <v>100</v>
      </c>
      <c r="C69" s="160"/>
      <c r="D69" s="160"/>
      <c r="E69" s="160"/>
      <c r="F69" s="255"/>
      <c r="G69" s="166"/>
      <c r="H69" s="250">
        <f>SUM(H66:H68)</f>
        <v>0</v>
      </c>
      <c r="I69" s="249"/>
      <c r="J69" s="246"/>
      <c r="K69" s="246"/>
      <c r="L69" s="250">
        <f>SUM(L66:L68)</f>
        <v>0</v>
      </c>
      <c r="M69" s="249"/>
      <c r="N69" s="250">
        <f t="shared" si="31"/>
        <v>0</v>
      </c>
      <c r="O69" s="85" t="str">
        <f t="shared" si="29"/>
        <v/>
      </c>
      <c r="Q69" s="249"/>
      <c r="R69" s="249"/>
      <c r="S69" s="253"/>
      <c r="T69" s="249"/>
      <c r="U69" s="89"/>
      <c r="V69" s="90"/>
      <c r="W69" s="69"/>
      <c r="X69" s="249"/>
      <c r="Y69" s="249"/>
      <c r="Z69" s="253"/>
      <c r="AA69" s="249"/>
      <c r="AB69" s="89"/>
      <c r="AC69" s="90"/>
      <c r="AD69" s="69"/>
      <c r="AE69" s="249"/>
      <c r="AF69" s="249"/>
      <c r="AG69" s="253"/>
      <c r="AH69" s="249"/>
      <c r="AI69" s="89"/>
      <c r="AJ69" s="90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</row>
    <row r="70" spans="1:49" x14ac:dyDescent="0.25">
      <c r="A70" s="159"/>
      <c r="B70" s="516" t="s">
        <v>101</v>
      </c>
      <c r="C70" s="516"/>
      <c r="D70" s="516"/>
      <c r="E70" s="160"/>
      <c r="F70" s="255"/>
      <c r="G70" s="166"/>
      <c r="H70" s="256">
        <f>ROUND(-H69*0%,2)</f>
        <v>0</v>
      </c>
      <c r="I70" s="249"/>
      <c r="J70" s="246"/>
      <c r="K70" s="246"/>
      <c r="L70" s="256">
        <f>ROUND(-L69*0%,2)</f>
        <v>0</v>
      </c>
      <c r="M70" s="249"/>
      <c r="N70" s="256">
        <f t="shared" si="31"/>
        <v>0</v>
      </c>
      <c r="O70" s="257" t="str">
        <f>IF(OR(H70=0,L70=0),"",(N70/H70))</f>
        <v/>
      </c>
      <c r="Q70" s="249"/>
      <c r="R70" s="249"/>
      <c r="S70" s="258"/>
      <c r="T70" s="249"/>
      <c r="U70" s="259"/>
      <c r="V70" s="90"/>
      <c r="W70" s="69"/>
      <c r="X70" s="249"/>
      <c r="Y70" s="249"/>
      <c r="Z70" s="258"/>
      <c r="AA70" s="249"/>
      <c r="AB70" s="259"/>
      <c r="AC70" s="90"/>
      <c r="AD70" s="69"/>
      <c r="AE70" s="249"/>
      <c r="AF70" s="249"/>
      <c r="AG70" s="258"/>
      <c r="AH70" s="249"/>
      <c r="AI70" s="259"/>
      <c r="AJ70" s="90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</row>
    <row r="71" spans="1:49" ht="15.75" thickBot="1" x14ac:dyDescent="0.3">
      <c r="A71" s="159"/>
      <c r="B71" s="513" t="s">
        <v>102</v>
      </c>
      <c r="C71" s="513"/>
      <c r="D71" s="513"/>
      <c r="E71" s="260"/>
      <c r="F71" s="261"/>
      <c r="G71" s="262"/>
      <c r="H71" s="265">
        <f>SUM(H69:H70)</f>
        <v>0</v>
      </c>
      <c r="I71" s="240"/>
      <c r="J71" s="263"/>
      <c r="K71" s="263"/>
      <c r="L71" s="265">
        <f>SUM(L69:L70)</f>
        <v>0</v>
      </c>
      <c r="M71" s="240"/>
      <c r="N71" s="265">
        <f t="shared" si="31"/>
        <v>0</v>
      </c>
      <c r="O71" s="197" t="str">
        <f t="shared" si="29"/>
        <v/>
      </c>
      <c r="Q71" s="240"/>
      <c r="R71" s="240"/>
      <c r="S71" s="243"/>
      <c r="T71" s="240"/>
      <c r="U71" s="121"/>
      <c r="V71" s="223"/>
      <c r="W71" s="69"/>
      <c r="X71" s="240"/>
      <c r="Y71" s="240"/>
      <c r="Z71" s="243"/>
      <c r="AA71" s="240"/>
      <c r="AB71" s="121"/>
      <c r="AC71" s="223"/>
      <c r="AD71" s="69"/>
      <c r="AE71" s="240"/>
      <c r="AF71" s="240"/>
      <c r="AG71" s="243"/>
      <c r="AH71" s="240"/>
      <c r="AI71" s="121"/>
      <c r="AJ71" s="223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</row>
    <row r="72" spans="1:49" ht="15.75" thickBot="1" x14ac:dyDescent="0.3">
      <c r="A72" s="159"/>
      <c r="B72" s="198"/>
      <c r="C72" s="199"/>
      <c r="D72" s="200"/>
      <c r="E72" s="199"/>
      <c r="F72" s="390"/>
      <c r="G72" s="400"/>
      <c r="H72" s="401"/>
      <c r="I72" s="166"/>
      <c r="J72" s="390"/>
      <c r="K72" s="391"/>
      <c r="L72" s="392"/>
      <c r="M72" s="166"/>
      <c r="N72" s="268"/>
      <c r="O72" s="205"/>
      <c r="Q72" s="157"/>
      <c r="R72" s="206"/>
      <c r="S72" s="151"/>
      <c r="T72" s="166"/>
      <c r="U72" s="207"/>
      <c r="V72" s="174"/>
      <c r="W72" s="69"/>
      <c r="X72" s="157"/>
      <c r="Y72" s="206"/>
      <c r="Z72" s="151"/>
      <c r="AA72" s="166"/>
      <c r="AB72" s="207"/>
      <c r="AC72" s="174"/>
      <c r="AD72" s="69"/>
      <c r="AE72" s="157"/>
      <c r="AF72" s="206"/>
      <c r="AG72" s="151"/>
      <c r="AH72" s="166"/>
      <c r="AI72" s="207"/>
      <c r="AJ72" s="174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</row>
    <row r="73" spans="1:49" x14ac:dyDescent="0.25">
      <c r="A73" s="159"/>
      <c r="B73" s="1"/>
      <c r="C73" s="1"/>
      <c r="D73" s="1"/>
      <c r="E73" s="1"/>
      <c r="F73" s="1"/>
      <c r="G73" s="1"/>
      <c r="H73" s="67"/>
      <c r="I73" s="1"/>
      <c r="J73" s="1"/>
      <c r="K73" s="1"/>
      <c r="L73" s="67"/>
      <c r="M73" s="1"/>
      <c r="N73" s="1"/>
      <c r="O73" s="1"/>
      <c r="Q73" s="2"/>
      <c r="R73" s="2"/>
      <c r="S73" s="208"/>
      <c r="T73" s="2"/>
      <c r="U73" s="2"/>
      <c r="V73" s="2"/>
      <c r="W73" s="69"/>
      <c r="X73" s="2"/>
      <c r="Y73" s="2"/>
      <c r="Z73" s="208"/>
      <c r="AA73" s="2"/>
      <c r="AB73" s="2"/>
      <c r="AC73" s="2"/>
      <c r="AD73" s="69"/>
      <c r="AE73" s="2"/>
      <c r="AF73" s="2"/>
      <c r="AG73" s="208"/>
      <c r="AH73" s="2"/>
      <c r="AI73" s="2"/>
      <c r="AJ73" s="2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</row>
    <row r="74" spans="1:49" x14ac:dyDescent="0.25">
      <c r="A74" s="159"/>
      <c r="B74" s="65" t="s">
        <v>10</v>
      </c>
      <c r="C74" s="1"/>
      <c r="D74" s="1"/>
      <c r="E74" s="1"/>
      <c r="F74" s="209">
        <f>Rates!$R$5-1</f>
        <v>4.4999999999999485E-3</v>
      </c>
      <c r="G74" s="1"/>
      <c r="H74" s="1"/>
      <c r="I74" s="1"/>
      <c r="J74" s="209">
        <f>Rates!$T$5-1</f>
        <v>4.4999999999999485E-3</v>
      </c>
      <c r="K74" s="1"/>
      <c r="L74" s="67"/>
      <c r="M74" s="1"/>
      <c r="N74" s="1"/>
      <c r="O74" s="1"/>
      <c r="Q74" s="210"/>
      <c r="R74" s="2"/>
      <c r="S74" s="2"/>
      <c r="T74" s="2"/>
      <c r="U74" s="2"/>
      <c r="V74" s="2"/>
      <c r="W74" s="69"/>
      <c r="X74" s="210"/>
      <c r="Y74" s="2"/>
      <c r="Z74" s="2"/>
      <c r="AA74" s="2"/>
      <c r="AB74" s="2"/>
      <c r="AC74" s="2"/>
      <c r="AD74" s="69"/>
      <c r="AE74" s="210"/>
      <c r="AF74" s="2"/>
      <c r="AG74" s="2"/>
      <c r="AH74" s="2"/>
      <c r="AI74" s="2"/>
      <c r="AJ74" s="2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</row>
    <row r="75" spans="1:49" x14ac:dyDescent="0.25">
      <c r="A75" s="15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49" x14ac:dyDescent="0.25">
      <c r="A79" s="1" t="s">
        <v>84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49" x14ac:dyDescent="0.25">
      <c r="A80" s="1" t="s">
        <v>85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25">
      <c r="A82" s="64" t="s">
        <v>86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5">
      <c r="A83" s="64" t="s">
        <v>87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25">
      <c r="A85" s="1" t="s">
        <v>88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25">
      <c r="A86" s="1" t="s">
        <v>89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25">
      <c r="A87" s="1" t="s">
        <v>90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25">
      <c r="A88" s="1" t="s">
        <v>91</v>
      </c>
      <c r="B88" s="1" t="s">
        <v>93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25">
      <c r="A89" s="1" t="s">
        <v>92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</sheetData>
  <mergeCells count="24">
    <mergeCell ref="AI20:AJ20"/>
    <mergeCell ref="A3:K3"/>
    <mergeCell ref="B10:O10"/>
    <mergeCell ref="B11:O11"/>
    <mergeCell ref="D14:O14"/>
    <mergeCell ref="F20:H20"/>
    <mergeCell ref="J20:L20"/>
    <mergeCell ref="N20:O20"/>
    <mergeCell ref="Q20:S20"/>
    <mergeCell ref="U20:V20"/>
    <mergeCell ref="X20:Z20"/>
    <mergeCell ref="AB20:AC20"/>
    <mergeCell ref="AE20:AG20"/>
    <mergeCell ref="AI21:AI22"/>
    <mergeCell ref="AJ21:AJ22"/>
    <mergeCell ref="B64:D64"/>
    <mergeCell ref="B70:D70"/>
    <mergeCell ref="B71:D71"/>
    <mergeCell ref="N21:N22"/>
    <mergeCell ref="O21:O22"/>
    <mergeCell ref="U21:U22"/>
    <mergeCell ref="V21:V22"/>
    <mergeCell ref="AB21:AB22"/>
    <mergeCell ref="AC21:AC22"/>
  </mergeCells>
  <dataValidations count="3">
    <dataValidation type="list" allowBlank="1" showInputMessage="1" showErrorMessage="1" sqref="D16">
      <formula1>"TOU, non-TOU"</formula1>
    </dataValidation>
    <dataValidation type="list" allowBlank="1" showInputMessage="1" showErrorMessage="1" prompt="Select Charge Unit - monthly, per kWh, per kW" sqref="D72 D61 D65">
      <formula1>"Monthly, per kWh, per kW"</formula1>
    </dataValidation>
    <dataValidation type="list" allowBlank="1" showInputMessage="1" showErrorMessage="1" sqref="E48:E49 E72 E65 E51:E61 E37:E46 E23:E35">
      <formula1>#REF!</formula1>
    </dataValidation>
  </dataValidations>
  <printOptions horizontalCentered="1"/>
  <pageMargins left="0.3" right="0.35" top="0.92" bottom="0.7" header="0.56999999999999995" footer="0.41"/>
  <pageSetup paperSize="3" scale="60" fitToHeight="0" orientation="landscape" r:id="rId1"/>
  <headerFooter>
    <oddFooter>&amp;C&amp;A</oddFooter>
  </headerFooter>
  <ignoredErrors>
    <ignoredError sqref="J23:J34 J37:J45 J48:J55 J57:J60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1075" r:id="rId4" name="Option Button 3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638175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76" r:id="rId5" name="Option Button 4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77" r:id="rId6" name="Option Button 5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638175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78" r:id="rId7" name="Option Button 6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79" r:id="rId8" name="Option Button 7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638175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0" r:id="rId9" name="Option Button 8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1" r:id="rId10" name="Option Button 9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638175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2" r:id="rId11" name="Option Button 10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3" r:id="rId12" name="Option Button 11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638175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4" r:id="rId13" name="Option Button 12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A1:AW89"/>
  <sheetViews>
    <sheetView showGridLines="0" topLeftCell="B31" zoomScale="80" zoomScaleNormal="80" workbookViewId="0">
      <selection activeCell="U42" sqref="U42"/>
    </sheetView>
  </sheetViews>
  <sheetFormatPr defaultColWidth="9.140625" defaultRowHeight="15" x14ac:dyDescent="0.25"/>
  <cols>
    <col min="1" max="1" width="48.28515625" customWidth="1"/>
    <col min="2" max="2" width="122" customWidth="1"/>
    <col min="3" max="3" width="1.5703125" customWidth="1"/>
    <col min="4" max="4" width="12.42578125" customWidth="1"/>
    <col min="5" max="5" width="1.7109375" customWidth="1"/>
    <col min="6" max="6" width="12" customWidth="1"/>
    <col min="7" max="7" width="11.7109375" customWidth="1"/>
    <col min="8" max="8" width="16.42578125" customWidth="1"/>
    <col min="9" max="9" width="0.85546875" customWidth="1"/>
    <col min="10" max="10" width="12.28515625" customWidth="1"/>
    <col min="11" max="11" width="11.28515625" bestFit="1" customWidth="1"/>
    <col min="12" max="12" width="16.28515625" customWidth="1"/>
    <col min="13" max="13" width="0.7109375" customWidth="1"/>
    <col min="14" max="14" width="14.7109375" customWidth="1"/>
    <col min="15" max="15" width="10.5703125" customWidth="1"/>
    <col min="16" max="16" width="1.42578125" customWidth="1"/>
    <col min="17" max="17" width="1.7109375" customWidth="1"/>
    <col min="18" max="18" width="9.42578125" customWidth="1"/>
    <col min="19" max="19" width="12.5703125" customWidth="1"/>
    <col min="20" max="20" width="1.28515625" customWidth="1"/>
    <col min="21" max="21" width="10.85546875" customWidth="1"/>
    <col min="22" max="22" width="10.140625" customWidth="1"/>
    <col min="23" max="23" width="1.28515625" customWidth="1"/>
    <col min="24" max="24" width="11" customWidth="1"/>
    <col min="25" max="25" width="9.5703125" customWidth="1"/>
    <col min="26" max="26" width="12.42578125" customWidth="1"/>
    <col min="27" max="27" width="1.28515625" customWidth="1"/>
    <col min="28" max="28" width="10" customWidth="1"/>
    <col min="30" max="30" width="0.85546875" customWidth="1"/>
    <col min="31" max="31" width="11.140625" customWidth="1"/>
    <col min="32" max="32" width="9.5703125" customWidth="1"/>
    <col min="33" max="33" width="12.42578125" customWidth="1"/>
    <col min="34" max="34" width="1.140625" customWidth="1"/>
    <col min="35" max="35" width="10.42578125" customWidth="1"/>
    <col min="37" max="37" width="0.85546875" customWidth="1"/>
  </cols>
  <sheetData>
    <row r="1" spans="1:21" ht="21.75" x14ac:dyDescent="0.25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0"/>
      <c r="M1" s="50"/>
      <c r="N1" s="52" t="s">
        <v>68</v>
      </c>
      <c r="O1" s="53">
        <v>0</v>
      </c>
      <c r="T1">
        <v>1</v>
      </c>
      <c r="U1">
        <v>2</v>
      </c>
    </row>
    <row r="2" spans="1:21" ht="18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0"/>
      <c r="M2" s="50"/>
      <c r="N2" s="52" t="s">
        <v>69</v>
      </c>
      <c r="O2" s="55"/>
    </row>
    <row r="3" spans="1:21" ht="18" x14ac:dyDescent="0.25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"/>
      <c r="M3" s="50"/>
      <c r="N3" s="52" t="s">
        <v>70</v>
      </c>
      <c r="O3" s="55"/>
    </row>
    <row r="4" spans="1:21" ht="18" x14ac:dyDescent="0.25">
      <c r="A4" s="54"/>
      <c r="B4" s="54"/>
      <c r="C4" s="54"/>
      <c r="D4" s="54"/>
      <c r="E4" s="54"/>
      <c r="F4" s="54"/>
      <c r="G4" s="54"/>
      <c r="H4" s="54"/>
      <c r="I4" s="56"/>
      <c r="J4" s="56"/>
      <c r="K4" s="56"/>
      <c r="L4" s="50"/>
      <c r="M4" s="50"/>
      <c r="N4" s="52" t="s">
        <v>71</v>
      </c>
      <c r="O4" s="55"/>
    </row>
    <row r="5" spans="1:21" ht="15.75" x14ac:dyDescent="0.25">
      <c r="A5" s="50"/>
      <c r="B5" s="50"/>
      <c r="C5" s="57"/>
      <c r="D5" s="57"/>
      <c r="E5" s="57"/>
      <c r="F5" s="50"/>
      <c r="G5" s="50"/>
      <c r="H5" s="50"/>
      <c r="I5" s="50"/>
      <c r="J5" s="50"/>
      <c r="K5" s="50"/>
      <c r="L5" s="50"/>
      <c r="M5" s="50"/>
      <c r="N5" s="52" t="s">
        <v>72</v>
      </c>
      <c r="O5" s="58"/>
    </row>
    <row r="6" spans="1:2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2"/>
      <c r="O6" s="53"/>
    </row>
    <row r="7" spans="1:2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2" t="s">
        <v>73</v>
      </c>
      <c r="O7" s="58"/>
    </row>
    <row r="8" spans="1:21" x14ac:dyDescent="0.25">
      <c r="A8" s="5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1" ht="18" x14ac:dyDescent="0.25">
      <c r="A10" s="1"/>
      <c r="B10" s="508" t="s">
        <v>74</v>
      </c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508"/>
      <c r="N10" s="508"/>
      <c r="O10" s="508"/>
    </row>
    <row r="11" spans="1:21" ht="18" x14ac:dyDescent="0.25">
      <c r="A11" s="1"/>
      <c r="B11" s="508" t="s">
        <v>75</v>
      </c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1" ht="15.75" x14ac:dyDescent="0.25">
      <c r="A14" s="1"/>
      <c r="B14" s="60" t="s">
        <v>0</v>
      </c>
      <c r="C14" s="1"/>
      <c r="D14" s="509" t="s">
        <v>236</v>
      </c>
      <c r="E14" s="509"/>
      <c r="F14" s="509"/>
      <c r="G14" s="509"/>
      <c r="H14" s="509"/>
      <c r="I14" s="509"/>
      <c r="J14" s="509"/>
      <c r="K14" s="509"/>
      <c r="L14" s="509"/>
      <c r="M14" s="509"/>
      <c r="N14" s="509"/>
      <c r="O14" s="509"/>
    </row>
    <row r="15" spans="1:21" ht="15.75" x14ac:dyDescent="0.25">
      <c r="A15" s="1"/>
      <c r="B15" s="61"/>
      <c r="C15" s="1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pans="1:21" ht="15.75" x14ac:dyDescent="0.25">
      <c r="A16" s="1"/>
      <c r="B16" s="60" t="s">
        <v>76</v>
      </c>
      <c r="C16" s="1"/>
      <c r="D16" s="63" t="s">
        <v>94</v>
      </c>
      <c r="E16" s="62"/>
      <c r="F16" s="228" t="s">
        <v>95</v>
      </c>
      <c r="G16" s="62"/>
      <c r="H16" s="62"/>
      <c r="I16" s="62"/>
      <c r="J16" s="62"/>
      <c r="K16" s="62"/>
      <c r="L16" s="62"/>
      <c r="M16" s="62"/>
      <c r="N16" s="62"/>
      <c r="O16" s="62"/>
    </row>
    <row r="17" spans="1:49" ht="15.75" x14ac:dyDescent="0.25">
      <c r="A17" s="1"/>
      <c r="B17" s="61"/>
      <c r="C17" s="1"/>
      <c r="D17" s="62"/>
      <c r="E17" s="62"/>
      <c r="F17" s="229">
        <f>ROUND(+F18*0.99,0)</f>
        <v>2574</v>
      </c>
      <c r="G17" s="230" t="s">
        <v>96</v>
      </c>
      <c r="H17" s="231"/>
      <c r="I17" s="62"/>
      <c r="J17" s="62"/>
      <c r="K17" s="62"/>
      <c r="L17" s="62"/>
      <c r="M17" s="62"/>
      <c r="N17" s="62"/>
      <c r="O17" s="62"/>
    </row>
    <row r="18" spans="1:49" x14ac:dyDescent="0.25">
      <c r="A18" s="1"/>
      <c r="B18" s="64"/>
      <c r="C18" s="1"/>
      <c r="D18" s="65"/>
      <c r="E18" s="65"/>
      <c r="F18" s="229">
        <v>2600</v>
      </c>
      <c r="G18" s="65" t="s">
        <v>113</v>
      </c>
      <c r="H18" s="1"/>
      <c r="I18" s="1"/>
      <c r="J18" s="1"/>
      <c r="K18" s="1"/>
      <c r="L18" s="1"/>
      <c r="M18" s="1"/>
      <c r="N18" s="1"/>
      <c r="O18" s="1"/>
    </row>
    <row r="19" spans="1:49" x14ac:dyDescent="0.25">
      <c r="A19" s="1"/>
      <c r="B19" s="64"/>
      <c r="C19" s="1"/>
      <c r="D19" s="65" t="s">
        <v>1</v>
      </c>
      <c r="E19" s="1"/>
      <c r="F19" s="232">
        <v>1382000</v>
      </c>
      <c r="G19" s="230" t="s">
        <v>78</v>
      </c>
      <c r="H19" s="67"/>
      <c r="I19" s="1"/>
      <c r="J19" s="67"/>
      <c r="K19" s="233"/>
      <c r="L19" s="67"/>
      <c r="M19" s="1"/>
      <c r="N19" s="233"/>
      <c r="O19" s="1"/>
      <c r="S19" s="234"/>
    </row>
    <row r="20" spans="1:49" x14ac:dyDescent="0.25">
      <c r="A20" s="1"/>
      <c r="B20" s="64"/>
      <c r="C20" s="1"/>
      <c r="D20" s="68"/>
      <c r="E20" s="68"/>
      <c r="F20" s="510" t="s">
        <v>105</v>
      </c>
      <c r="G20" s="511"/>
      <c r="H20" s="512"/>
      <c r="I20" s="2"/>
      <c r="J20" s="510" t="s">
        <v>104</v>
      </c>
      <c r="K20" s="511"/>
      <c r="L20" s="512"/>
      <c r="M20" s="2"/>
      <c r="N20" s="510" t="s">
        <v>61</v>
      </c>
      <c r="O20" s="512"/>
      <c r="Q20" s="506"/>
      <c r="R20" s="506"/>
      <c r="S20" s="506"/>
      <c r="T20" s="2"/>
      <c r="U20" s="506"/>
      <c r="V20" s="506"/>
      <c r="W20" s="69"/>
      <c r="X20" s="506"/>
      <c r="Y20" s="506"/>
      <c r="Z20" s="506"/>
      <c r="AA20" s="2"/>
      <c r="AB20" s="506"/>
      <c r="AC20" s="506"/>
      <c r="AD20" s="69"/>
      <c r="AE20" s="506"/>
      <c r="AF20" s="506"/>
      <c r="AG20" s="506"/>
      <c r="AH20" s="2"/>
      <c r="AI20" s="506"/>
      <c r="AJ20" s="506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</row>
    <row r="21" spans="1:49" ht="15" customHeight="1" x14ac:dyDescent="0.25">
      <c r="A21" s="1"/>
      <c r="B21" s="64"/>
      <c r="C21" s="1"/>
      <c r="D21" s="1"/>
      <c r="E21" s="70"/>
      <c r="F21" s="71" t="s">
        <v>2</v>
      </c>
      <c r="G21" s="71" t="s">
        <v>3</v>
      </c>
      <c r="H21" s="72" t="s">
        <v>4</v>
      </c>
      <c r="I21" s="2"/>
      <c r="J21" s="71" t="s">
        <v>2</v>
      </c>
      <c r="K21" s="73" t="s">
        <v>3</v>
      </c>
      <c r="L21" s="72" t="s">
        <v>4</v>
      </c>
      <c r="M21" s="2"/>
      <c r="N21" s="502" t="s">
        <v>62</v>
      </c>
      <c r="O21" s="504" t="s">
        <v>63</v>
      </c>
      <c r="Q21" s="270"/>
      <c r="R21" s="270"/>
      <c r="S21" s="270"/>
      <c r="T21" s="2"/>
      <c r="U21" s="501"/>
      <c r="V21" s="501"/>
      <c r="W21" s="69"/>
      <c r="X21" s="270"/>
      <c r="Y21" s="270"/>
      <c r="Z21" s="270"/>
      <c r="AA21" s="2"/>
      <c r="AB21" s="501"/>
      <c r="AC21" s="501"/>
      <c r="AD21" s="69"/>
      <c r="AE21" s="270"/>
      <c r="AF21" s="270"/>
      <c r="AG21" s="270"/>
      <c r="AH21" s="2"/>
      <c r="AI21" s="501"/>
      <c r="AJ21" s="501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</row>
    <row r="22" spans="1:49" x14ac:dyDescent="0.25">
      <c r="A22" s="1"/>
      <c r="B22" s="64"/>
      <c r="C22" s="1"/>
      <c r="D22" s="1"/>
      <c r="E22" s="70"/>
      <c r="F22" s="75" t="s">
        <v>79</v>
      </c>
      <c r="G22" s="75"/>
      <c r="H22" s="76" t="s">
        <v>79</v>
      </c>
      <c r="I22" s="2"/>
      <c r="J22" s="75" t="s">
        <v>79</v>
      </c>
      <c r="K22" s="76"/>
      <c r="L22" s="76" t="s">
        <v>79</v>
      </c>
      <c r="M22" s="2"/>
      <c r="N22" s="503"/>
      <c r="O22" s="505"/>
      <c r="Q22" s="77"/>
      <c r="R22" s="77"/>
      <c r="S22" s="77"/>
      <c r="T22" s="2"/>
      <c r="U22" s="514"/>
      <c r="V22" s="514"/>
      <c r="W22" s="69"/>
      <c r="X22" s="77"/>
      <c r="Y22" s="77"/>
      <c r="Z22" s="77"/>
      <c r="AA22" s="2"/>
      <c r="AB22" s="514"/>
      <c r="AC22" s="514"/>
      <c r="AD22" s="69"/>
      <c r="AE22" s="77"/>
      <c r="AF22" s="77"/>
      <c r="AG22" s="77"/>
      <c r="AH22" s="2"/>
      <c r="AI22" s="514"/>
      <c r="AJ22" s="514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</row>
    <row r="23" spans="1:49" x14ac:dyDescent="0.25">
      <c r="A23" s="7" t="s">
        <v>15</v>
      </c>
      <c r="B23" s="271" t="str">
        <f>IF(Rates!D78=$A$23,Rates!B78," ")</f>
        <v>Service Charge</v>
      </c>
      <c r="C23" s="78"/>
      <c r="D23" s="271" t="str">
        <f>IF(Rates!D78=$A$23,Rates!E78," ")</f>
        <v>customer</v>
      </c>
      <c r="E23" s="79"/>
      <c r="F23" s="80">
        <f>IF(Rates!$G$1="CND 2018",Rates!G78," ")</f>
        <v>0</v>
      </c>
      <c r="G23" s="439">
        <f>IF(D23="customer",1,IF(D23="kWh",$F$19,$F$17))</f>
        <v>1</v>
      </c>
      <c r="H23" s="448">
        <f t="shared" ref="H23:H33" si="0">G23*F23</f>
        <v>0</v>
      </c>
      <c r="I23" s="450"/>
      <c r="J23" s="472">
        <f>IF(Rates!$L$1="E+ 2019",Rates!L78," ")</f>
        <v>0</v>
      </c>
      <c r="K23" s="439">
        <f>IF(D23="customer",1,IF(D23="kWh",$F$19,$F$17))</f>
        <v>1</v>
      </c>
      <c r="L23" s="82">
        <f t="shared" ref="L23:L44" si="1">K23*J23</f>
        <v>0</v>
      </c>
      <c r="M23" s="450"/>
      <c r="N23" s="84">
        <f t="shared" ref="N23:N60" si="2">L23-H23</f>
        <v>0</v>
      </c>
      <c r="O23" s="85" t="str">
        <f>IF(OR(H23=0,L23=0),"",(N23/H23))</f>
        <v/>
      </c>
      <c r="Q23" s="86"/>
      <c r="R23" s="87"/>
      <c r="S23" s="88"/>
      <c r="T23" s="87"/>
      <c r="U23" s="89"/>
      <c r="V23" s="90"/>
      <c r="W23" s="69"/>
      <c r="X23" s="86"/>
      <c r="Y23" s="87"/>
      <c r="Z23" s="88"/>
      <c r="AA23" s="87"/>
      <c r="AB23" s="89"/>
      <c r="AC23" s="90"/>
      <c r="AD23" s="69"/>
      <c r="AE23" s="86"/>
      <c r="AF23" s="87"/>
      <c r="AG23" s="88"/>
      <c r="AH23" s="87"/>
      <c r="AI23" s="89"/>
      <c r="AJ23" s="90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</row>
    <row r="24" spans="1:49" x14ac:dyDescent="0.25">
      <c r="A24" s="1"/>
      <c r="B24" s="271" t="str">
        <f>IF(Rates!D79=$A$23,Rates!B79," ")</f>
        <v>Rate Rider ACM</v>
      </c>
      <c r="C24" s="78"/>
      <c r="D24" s="271" t="str">
        <f>IF(Rates!D79=$A$23,Rates!E79," ")</f>
        <v>customer</v>
      </c>
      <c r="E24" s="79"/>
      <c r="F24" s="80">
        <f>IF(Rates!$G$1="CND 2018",Rates!G79," ")</f>
        <v>0</v>
      </c>
      <c r="G24" s="439">
        <f t="shared" ref="G24:G33" si="3">IF(D24="customer",1,IF(D24="kWh",$F$19,$F$17))</f>
        <v>1</v>
      </c>
      <c r="H24" s="448">
        <f t="shared" si="0"/>
        <v>0</v>
      </c>
      <c r="I24" s="450"/>
      <c r="J24" s="472">
        <f>IF(Rates!$L$1="E+ 2019",Rates!L79," ")</f>
        <v>0</v>
      </c>
      <c r="K24" s="439">
        <f t="shared" ref="K24:K33" si="4">IF(D24="customer",1,IF(D24="kWh",$F$19,$F$17))</f>
        <v>1</v>
      </c>
      <c r="L24" s="82">
        <f t="shared" si="1"/>
        <v>0</v>
      </c>
      <c r="M24" s="450"/>
      <c r="N24" s="84">
        <f t="shared" si="2"/>
        <v>0</v>
      </c>
      <c r="O24" s="85" t="str">
        <f t="shared" ref="O24:O33" si="5">IF(OR(H24=0,L24=0),"",(N24/H24))</f>
        <v/>
      </c>
      <c r="Q24" s="86"/>
      <c r="R24" s="87"/>
      <c r="S24" s="88"/>
      <c r="T24" s="87"/>
      <c r="U24" s="89"/>
      <c r="V24" s="90"/>
      <c r="W24" s="69"/>
      <c r="X24" s="86"/>
      <c r="Y24" s="87"/>
      <c r="Z24" s="88"/>
      <c r="AA24" s="87"/>
      <c r="AB24" s="89"/>
      <c r="AC24" s="90"/>
      <c r="AD24" s="69"/>
      <c r="AE24" s="86"/>
      <c r="AF24" s="87"/>
      <c r="AG24" s="88"/>
      <c r="AH24" s="87"/>
      <c r="AI24" s="89"/>
      <c r="AJ24" s="90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</row>
    <row r="25" spans="1:49" s="94" customFormat="1" x14ac:dyDescent="0.25">
      <c r="A25" s="3"/>
      <c r="B25" s="271" t="str">
        <f>IF(Rates!D80=$A$23,Rates!B80," ")</f>
        <v>Distribution Volumetric Rate</v>
      </c>
      <c r="C25" s="78"/>
      <c r="D25" s="271" t="str">
        <f>IF(Rates!D80=$A$23,Rates!E80," ")</f>
        <v>kW</v>
      </c>
      <c r="E25" s="79"/>
      <c r="F25" s="235">
        <f>IF(Rates!$G$1="CND 2018",Rates!G80," ")</f>
        <v>2.0575527999999998</v>
      </c>
      <c r="G25" s="439">
        <f t="shared" si="3"/>
        <v>2574</v>
      </c>
      <c r="H25" s="448">
        <f t="shared" si="0"/>
        <v>5296.1409071999997</v>
      </c>
      <c r="I25" s="450"/>
      <c r="J25" s="337">
        <f>IF(Rates!$L$1="E+ 2019",Rates!L80," ")</f>
        <v>1.9142999999999999</v>
      </c>
      <c r="K25" s="439">
        <f t="shared" si="4"/>
        <v>2574</v>
      </c>
      <c r="L25" s="82">
        <f t="shared" si="1"/>
        <v>4927.4081999999999</v>
      </c>
      <c r="M25" s="450"/>
      <c r="N25" s="84">
        <f t="shared" si="2"/>
        <v>-368.73270719999982</v>
      </c>
      <c r="O25" s="85">
        <f t="shared" si="5"/>
        <v>-6.9622903480289766E-2</v>
      </c>
      <c r="Q25" s="95"/>
      <c r="R25" s="87"/>
      <c r="S25" s="88"/>
      <c r="T25" s="87"/>
      <c r="U25" s="89"/>
      <c r="V25" s="90"/>
      <c r="W25" s="69"/>
      <c r="X25" s="95"/>
      <c r="Y25" s="87"/>
      <c r="Z25" s="88"/>
      <c r="AA25" s="87"/>
      <c r="AB25" s="89"/>
      <c r="AC25" s="90"/>
      <c r="AD25" s="69"/>
      <c r="AE25" s="95"/>
      <c r="AF25" s="87"/>
      <c r="AG25" s="88"/>
      <c r="AH25" s="87"/>
      <c r="AI25" s="89"/>
      <c r="AJ25" s="90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</row>
    <row r="26" spans="1:49" s="94" customFormat="1" x14ac:dyDescent="0.25">
      <c r="A26" s="3"/>
      <c r="B26" s="271" t="str">
        <f>IF(Rates!D81=$A$23,Rates!B81," ")</f>
        <v>Rate Rider ACM</v>
      </c>
      <c r="C26" s="78"/>
      <c r="D26" s="271" t="str">
        <f>IF(Rates!D81=$A$23,Rates!E81," ")</f>
        <v>kW</v>
      </c>
      <c r="E26" s="79"/>
      <c r="F26" s="80">
        <f>IF(Rates!$G$1="CND 2018",Rates!G81," ")</f>
        <v>0</v>
      </c>
      <c r="G26" s="439">
        <f t="shared" si="3"/>
        <v>2574</v>
      </c>
      <c r="H26" s="448">
        <f t="shared" si="0"/>
        <v>0</v>
      </c>
      <c r="I26" s="450"/>
      <c r="J26" s="472">
        <f>IF(Rates!$L$1="E+ 2019",Rates!L81," ")</f>
        <v>0</v>
      </c>
      <c r="K26" s="439">
        <f t="shared" si="4"/>
        <v>2574</v>
      </c>
      <c r="L26" s="82">
        <f t="shared" si="1"/>
        <v>0</v>
      </c>
      <c r="M26" s="450"/>
      <c r="N26" s="84">
        <f t="shared" si="2"/>
        <v>0</v>
      </c>
      <c r="O26" s="85" t="str">
        <f t="shared" si="5"/>
        <v/>
      </c>
      <c r="Q26" s="95"/>
      <c r="R26" s="87"/>
      <c r="S26" s="88"/>
      <c r="T26" s="87"/>
      <c r="U26" s="89"/>
      <c r="V26" s="90"/>
      <c r="W26" s="69"/>
      <c r="X26" s="95"/>
      <c r="Y26" s="87"/>
      <c r="Z26" s="88"/>
      <c r="AA26" s="87"/>
      <c r="AB26" s="89"/>
      <c r="AC26" s="90"/>
      <c r="AD26" s="69"/>
      <c r="AE26" s="95"/>
      <c r="AF26" s="87"/>
      <c r="AG26" s="88"/>
      <c r="AH26" s="87"/>
      <c r="AI26" s="89"/>
      <c r="AJ26" s="90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</row>
    <row r="27" spans="1:49" x14ac:dyDescent="0.25">
      <c r="A27" s="3"/>
      <c r="B27" s="271" t="str">
        <f>IF(Rates!D82=$A$23,Rates!B82," ")</f>
        <v>Rate Rider for Disposition of Account 1575 and 1576</v>
      </c>
      <c r="C27" s="78"/>
      <c r="D27" s="271" t="str">
        <f>IF(Rates!D82=$A$23,Rates!E82," ")</f>
        <v>customer</v>
      </c>
      <c r="E27" s="79"/>
      <c r="F27" s="80">
        <f>IF(Rates!$G$1="CND 2018",Rates!G82," ")</f>
        <v>0</v>
      </c>
      <c r="G27" s="439">
        <f t="shared" si="3"/>
        <v>1</v>
      </c>
      <c r="H27" s="448">
        <f t="shared" si="0"/>
        <v>0</v>
      </c>
      <c r="I27" s="450"/>
      <c r="J27" s="472">
        <f>IF(Rates!$L$1="E+ 2019",Rates!L82," ")</f>
        <v>0</v>
      </c>
      <c r="K27" s="439">
        <f t="shared" si="4"/>
        <v>1</v>
      </c>
      <c r="L27" s="82">
        <f t="shared" si="1"/>
        <v>0</v>
      </c>
      <c r="M27" s="450"/>
      <c r="N27" s="84">
        <f t="shared" si="2"/>
        <v>0</v>
      </c>
      <c r="O27" s="85" t="str">
        <f t="shared" si="5"/>
        <v/>
      </c>
      <c r="Q27" s="86"/>
      <c r="R27" s="87"/>
      <c r="S27" s="88"/>
      <c r="T27" s="87"/>
      <c r="U27" s="89"/>
      <c r="V27" s="90"/>
      <c r="W27" s="69"/>
      <c r="X27" s="86"/>
      <c r="Y27" s="87"/>
      <c r="Z27" s="88"/>
      <c r="AA27" s="87"/>
      <c r="AB27" s="89"/>
      <c r="AC27" s="90"/>
      <c r="AD27" s="69"/>
      <c r="AE27" s="86"/>
      <c r="AF27" s="87"/>
      <c r="AG27" s="88"/>
      <c r="AH27" s="87"/>
      <c r="AI27" s="89"/>
      <c r="AJ27" s="90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</row>
    <row r="28" spans="1:49" x14ac:dyDescent="0.25">
      <c r="A28" s="3"/>
      <c r="B28" s="271" t="str">
        <f>IF(Rates!D83=$A$23,Rates!B83," ")</f>
        <v>Rate Rider for Disposition of Account 1575 and 1576</v>
      </c>
      <c r="C28" s="78"/>
      <c r="D28" s="271" t="str">
        <f>IF(Rates!D83=$A$23,Rates!E83," ")</f>
        <v>kW</v>
      </c>
      <c r="E28" s="79"/>
      <c r="F28" s="80">
        <f>IF(Rates!$G$1="CND 2018",Rates!G83," ")</f>
        <v>0</v>
      </c>
      <c r="G28" s="439">
        <f t="shared" si="3"/>
        <v>2574</v>
      </c>
      <c r="H28" s="448">
        <f t="shared" si="0"/>
        <v>0</v>
      </c>
      <c r="I28" s="450"/>
      <c r="J28" s="337">
        <f>IF(Rates!$L$1="E+ 2019",Rates!L83," ")</f>
        <v>-0.16605476043910622</v>
      </c>
      <c r="K28" s="439">
        <f t="shared" si="4"/>
        <v>2574</v>
      </c>
      <c r="L28" s="82">
        <f t="shared" si="1"/>
        <v>-427.4249533702594</v>
      </c>
      <c r="M28" s="450"/>
      <c r="N28" s="84">
        <f t="shared" si="2"/>
        <v>-427.4249533702594</v>
      </c>
      <c r="O28" s="85" t="str">
        <f t="shared" si="5"/>
        <v/>
      </c>
      <c r="Q28" s="119"/>
      <c r="R28" s="87"/>
      <c r="S28" s="88"/>
      <c r="T28" s="87"/>
      <c r="U28" s="89"/>
      <c r="V28" s="90"/>
      <c r="W28" s="69"/>
      <c r="X28" s="119"/>
      <c r="Y28" s="87"/>
      <c r="Z28" s="88"/>
      <c r="AA28" s="87"/>
      <c r="AB28" s="89"/>
      <c r="AC28" s="90"/>
      <c r="AD28" s="69"/>
      <c r="AE28" s="119"/>
      <c r="AF28" s="87"/>
      <c r="AG28" s="88"/>
      <c r="AH28" s="87"/>
      <c r="AI28" s="89"/>
      <c r="AJ28" s="90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</row>
    <row r="29" spans="1:49" x14ac:dyDescent="0.25">
      <c r="A29" s="3"/>
      <c r="B29" s="271" t="str">
        <f>IF(Rates!D84=$A$23,Rates!B84," ")</f>
        <v>Rate Rider for Disposition of Account 1575 and 1576</v>
      </c>
      <c r="C29" s="78"/>
      <c r="D29" s="271" t="str">
        <f>IF(Rates!D84=$A$23,Rates!E84," ")</f>
        <v>customer</v>
      </c>
      <c r="E29" s="79"/>
      <c r="F29" s="80">
        <f>IF(Rates!$G$1="CND 2018",Rates!G84," ")</f>
        <v>0</v>
      </c>
      <c r="G29" s="439">
        <f t="shared" si="3"/>
        <v>1</v>
      </c>
      <c r="H29" s="448">
        <f t="shared" si="0"/>
        <v>0</v>
      </c>
      <c r="I29" s="450"/>
      <c r="J29" s="337">
        <f>IF(Rates!$L$1="E+ 2019",Rates!L84," ")</f>
        <v>0</v>
      </c>
      <c r="K29" s="439">
        <f t="shared" si="4"/>
        <v>1</v>
      </c>
      <c r="L29" s="82">
        <f t="shared" si="1"/>
        <v>0</v>
      </c>
      <c r="M29" s="450"/>
      <c r="N29" s="84">
        <f t="shared" si="2"/>
        <v>0</v>
      </c>
      <c r="O29" s="85" t="str">
        <f t="shared" si="5"/>
        <v/>
      </c>
      <c r="Q29" s="119"/>
      <c r="R29" s="87"/>
      <c r="S29" s="88"/>
      <c r="T29" s="87"/>
      <c r="U29" s="89"/>
      <c r="V29" s="90"/>
      <c r="W29" s="69"/>
      <c r="X29" s="119"/>
      <c r="Y29" s="87"/>
      <c r="Z29" s="88"/>
      <c r="AA29" s="87"/>
      <c r="AB29" s="89"/>
      <c r="AC29" s="90"/>
      <c r="AD29" s="69"/>
      <c r="AE29" s="119"/>
      <c r="AF29" s="87"/>
      <c r="AG29" s="88"/>
      <c r="AH29" s="87"/>
      <c r="AI29" s="89"/>
      <c r="AJ29" s="90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</row>
    <row r="30" spans="1:49" s="94" customFormat="1" x14ac:dyDescent="0.25">
      <c r="A30" s="99"/>
      <c r="B30" s="271" t="str">
        <f>IF(Rates!D85=$A$23,Rates!B85," ")</f>
        <v>Rate Rider for Disposition of Account 1575 and 1576</v>
      </c>
      <c r="C30" s="78"/>
      <c r="D30" s="271" t="str">
        <f>IF(Rates!D85=$A$23,Rates!E85," ")</f>
        <v>kW</v>
      </c>
      <c r="E30" s="79"/>
      <c r="F30" s="80">
        <f>IF(Rates!$G$1="CND 2018",Rates!G85," ")</f>
        <v>0</v>
      </c>
      <c r="G30" s="439">
        <f t="shared" si="3"/>
        <v>2574</v>
      </c>
      <c r="H30" s="448">
        <f t="shared" si="0"/>
        <v>0</v>
      </c>
      <c r="I30" s="450"/>
      <c r="J30" s="337">
        <f>IF(Rates!$L$1="E+ 2019",Rates!L85," ")</f>
        <v>0</v>
      </c>
      <c r="K30" s="439">
        <f t="shared" si="4"/>
        <v>2574</v>
      </c>
      <c r="L30" s="82">
        <f t="shared" si="1"/>
        <v>0</v>
      </c>
      <c r="M30" s="450"/>
      <c r="N30" s="84">
        <f t="shared" si="2"/>
        <v>0</v>
      </c>
      <c r="O30" s="85" t="str">
        <f t="shared" si="5"/>
        <v/>
      </c>
      <c r="Q30" s="119"/>
      <c r="R30" s="87"/>
      <c r="S30" s="88"/>
      <c r="T30" s="87"/>
      <c r="U30" s="89"/>
      <c r="V30" s="90"/>
      <c r="W30" s="69"/>
      <c r="X30" s="119"/>
      <c r="Y30" s="87"/>
      <c r="Z30" s="88"/>
      <c r="AA30" s="87"/>
      <c r="AB30" s="89"/>
      <c r="AC30" s="90"/>
      <c r="AD30" s="69"/>
      <c r="AE30" s="119"/>
      <c r="AF30" s="87"/>
      <c r="AG30" s="88"/>
      <c r="AH30" s="87"/>
      <c r="AI30" s="89"/>
      <c r="AJ30" s="90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</row>
    <row r="31" spans="1:49" s="94" customFormat="1" x14ac:dyDescent="0.25">
      <c r="A31" s="3"/>
      <c r="B31" s="271" t="str">
        <f>IF(Rates!D86=$A$23,Rates!B86," ")</f>
        <v>Rate Rider for LRAMVA</v>
      </c>
      <c r="C31" s="78"/>
      <c r="D31" s="271" t="str">
        <f>IF(Rates!D86=$A$23,Rates!E86," ")</f>
        <v>kW</v>
      </c>
      <c r="E31" s="79"/>
      <c r="F31" s="80">
        <f>IF(Rates!$G$1="CND 2018",Rates!G86," ")</f>
        <v>0</v>
      </c>
      <c r="G31" s="439">
        <f t="shared" si="3"/>
        <v>2574</v>
      </c>
      <c r="H31" s="448">
        <f t="shared" si="0"/>
        <v>0</v>
      </c>
      <c r="I31" s="450"/>
      <c r="J31" s="337">
        <f>IF(Rates!$L$1="E+ 2019",Rates!L86," ")</f>
        <v>0</v>
      </c>
      <c r="K31" s="439">
        <f t="shared" si="4"/>
        <v>2574</v>
      </c>
      <c r="L31" s="82">
        <f t="shared" si="1"/>
        <v>0</v>
      </c>
      <c r="M31" s="450"/>
      <c r="N31" s="84">
        <f t="shared" si="2"/>
        <v>0</v>
      </c>
      <c r="O31" s="85" t="str">
        <f t="shared" si="5"/>
        <v/>
      </c>
      <c r="Q31" s="119"/>
      <c r="R31" s="87"/>
      <c r="S31" s="88"/>
      <c r="T31" s="87"/>
      <c r="U31" s="89"/>
      <c r="V31" s="90"/>
      <c r="W31" s="69"/>
      <c r="X31" s="119"/>
      <c r="Y31" s="87"/>
      <c r="Z31" s="88"/>
      <c r="AA31" s="87"/>
      <c r="AB31" s="89"/>
      <c r="AC31" s="90"/>
      <c r="AD31" s="69"/>
      <c r="AE31" s="119"/>
      <c r="AF31" s="87"/>
      <c r="AG31" s="88"/>
      <c r="AH31" s="87"/>
      <c r="AI31" s="89"/>
      <c r="AJ31" s="90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</row>
    <row r="32" spans="1:49" x14ac:dyDescent="0.25">
      <c r="A32" s="3"/>
      <c r="B32" s="271" t="str">
        <f>IF(Rates!D87=$A$23,Rates!B87," ")</f>
        <v>Other Fixed</v>
      </c>
      <c r="C32" s="78"/>
      <c r="D32" s="271" t="str">
        <f>IF(Rates!D87=$A$23,Rates!E87," ")</f>
        <v>customer</v>
      </c>
      <c r="E32" s="79"/>
      <c r="F32" s="80">
        <f>IF(Rates!$G$1="CND 2018",Rates!G87," ")</f>
        <v>0</v>
      </c>
      <c r="G32" s="439">
        <f t="shared" si="3"/>
        <v>1</v>
      </c>
      <c r="H32" s="448">
        <f t="shared" si="0"/>
        <v>0</v>
      </c>
      <c r="I32" s="450"/>
      <c r="J32" s="337">
        <f>IF(Rates!$L$1="E+ 2019",Rates!L87," ")</f>
        <v>0</v>
      </c>
      <c r="K32" s="439">
        <f t="shared" si="4"/>
        <v>1</v>
      </c>
      <c r="L32" s="82">
        <f t="shared" si="1"/>
        <v>0</v>
      </c>
      <c r="M32" s="450"/>
      <c r="N32" s="84">
        <f t="shared" si="2"/>
        <v>0</v>
      </c>
      <c r="O32" s="85" t="str">
        <f t="shared" si="5"/>
        <v/>
      </c>
      <c r="Q32" s="98"/>
      <c r="R32" s="87"/>
      <c r="S32" s="88"/>
      <c r="T32" s="87"/>
      <c r="U32" s="89"/>
      <c r="V32" s="90"/>
      <c r="W32" s="69"/>
      <c r="X32" s="98"/>
      <c r="Y32" s="87"/>
      <c r="Z32" s="88"/>
      <c r="AA32" s="87"/>
      <c r="AB32" s="89"/>
      <c r="AC32" s="90"/>
      <c r="AD32" s="69"/>
      <c r="AE32" s="98"/>
      <c r="AF32" s="87"/>
      <c r="AG32" s="88"/>
      <c r="AH32" s="87"/>
      <c r="AI32" s="89"/>
      <c r="AJ32" s="90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</row>
    <row r="33" spans="1:49" x14ac:dyDescent="0.25">
      <c r="A33" s="3"/>
      <c r="B33" s="271" t="str">
        <f>IF(Rates!D88=$A$23,Rates!B88," ")</f>
        <v>Other Volumetric</v>
      </c>
      <c r="C33" s="78"/>
      <c r="D33" s="271" t="str">
        <f>IF(Rates!D88=$A$23,Rates!E88," ")</f>
        <v>kW</v>
      </c>
      <c r="E33" s="79"/>
      <c r="F33" s="80">
        <f>IF(Rates!$G$1="CND 2018",Rates!G88," ")</f>
        <v>0</v>
      </c>
      <c r="G33" s="439">
        <f t="shared" si="3"/>
        <v>2574</v>
      </c>
      <c r="H33" s="448">
        <f t="shared" si="0"/>
        <v>0</v>
      </c>
      <c r="I33" s="450"/>
      <c r="J33" s="337">
        <f>IF(Rates!$L$1="E+ 2019",Rates!L88," ")</f>
        <v>0</v>
      </c>
      <c r="K33" s="439">
        <f t="shared" si="4"/>
        <v>2574</v>
      </c>
      <c r="L33" s="82">
        <f t="shared" si="1"/>
        <v>0</v>
      </c>
      <c r="M33" s="450"/>
      <c r="N33" s="84">
        <f t="shared" si="2"/>
        <v>0</v>
      </c>
      <c r="O33" s="85" t="str">
        <f t="shared" si="5"/>
        <v/>
      </c>
      <c r="Q33" s="98"/>
      <c r="R33" s="87"/>
      <c r="S33" s="88"/>
      <c r="T33" s="87"/>
      <c r="U33" s="89"/>
      <c r="V33" s="90"/>
      <c r="W33" s="69"/>
      <c r="X33" s="98"/>
      <c r="Y33" s="87"/>
      <c r="Z33" s="88"/>
      <c r="AA33" s="87"/>
      <c r="AB33" s="89"/>
      <c r="AC33" s="90"/>
      <c r="AD33" s="69"/>
      <c r="AE33" s="98"/>
      <c r="AF33" s="87"/>
      <c r="AG33" s="88"/>
      <c r="AH33" s="87"/>
      <c r="AI33" s="89"/>
      <c r="AJ33" s="90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</row>
    <row r="34" spans="1:49" x14ac:dyDescent="0.25">
      <c r="A34" s="3"/>
      <c r="B34" s="271" t="str">
        <f>IF(Rates!D89=$A$23,Rates!B89," ")</f>
        <v>Rate Rider for gain on Sale of Property</v>
      </c>
      <c r="C34" s="78"/>
      <c r="D34" s="271" t="str">
        <f>IF(Rates!D89=$A$23,Rates!E89," ")</f>
        <v>kW</v>
      </c>
      <c r="E34" s="79"/>
      <c r="F34" s="80">
        <f>IF(Rates!$G$1="CND 2018",Rates!G89," ")</f>
        <v>0</v>
      </c>
      <c r="G34" s="439">
        <f t="shared" ref="G34" si="6">IF(D34="customer",1,IF(D34="kWh",$F$19,$F$17))</f>
        <v>2574</v>
      </c>
      <c r="H34" s="448">
        <f t="shared" ref="H34" si="7">G34*F34</f>
        <v>0</v>
      </c>
      <c r="I34" s="450"/>
      <c r="J34" s="337">
        <f>IF(Rates!$L$1="E+ 2019",Rates!L89," ")</f>
        <v>-0.12746906760439053</v>
      </c>
      <c r="K34" s="439">
        <f t="shared" ref="K34" si="8">IF(D34="customer",1,IF(D34="kWh",$F$19,$F$17))</f>
        <v>2574</v>
      </c>
      <c r="L34" s="82">
        <f t="shared" ref="L34" si="9">K34*J34</f>
        <v>-328.10538001370122</v>
      </c>
      <c r="M34" s="450"/>
      <c r="N34" s="84">
        <f t="shared" ref="N34" si="10">L34-H34</f>
        <v>-328.10538001370122</v>
      </c>
      <c r="O34" s="85" t="str">
        <f t="shared" ref="O34" si="11">IF(OR(H34=0,L34=0),"",(N34/H34))</f>
        <v/>
      </c>
      <c r="Q34" s="98"/>
      <c r="R34" s="87"/>
      <c r="S34" s="88"/>
      <c r="T34" s="87"/>
      <c r="U34" s="89"/>
      <c r="V34" s="90"/>
      <c r="W34" s="69"/>
      <c r="X34" s="98"/>
      <c r="Y34" s="87"/>
      <c r="Z34" s="88"/>
      <c r="AA34" s="87"/>
      <c r="AB34" s="89"/>
      <c r="AC34" s="90"/>
      <c r="AD34" s="69"/>
      <c r="AE34" s="98"/>
      <c r="AF34" s="87"/>
      <c r="AG34" s="88"/>
      <c r="AH34" s="87"/>
      <c r="AI34" s="89"/>
      <c r="AJ34" s="90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</row>
    <row r="35" spans="1:49" hidden="1" x14ac:dyDescent="0.25">
      <c r="A35" s="3"/>
      <c r="B35" s="271" t="str">
        <f>IF(Rates!D90=$A$23,Rates!B90," ")</f>
        <v xml:space="preserve"> </v>
      </c>
      <c r="C35" s="78"/>
      <c r="D35" s="271" t="str">
        <f>IF(Rates!D90=$A$23,Rates!E90," ")</f>
        <v xml:space="preserve"> </v>
      </c>
      <c r="E35" s="79"/>
      <c r="F35" s="80">
        <f>IF(Rates!$G$1="CND 2018",Rates!G90," ")</f>
        <v>0</v>
      </c>
      <c r="G35" s="439">
        <f t="shared" ref="G35" si="12">IF(D35="customer",1,IF(D35="kWh",$F$19,$F$17))</f>
        <v>2574</v>
      </c>
      <c r="H35" s="448">
        <f t="shared" ref="H35" si="13">G35*F35</f>
        <v>0</v>
      </c>
      <c r="I35" s="450"/>
      <c r="J35" s="337">
        <f>IF(Rates!$L$1="E+ 2019",Rates!L90," ")</f>
        <v>0</v>
      </c>
      <c r="K35" s="439">
        <f t="shared" ref="K35" si="14">IF(D35="customer",1,IF(D35="kWh",$F$19,$F$17))</f>
        <v>2574</v>
      </c>
      <c r="L35" s="82">
        <f t="shared" ref="L35" si="15">K35*J35</f>
        <v>0</v>
      </c>
      <c r="M35" s="450"/>
      <c r="N35" s="84">
        <f t="shared" ref="N35" si="16">L35-H35</f>
        <v>0</v>
      </c>
      <c r="O35" s="85" t="str">
        <f t="shared" ref="O35" si="17">IF(OR(H35=0,L35=0),"",(N35/H35))</f>
        <v/>
      </c>
      <c r="Q35" s="98"/>
      <c r="R35" s="87"/>
      <c r="S35" s="88"/>
      <c r="T35" s="87"/>
      <c r="U35" s="89"/>
      <c r="V35" s="90"/>
      <c r="W35" s="69"/>
      <c r="X35" s="98"/>
      <c r="Y35" s="87"/>
      <c r="Z35" s="88"/>
      <c r="AA35" s="87"/>
      <c r="AB35" s="89"/>
      <c r="AC35" s="90"/>
      <c r="AD35" s="69"/>
      <c r="AE35" s="98"/>
      <c r="AF35" s="87"/>
      <c r="AG35" s="88"/>
      <c r="AH35" s="87"/>
      <c r="AI35" s="89"/>
      <c r="AJ35" s="90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</row>
    <row r="36" spans="1:49" x14ac:dyDescent="0.25">
      <c r="A36" s="3"/>
      <c r="B36" s="109" t="s">
        <v>64</v>
      </c>
      <c r="C36" s="110"/>
      <c r="D36" s="110"/>
      <c r="E36" s="110"/>
      <c r="F36" s="111"/>
      <c r="G36" s="446"/>
      <c r="H36" s="449">
        <f>SUM(H23:H35)</f>
        <v>5296.1409071999997</v>
      </c>
      <c r="I36" s="450"/>
      <c r="J36" s="491"/>
      <c r="K36" s="447"/>
      <c r="L36" s="113">
        <f>SUM(L23:L35)</f>
        <v>4171.8778666160388</v>
      </c>
      <c r="M36" s="450"/>
      <c r="N36" s="117">
        <f t="shared" si="2"/>
        <v>-1124.2630405839609</v>
      </c>
      <c r="O36" s="118">
        <f>IF(OR(H36=0, L36=0),"",(N36/H36))</f>
        <v>-0.21227966934481432</v>
      </c>
      <c r="Q36" s="119"/>
      <c r="R36" s="120"/>
      <c r="S36" s="88"/>
      <c r="T36" s="87"/>
      <c r="U36" s="121"/>
      <c r="V36" s="122"/>
      <c r="W36" s="69"/>
      <c r="X36" s="119"/>
      <c r="Y36" s="120"/>
      <c r="Z36" s="88"/>
      <c r="AA36" s="87"/>
      <c r="AB36" s="121"/>
      <c r="AC36" s="122"/>
      <c r="AD36" s="69"/>
      <c r="AE36" s="119"/>
      <c r="AF36" s="120"/>
      <c r="AG36" s="88"/>
      <c r="AH36" s="87"/>
      <c r="AI36" s="121"/>
      <c r="AJ36" s="122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</row>
    <row r="37" spans="1:49" x14ac:dyDescent="0.25">
      <c r="A37" s="5" t="s">
        <v>18</v>
      </c>
      <c r="B37" s="271" t="str">
        <f>IF(Rates!D90=$A$37,Rates!B90," ")</f>
        <v>Low Voltage Service Rate</v>
      </c>
      <c r="C37" s="78"/>
      <c r="D37" s="271" t="str">
        <f>IF(Rates!D90=$A$37,Rates!E90," ")</f>
        <v>kW</v>
      </c>
      <c r="E37" s="79"/>
      <c r="F37" s="471">
        <f>IF(Rates!$G$1="CND 2018",Rates!G90," ")</f>
        <v>0</v>
      </c>
      <c r="G37" s="439">
        <f t="shared" ref="G37" si="18">IF(D37="customer",1,IF(D37="kWh",$F$19,$F$17))</f>
        <v>2574</v>
      </c>
      <c r="H37" s="448">
        <f>G37*F37</f>
        <v>0</v>
      </c>
      <c r="I37" s="450"/>
      <c r="J37" s="337">
        <f>IF(Rates!$L$1="E+ 2019",Rates!L90," ")</f>
        <v>0</v>
      </c>
      <c r="K37" s="439">
        <f t="shared" ref="K37" si="19">IF(D37="customer",1,IF(D37="kWh",$F$19,$F$17))</f>
        <v>2574</v>
      </c>
      <c r="L37" s="82">
        <f t="shared" si="1"/>
        <v>0</v>
      </c>
      <c r="M37" s="450"/>
      <c r="N37" s="84">
        <f t="shared" si="2"/>
        <v>0</v>
      </c>
      <c r="O37" s="85" t="str">
        <f t="shared" ref="O37:O44" si="20">IF(OR(H37=0,L37=0),"",(N37/H37))</f>
        <v/>
      </c>
      <c r="Q37" s="119"/>
      <c r="R37" s="87"/>
      <c r="S37" s="88"/>
      <c r="T37" s="87"/>
      <c r="U37" s="89"/>
      <c r="V37" s="90"/>
      <c r="W37" s="69"/>
      <c r="X37" s="119"/>
      <c r="Y37" s="87"/>
      <c r="Z37" s="88"/>
      <c r="AA37" s="87"/>
      <c r="AB37" s="89"/>
      <c r="AC37" s="90"/>
      <c r="AD37" s="69"/>
      <c r="AE37" s="119"/>
      <c r="AF37" s="87"/>
      <c r="AG37" s="88"/>
      <c r="AH37" s="87"/>
      <c r="AI37" s="89"/>
      <c r="AJ37" s="90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</row>
    <row r="38" spans="1:49" x14ac:dyDescent="0.25">
      <c r="A38" s="1"/>
      <c r="B38" s="124" t="s">
        <v>116</v>
      </c>
      <c r="C38" s="78"/>
      <c r="D38" s="271" t="s">
        <v>13</v>
      </c>
      <c r="E38" s="79"/>
      <c r="F38" s="471">
        <v>0</v>
      </c>
      <c r="G38" s="441"/>
      <c r="H38" s="448">
        <f t="shared" ref="H38:H44" si="21">G38*F38</f>
        <v>0</v>
      </c>
      <c r="I38" s="450"/>
      <c r="J38" s="337"/>
      <c r="K38" s="441"/>
      <c r="L38" s="82">
        <f t="shared" si="1"/>
        <v>0</v>
      </c>
      <c r="M38" s="450"/>
      <c r="N38" s="84">
        <f t="shared" si="2"/>
        <v>0</v>
      </c>
      <c r="O38" s="85" t="str">
        <f t="shared" si="20"/>
        <v/>
      </c>
      <c r="Q38" s="128"/>
      <c r="R38" s="129"/>
      <c r="S38" s="88"/>
      <c r="T38" s="87"/>
      <c r="U38" s="89"/>
      <c r="V38" s="90"/>
      <c r="W38" s="69"/>
      <c r="X38" s="128"/>
      <c r="Y38" s="129"/>
      <c r="Z38" s="88"/>
      <c r="AA38" s="87"/>
      <c r="AB38" s="89"/>
      <c r="AC38" s="90"/>
      <c r="AD38" s="69"/>
      <c r="AE38" s="128"/>
      <c r="AF38" s="129"/>
      <c r="AG38" s="88"/>
      <c r="AH38" s="87"/>
      <c r="AI38" s="89"/>
      <c r="AJ38" s="90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</row>
    <row r="39" spans="1:49" x14ac:dyDescent="0.25">
      <c r="A39" s="130"/>
      <c r="B39" s="271" t="str">
        <f>IF(Rates!D91=$A$37,Rates!B91," ")</f>
        <v>Rate Rider Other Fixed</v>
      </c>
      <c r="C39" s="78"/>
      <c r="D39" s="271" t="str">
        <f>IF(Rates!D91=$A$37,Rates!E91," ")</f>
        <v>customer</v>
      </c>
      <c r="E39" s="79"/>
      <c r="F39" s="471">
        <f>IF(Rates!$G$1="CND 2018",Rates!G91," ")</f>
        <v>0</v>
      </c>
      <c r="G39" s="439">
        <f t="shared" ref="G39:G45" si="22">IF(D39="customer",1,IF(D39="kWh",$F$19,$F$17))</f>
        <v>1</v>
      </c>
      <c r="H39" s="448">
        <f t="shared" si="21"/>
        <v>0</v>
      </c>
      <c r="I39" s="450"/>
      <c r="J39" s="337">
        <f>IF(Rates!$L$1="E+ 2019",Rates!L91," ")</f>
        <v>0</v>
      </c>
      <c r="K39" s="439">
        <f t="shared" ref="K39:K45" si="23">IF(D39="customer",1,IF(D39="kWh",$F$19,$F$17))</f>
        <v>1</v>
      </c>
      <c r="L39" s="82">
        <f t="shared" si="1"/>
        <v>0</v>
      </c>
      <c r="M39" s="450"/>
      <c r="N39" s="84">
        <f t="shared" si="2"/>
        <v>0</v>
      </c>
      <c r="O39" s="85" t="str">
        <f t="shared" si="20"/>
        <v/>
      </c>
      <c r="Q39" s="119"/>
      <c r="R39" s="87"/>
      <c r="S39" s="88"/>
      <c r="T39" s="87"/>
      <c r="U39" s="89"/>
      <c r="V39" s="90"/>
      <c r="W39" s="69"/>
      <c r="X39" s="119"/>
      <c r="Y39" s="87"/>
      <c r="Z39" s="88"/>
      <c r="AA39" s="87"/>
      <c r="AB39" s="89"/>
      <c r="AC39" s="90"/>
      <c r="AD39" s="69"/>
      <c r="AE39" s="119"/>
      <c r="AF39" s="87"/>
      <c r="AG39" s="88"/>
      <c r="AH39" s="87"/>
      <c r="AI39" s="89"/>
      <c r="AJ39" s="90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</row>
    <row r="40" spans="1:49" x14ac:dyDescent="0.25">
      <c r="A40" s="130"/>
      <c r="B40" s="271" t="str">
        <f>IF(Rates!D92=$A$37,Rates!B92," ")</f>
        <v>Rate Rider Other Volumetric</v>
      </c>
      <c r="C40" s="78"/>
      <c r="D40" s="271" t="str">
        <f>IF(Rates!D92=$A$37,Rates!E92," ")</f>
        <v>kW</v>
      </c>
      <c r="E40" s="79"/>
      <c r="F40" s="471">
        <f>IF(Rates!$G$1="CND 2018",Rates!G92," ")</f>
        <v>0</v>
      </c>
      <c r="G40" s="439">
        <f t="shared" si="22"/>
        <v>2574</v>
      </c>
      <c r="H40" s="448">
        <f t="shared" si="21"/>
        <v>0</v>
      </c>
      <c r="I40" s="450"/>
      <c r="J40" s="337">
        <f>IF(Rates!$L$1="E+ 2019",Rates!L92," ")</f>
        <v>3.885037113475287E-2</v>
      </c>
      <c r="K40" s="439">
        <f t="shared" si="23"/>
        <v>2574</v>
      </c>
      <c r="L40" s="82">
        <f t="shared" si="1"/>
        <v>100.00085530085389</v>
      </c>
      <c r="M40" s="450"/>
      <c r="N40" s="84">
        <f t="shared" si="2"/>
        <v>100.00085530085389</v>
      </c>
      <c r="O40" s="85" t="str">
        <f t="shared" si="20"/>
        <v/>
      </c>
      <c r="Q40" s="119"/>
      <c r="R40" s="87"/>
      <c r="S40" s="88"/>
      <c r="T40" s="87"/>
      <c r="U40" s="89"/>
      <c r="V40" s="90"/>
      <c r="W40" s="69"/>
      <c r="X40" s="119"/>
      <c r="Y40" s="87"/>
      <c r="Z40" s="88"/>
      <c r="AA40" s="87"/>
      <c r="AB40" s="89"/>
      <c r="AC40" s="90"/>
      <c r="AD40" s="69"/>
      <c r="AE40" s="119"/>
      <c r="AF40" s="87"/>
      <c r="AG40" s="88"/>
      <c r="AH40" s="87"/>
      <c r="AI40" s="89"/>
      <c r="AJ40" s="90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</row>
    <row r="41" spans="1:49" x14ac:dyDescent="0.25">
      <c r="A41" s="130"/>
      <c r="B41" s="271" t="str">
        <f>IF(Rates!D93=$A$37,Rates!B93," ")</f>
        <v>Rate Rider Other Volumetric</v>
      </c>
      <c r="C41" s="78"/>
      <c r="D41" s="271" t="str">
        <f>IF(Rates!D93=$A$37,Rates!E93," ")</f>
        <v>kW</v>
      </c>
      <c r="E41" s="79"/>
      <c r="F41" s="471">
        <f>IF(Rates!$G$1="CND 2018",Rates!G93," ")</f>
        <v>0</v>
      </c>
      <c r="G41" s="439">
        <f t="shared" si="22"/>
        <v>2574</v>
      </c>
      <c r="H41" s="448">
        <f t="shared" si="21"/>
        <v>0</v>
      </c>
      <c r="I41" s="450"/>
      <c r="J41" s="337">
        <f>IF(Rates!$L$1="E+ 2019",Rates!L93," ")</f>
        <v>0</v>
      </c>
      <c r="K41" s="439">
        <f t="shared" si="23"/>
        <v>2574</v>
      </c>
      <c r="L41" s="82">
        <f t="shared" si="1"/>
        <v>0</v>
      </c>
      <c r="M41" s="450"/>
      <c r="N41" s="84">
        <f t="shared" si="2"/>
        <v>0</v>
      </c>
      <c r="O41" s="85" t="str">
        <f t="shared" si="20"/>
        <v/>
      </c>
      <c r="Q41" s="119"/>
      <c r="R41" s="87"/>
      <c r="S41" s="88"/>
      <c r="T41" s="87"/>
      <c r="U41" s="89"/>
      <c r="V41" s="90"/>
      <c r="W41" s="69"/>
      <c r="X41" s="119"/>
      <c r="Y41" s="87"/>
      <c r="Z41" s="88"/>
      <c r="AA41" s="87"/>
      <c r="AB41" s="89"/>
      <c r="AC41" s="90"/>
      <c r="AD41" s="69"/>
      <c r="AE41" s="119"/>
      <c r="AF41" s="87"/>
      <c r="AG41" s="88"/>
      <c r="AH41" s="87"/>
      <c r="AI41" s="89"/>
      <c r="AJ41" s="90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</row>
    <row r="42" spans="1:49" x14ac:dyDescent="0.25">
      <c r="A42" s="1"/>
      <c r="B42" s="271" t="str">
        <f>IF(Rates!D94=$A$37,Rates!B94," ")</f>
        <v xml:space="preserve">Rate Rider for Disposition of Deferral/Variance Accounts </v>
      </c>
      <c r="C42" s="78"/>
      <c r="D42" s="271" t="str">
        <f>IF(Rates!D94=$A$37,Rates!E94," ")</f>
        <v>kW</v>
      </c>
      <c r="E42" s="79"/>
      <c r="F42" s="337">
        <f>IF(Rates!$G$1="CND 2018",Rates!G94," ")</f>
        <v>-0.53879655044503272</v>
      </c>
      <c r="G42" s="439">
        <f t="shared" si="22"/>
        <v>2574</v>
      </c>
      <c r="H42" s="448">
        <f t="shared" si="21"/>
        <v>-1386.8623208455142</v>
      </c>
      <c r="I42" s="450"/>
      <c r="J42" s="337">
        <f>IF(Rates!$L$1="E+ 2019",Rates!L94," ")</f>
        <v>-0.86197383690344542</v>
      </c>
      <c r="K42" s="439">
        <f t="shared" si="23"/>
        <v>2574</v>
      </c>
      <c r="L42" s="82">
        <f t="shared" si="1"/>
        <v>-2218.7206561894686</v>
      </c>
      <c r="M42" s="450"/>
      <c r="N42" s="84">
        <f t="shared" si="2"/>
        <v>-831.85833534395442</v>
      </c>
      <c r="O42" s="85">
        <f t="shared" si="20"/>
        <v>0.599813206286262</v>
      </c>
      <c r="Q42" s="128"/>
      <c r="R42" s="129"/>
      <c r="S42" s="88"/>
      <c r="T42" s="87"/>
      <c r="U42" s="89"/>
      <c r="V42" s="90"/>
      <c r="W42" s="69"/>
      <c r="X42" s="128"/>
      <c r="Y42" s="129"/>
      <c r="Z42" s="88"/>
      <c r="AA42" s="87"/>
      <c r="AB42" s="89"/>
      <c r="AC42" s="90"/>
      <c r="AD42" s="69"/>
      <c r="AE42" s="128"/>
      <c r="AF42" s="129"/>
      <c r="AG42" s="88"/>
      <c r="AH42" s="87"/>
      <c r="AI42" s="89"/>
      <c r="AJ42" s="90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</row>
    <row r="43" spans="1:49" x14ac:dyDescent="0.25">
      <c r="A43" s="1"/>
      <c r="B43" s="271" t="str">
        <f>IF(Rates!D95=$A$37,Rates!B95," ")</f>
        <v>Rate Rider for Disposition of Deferral/Variance Accounts Non-WMP Customers</v>
      </c>
      <c r="C43" s="78"/>
      <c r="D43" s="271" t="str">
        <f>IF(Rates!D95=$A$37,Rates!E95," ")</f>
        <v>kW</v>
      </c>
      <c r="E43" s="79"/>
      <c r="F43" s="471">
        <f>IF(Rates!$G$1="CND 2018",Rates!G95," ")</f>
        <v>0</v>
      </c>
      <c r="G43" s="439">
        <f t="shared" si="22"/>
        <v>2574</v>
      </c>
      <c r="H43" s="448">
        <f t="shared" si="21"/>
        <v>0</v>
      </c>
      <c r="I43" s="450"/>
      <c r="J43" s="337">
        <f>IF(Rates!$L$1="E+ 2019",Rates!L95," ")</f>
        <v>0</v>
      </c>
      <c r="K43" s="439">
        <f t="shared" si="23"/>
        <v>2574</v>
      </c>
      <c r="L43" s="82">
        <f t="shared" si="1"/>
        <v>0</v>
      </c>
      <c r="M43" s="450"/>
      <c r="N43" s="84">
        <f t="shared" si="2"/>
        <v>0</v>
      </c>
      <c r="O43" s="85" t="str">
        <f t="shared" si="20"/>
        <v/>
      </c>
      <c r="Q43" s="128"/>
      <c r="R43" s="129"/>
      <c r="S43" s="88"/>
      <c r="T43" s="87"/>
      <c r="U43" s="89"/>
      <c r="V43" s="90"/>
      <c r="W43" s="69"/>
      <c r="X43" s="128"/>
      <c r="Y43" s="129"/>
      <c r="Z43" s="88"/>
      <c r="AA43" s="87"/>
      <c r="AB43" s="89"/>
      <c r="AC43" s="90"/>
      <c r="AD43" s="69"/>
      <c r="AE43" s="128"/>
      <c r="AF43" s="129"/>
      <c r="AG43" s="88"/>
      <c r="AH43" s="87"/>
      <c r="AI43" s="89"/>
      <c r="AJ43" s="90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</row>
    <row r="44" spans="1:49" x14ac:dyDescent="0.25">
      <c r="A44" s="1"/>
      <c r="B44" s="271" t="str">
        <f>IF(Rates!D96=$A$37,Rates!B96," ")</f>
        <v>Rate Rider for Disposition of GA DV</v>
      </c>
      <c r="C44" s="78"/>
      <c r="D44" s="271" t="str">
        <f>IF(Rates!D96=$A$37,Rates!E96," ")</f>
        <v>kWh</v>
      </c>
      <c r="E44" s="79"/>
      <c r="F44" s="337">
        <f>IF(Rates!$G$1="CND 2018",Rates!G96," ")</f>
        <v>3.3E-3</v>
      </c>
      <c r="G44" s="439">
        <f t="shared" si="22"/>
        <v>1382000</v>
      </c>
      <c r="H44" s="448">
        <f t="shared" si="21"/>
        <v>4560.6000000000004</v>
      </c>
      <c r="I44" s="450"/>
      <c r="J44" s="337">
        <f>IF(Rates!$L$1="E+ 2019",Rates!L96," ")</f>
        <v>3.8449181889326276E-4</v>
      </c>
      <c r="K44" s="439">
        <f t="shared" si="23"/>
        <v>1382000</v>
      </c>
      <c r="L44" s="82">
        <f t="shared" si="1"/>
        <v>531.36769371048911</v>
      </c>
      <c r="M44" s="450"/>
      <c r="N44" s="84">
        <f t="shared" si="2"/>
        <v>-4029.2323062895111</v>
      </c>
      <c r="O44" s="85">
        <f t="shared" si="20"/>
        <v>-0.88348732760810222</v>
      </c>
      <c r="Q44" s="128"/>
      <c r="R44" s="129"/>
      <c r="S44" s="88"/>
      <c r="T44" s="87"/>
      <c r="U44" s="89"/>
      <c r="V44" s="90"/>
      <c r="W44" s="69"/>
      <c r="X44" s="128"/>
      <c r="Y44" s="129"/>
      <c r="Z44" s="88"/>
      <c r="AA44" s="87"/>
      <c r="AB44" s="89"/>
      <c r="AC44" s="90"/>
      <c r="AD44" s="69"/>
      <c r="AE44" s="128"/>
      <c r="AF44" s="129"/>
      <c r="AG44" s="88"/>
      <c r="AH44" s="87"/>
      <c r="AI44" s="89"/>
      <c r="AJ44" s="90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</row>
    <row r="45" spans="1:49" x14ac:dyDescent="0.25">
      <c r="A45" s="1"/>
      <c r="B45" s="271" t="str">
        <f>IF(Rates!D97=$A$37,Rates!B97," ")</f>
        <v>Rate Rider for Disposition of Capacity Based Recovery Account (2018) - Applicable only for Class B Customers</v>
      </c>
      <c r="C45" s="78"/>
      <c r="D45" s="271" t="str">
        <f>IF(Rates!D97=$A$37,Rates!E97," ")</f>
        <v>kW</v>
      </c>
      <c r="E45" s="79"/>
      <c r="F45" s="337">
        <f>IF(Rates!$G$1="CND 2018",Rates!G97," ")</f>
        <v>3.6799999999999999E-2</v>
      </c>
      <c r="G45" s="439">
        <f t="shared" si="22"/>
        <v>2574</v>
      </c>
      <c r="H45" s="448">
        <f t="shared" ref="H45" si="24">G45*F45</f>
        <v>94.723199999999991</v>
      </c>
      <c r="I45" s="450"/>
      <c r="J45" s="337">
        <f>IF(Rates!$L$1="E+ 2019",Rates!L97," ")</f>
        <v>2.5620545730907448E-3</v>
      </c>
      <c r="K45" s="439">
        <f t="shared" si="23"/>
        <v>2574</v>
      </c>
      <c r="L45" s="82">
        <f t="shared" ref="L45" si="25">K45*J45</f>
        <v>6.5947284711355767</v>
      </c>
      <c r="M45" s="450"/>
      <c r="N45" s="84">
        <f t="shared" ref="N45" si="26">L45-H45</f>
        <v>-88.128471528864409</v>
      </c>
      <c r="O45" s="85">
        <f t="shared" ref="O45" si="27">IF(OR(H45=0,L45=0),"",(N45/H45))</f>
        <v>-0.9303789518181862</v>
      </c>
      <c r="Q45" s="128"/>
      <c r="R45" s="129"/>
      <c r="S45" s="88"/>
      <c r="T45" s="87"/>
      <c r="U45" s="89"/>
      <c r="V45" s="90"/>
      <c r="W45" s="69"/>
      <c r="X45" s="128"/>
      <c r="Y45" s="129"/>
      <c r="Z45" s="88"/>
      <c r="AA45" s="87"/>
      <c r="AB45" s="89"/>
      <c r="AC45" s="90"/>
      <c r="AD45" s="69"/>
      <c r="AE45" s="128"/>
      <c r="AF45" s="129"/>
      <c r="AG45" s="88"/>
      <c r="AH45" s="87"/>
      <c r="AI45" s="89"/>
      <c r="AJ45" s="90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</row>
    <row r="46" spans="1:49" hidden="1" x14ac:dyDescent="0.25">
      <c r="A46" s="1"/>
      <c r="B46" s="271" t="str">
        <f>IF(Rates!D89=$A$37,Rates!B89," ")</f>
        <v xml:space="preserve"> </v>
      </c>
      <c r="C46" s="78"/>
      <c r="D46" s="271"/>
      <c r="E46" s="79"/>
      <c r="F46" s="471"/>
      <c r="G46" s="439"/>
      <c r="H46" s="448"/>
      <c r="I46" s="450"/>
      <c r="J46" s="337"/>
      <c r="K46" s="439"/>
      <c r="L46" s="82"/>
      <c r="M46" s="450"/>
      <c r="N46" s="84"/>
      <c r="O46" s="85"/>
      <c r="Q46" s="128"/>
      <c r="R46" s="129"/>
      <c r="S46" s="88"/>
      <c r="T46" s="87"/>
      <c r="U46" s="89"/>
      <c r="V46" s="90"/>
      <c r="W46" s="69"/>
      <c r="X46" s="128"/>
      <c r="Y46" s="129"/>
      <c r="Z46" s="88"/>
      <c r="AA46" s="87"/>
      <c r="AB46" s="89"/>
      <c r="AC46" s="90"/>
      <c r="AD46" s="69"/>
      <c r="AE46" s="128"/>
      <c r="AF46" s="129"/>
      <c r="AG46" s="88"/>
      <c r="AH46" s="87"/>
      <c r="AI46" s="89"/>
      <c r="AJ46" s="90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</row>
    <row r="47" spans="1:49" x14ac:dyDescent="0.25">
      <c r="A47" s="1"/>
      <c r="B47" s="132" t="s">
        <v>80</v>
      </c>
      <c r="C47" s="133"/>
      <c r="D47" s="133"/>
      <c r="E47" s="133"/>
      <c r="F47" s="134"/>
      <c r="G47" s="135"/>
      <c r="H47" s="136">
        <f>SUM(H37:H46)+H36</f>
        <v>8564.6017863544857</v>
      </c>
      <c r="I47" s="87"/>
      <c r="J47" s="135"/>
      <c r="K47" s="137"/>
      <c r="L47" s="136">
        <f>SUM(L37:L46)+L36</f>
        <v>2591.1204879090487</v>
      </c>
      <c r="M47" s="87"/>
      <c r="N47" s="117">
        <f t="shared" si="2"/>
        <v>-5973.4812984454366</v>
      </c>
      <c r="O47" s="138">
        <f>IF(OR(H47=0,L47=0),"",(N47/H47))</f>
        <v>-0.69746165057698994</v>
      </c>
      <c r="Q47" s="87"/>
      <c r="R47" s="87"/>
      <c r="S47" s="121"/>
      <c r="T47" s="87"/>
      <c r="U47" s="121"/>
      <c r="V47" s="139"/>
      <c r="W47" s="69"/>
      <c r="X47" s="87"/>
      <c r="Y47" s="87"/>
      <c r="Z47" s="121"/>
      <c r="AA47" s="87"/>
      <c r="AB47" s="121"/>
      <c r="AC47" s="139"/>
      <c r="AD47" s="69"/>
      <c r="AE47" s="87"/>
      <c r="AF47" s="87"/>
      <c r="AG47" s="121"/>
      <c r="AH47" s="87"/>
      <c r="AI47" s="121"/>
      <c r="AJ47" s="13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</row>
    <row r="48" spans="1:49" x14ac:dyDescent="0.25">
      <c r="A48" s="38" t="s">
        <v>16</v>
      </c>
      <c r="B48" s="271" t="str">
        <f>IF(Rates!D98=$A$48,Rates!B98," ")</f>
        <v>Retail Transmission Rate – Network Service Rate</v>
      </c>
      <c r="C48" s="83"/>
      <c r="D48" s="271" t="str">
        <f>IF(Rates!D98= $A$48,Rates!E98," ")</f>
        <v>kW</v>
      </c>
      <c r="E48" s="91"/>
      <c r="F48" s="235">
        <f>IF(Rates!$J$1="BRT 2018",Rates!G98," ")</f>
        <v>2.4156</v>
      </c>
      <c r="G48" s="441">
        <f t="shared" ref="G48:G49" si="28">IF(D48="customer",1,IF(D48="kWh",$F$19,$F$17))</f>
        <v>2574</v>
      </c>
      <c r="H48" s="82">
        <f>G48*F48</f>
        <v>6217.7543999999998</v>
      </c>
      <c r="I48" s="87"/>
      <c r="J48" s="235">
        <f>IF(Rates!$L$1="E+ 2019",Rates!L98," ")</f>
        <v>2.3100639460253656</v>
      </c>
      <c r="K48" s="439">
        <f t="shared" ref="K48:K49" si="29">IF(D48="customer",1,IF(D48="kWh",$F$19,$F$17))</f>
        <v>2574</v>
      </c>
      <c r="L48" s="82">
        <f>K48*J48</f>
        <v>5946.1045970692912</v>
      </c>
      <c r="M48" s="87"/>
      <c r="N48" s="84">
        <f t="shared" si="2"/>
        <v>-271.64980293070857</v>
      </c>
      <c r="O48" s="85">
        <f>IF(OR(H48=0,L48=0),"",(N48/H48))</f>
        <v>-4.3689374886005237E-2</v>
      </c>
      <c r="Q48" s="119"/>
      <c r="R48" s="141"/>
      <c r="S48" s="294">
        <f>F48*K48</f>
        <v>6217.7543999999998</v>
      </c>
      <c r="T48" s="87"/>
      <c r="U48" s="89"/>
      <c r="V48" s="90"/>
      <c r="W48" s="69"/>
      <c r="X48" s="119"/>
      <c r="Y48" s="141"/>
      <c r="Z48" s="88"/>
      <c r="AA48" s="87"/>
      <c r="AB48" s="89"/>
      <c r="AC48" s="90"/>
      <c r="AD48" s="69"/>
      <c r="AE48" s="119"/>
      <c r="AF48" s="141"/>
      <c r="AG48" s="88"/>
      <c r="AH48" s="87"/>
      <c r="AI48" s="89"/>
      <c r="AJ48" s="90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</row>
    <row r="49" spans="1:49" x14ac:dyDescent="0.25">
      <c r="A49" s="1"/>
      <c r="B49" s="271" t="str">
        <f>IF(Rates!D99=$A$48,Rates!B99," ")</f>
        <v>Retail Transmission Rate – Line and Transformation Connection Service Rate</v>
      </c>
      <c r="C49" s="83"/>
      <c r="D49" s="271" t="str">
        <f>IF(Rates!D99= $A$48,Rates!E99," ")</f>
        <v>kW</v>
      </c>
      <c r="E49" s="91"/>
      <c r="F49" s="235">
        <f>IF(Rates!$J$1="BRT 2018",Rates!G99," ")</f>
        <v>1.9849000000000001</v>
      </c>
      <c r="G49" s="441">
        <f t="shared" si="28"/>
        <v>2574</v>
      </c>
      <c r="H49" s="82">
        <f t="shared" ref="H49" si="30">G49*F49</f>
        <v>5109.1325999999999</v>
      </c>
      <c r="I49" s="87"/>
      <c r="J49" s="235">
        <f>IF(Rates!$L$1="E+ 2019",Rates!L99," ")</f>
        <v>1.9584378530037638</v>
      </c>
      <c r="K49" s="439">
        <f t="shared" si="29"/>
        <v>2574</v>
      </c>
      <c r="L49" s="82">
        <f t="shared" ref="L49" si="31">K49*J49</f>
        <v>5041.0190336316882</v>
      </c>
      <c r="M49" s="87"/>
      <c r="N49" s="84">
        <f t="shared" si="2"/>
        <v>-68.113566368311695</v>
      </c>
      <c r="O49" s="85">
        <f t="shared" ref="O49" si="32">IF(OR(H49=0,L49=0),"",(N49/H49))</f>
        <v>-1.3331728044856713E-2</v>
      </c>
      <c r="Q49" s="119"/>
      <c r="R49" s="141"/>
      <c r="S49" s="295">
        <f>F49*K49</f>
        <v>5109.1325999999999</v>
      </c>
      <c r="T49" s="87"/>
      <c r="U49" s="89"/>
      <c r="V49" s="90"/>
      <c r="W49" s="69"/>
      <c r="X49" s="119"/>
      <c r="Y49" s="141"/>
      <c r="Z49" s="88"/>
      <c r="AA49" s="87"/>
      <c r="AB49" s="89"/>
      <c r="AC49" s="90"/>
      <c r="AD49" s="69"/>
      <c r="AE49" s="119"/>
      <c r="AF49" s="141"/>
      <c r="AG49" s="88"/>
      <c r="AH49" s="87"/>
      <c r="AI49" s="89"/>
      <c r="AJ49" s="90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</row>
    <row r="50" spans="1:49" x14ac:dyDescent="0.25">
      <c r="A50" s="1"/>
      <c r="B50" s="132" t="s">
        <v>81</v>
      </c>
      <c r="C50" s="110"/>
      <c r="D50" s="110"/>
      <c r="E50" s="110"/>
      <c r="F50" s="142"/>
      <c r="G50" s="135"/>
      <c r="H50" s="136">
        <f>SUM(H47:H49)</f>
        <v>19891.488786354486</v>
      </c>
      <c r="I50" s="146"/>
      <c r="J50" s="144"/>
      <c r="K50" s="145"/>
      <c r="L50" s="136">
        <f>SUM(L47:L49)</f>
        <v>13578.244118610028</v>
      </c>
      <c r="M50" s="146"/>
      <c r="N50" s="117">
        <f>L50-H50</f>
        <v>-6313.2446677444586</v>
      </c>
      <c r="O50" s="138">
        <f>IF(OR(H50=0,L50=0),"",(N50/H50))</f>
        <v>-0.31738422073642519</v>
      </c>
      <c r="Q50" s="146"/>
      <c r="R50" s="146"/>
      <c r="S50" s="296">
        <f>S48+S49</f>
        <v>11326.886999999999</v>
      </c>
      <c r="T50" s="146"/>
      <c r="U50" s="121"/>
      <c r="V50" s="139"/>
      <c r="W50" s="69"/>
      <c r="X50" s="146"/>
      <c r="Y50" s="146"/>
      <c r="Z50" s="121"/>
      <c r="AA50" s="146"/>
      <c r="AB50" s="121"/>
      <c r="AC50" s="139"/>
      <c r="AD50" s="69"/>
      <c r="AE50" s="146"/>
      <c r="AF50" s="146"/>
      <c r="AG50" s="121"/>
      <c r="AH50" s="146"/>
      <c r="AI50" s="121"/>
      <c r="AJ50" s="13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</row>
    <row r="51" spans="1:49" x14ac:dyDescent="0.25">
      <c r="A51" s="4" t="s">
        <v>17</v>
      </c>
      <c r="B51" s="271" t="str">
        <f>IF(Rates!D8=$A$51,Rates!B8," ")</f>
        <v>Standard Supply Service – Administrative Charge (if applicable)</v>
      </c>
      <c r="C51" s="78"/>
      <c r="D51" s="271" t="str">
        <f>IF(Rates!D8=$A$51,Rates!E8," ")</f>
        <v>customer</v>
      </c>
      <c r="E51" s="79"/>
      <c r="F51" s="235">
        <f>IF(Rates!$J$1="BRT 2018",Rates!J8," ")</f>
        <v>0.25</v>
      </c>
      <c r="G51" s="439">
        <f t="shared" ref="G51" si="33">IF(D51="customer",1,IF(D51="kWh",$F$19,$F$17))</f>
        <v>1</v>
      </c>
      <c r="H51" s="148">
        <f t="shared" ref="H51:H60" si="34">G51*F51</f>
        <v>0.25</v>
      </c>
      <c r="I51" s="87"/>
      <c r="J51" s="80">
        <f>IF(Rates!$L$1="E+ 2019",Rates!L8," ")</f>
        <v>0.25</v>
      </c>
      <c r="K51" s="439">
        <f t="shared" ref="K51" si="35">IF(D51="customer",1,IF(D51="kWh",$F$19,$F$17))</f>
        <v>1</v>
      </c>
      <c r="L51" s="148">
        <f t="shared" ref="L51:L60" si="36">K51*J51</f>
        <v>0.25</v>
      </c>
      <c r="M51" s="87"/>
      <c r="N51" s="84">
        <f t="shared" si="2"/>
        <v>0</v>
      </c>
      <c r="O51" s="85">
        <f>IF(OR(H51=0,L51=0),"",(N51/H51))</f>
        <v>0</v>
      </c>
      <c r="Q51" s="150"/>
      <c r="R51" s="224"/>
      <c r="S51" s="151"/>
      <c r="T51" s="87"/>
      <c r="U51" s="89"/>
      <c r="V51" s="90"/>
      <c r="W51" s="69"/>
      <c r="X51" s="150"/>
      <c r="Y51" s="224"/>
      <c r="Z51" s="151"/>
      <c r="AA51" s="87"/>
      <c r="AB51" s="89"/>
      <c r="AC51" s="90"/>
      <c r="AD51" s="69"/>
      <c r="AE51" s="150"/>
      <c r="AF51" s="224"/>
      <c r="AG51" s="151"/>
      <c r="AH51" s="87"/>
      <c r="AI51" s="89"/>
      <c r="AJ51" s="90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</row>
    <row r="52" spans="1:49" x14ac:dyDescent="0.25">
      <c r="A52" s="1"/>
      <c r="B52" s="271" t="str">
        <f>IF(Rates!D9=$A$51,Rates!B9," ")</f>
        <v xml:space="preserve">Wholesale Market Service Rate </v>
      </c>
      <c r="C52" s="78"/>
      <c r="D52" s="271" t="str">
        <f>IF(Rates!D9=$A$51,Rates!E9," ")</f>
        <v>kWh</v>
      </c>
      <c r="E52" s="79"/>
      <c r="F52" s="235">
        <f>IF(Rates!$J$1="BRT 2018",Rates!J9," ")</f>
        <v>3.2000000000000002E-3</v>
      </c>
      <c r="G52" s="225">
        <f>$F$19*(1+$F$74)</f>
        <v>1414477</v>
      </c>
      <c r="H52" s="148">
        <f t="shared" si="34"/>
        <v>4526.3263999999999</v>
      </c>
      <c r="I52" s="87"/>
      <c r="J52" s="235">
        <f>IF(Rates!$L$1="E+ 2019",Rates!L9," ")</f>
        <v>3.2000000000000002E-3</v>
      </c>
      <c r="K52" s="225">
        <f>$F$19*(1+$J$74)</f>
        <v>1410162.1243604189</v>
      </c>
      <c r="L52" s="148">
        <f t="shared" si="36"/>
        <v>4512.5187979533403</v>
      </c>
      <c r="M52" s="87"/>
      <c r="N52" s="84">
        <f t="shared" si="2"/>
        <v>-13.807602046659667</v>
      </c>
      <c r="O52" s="85">
        <f t="shared" ref="O52:O71" si="37">IF(OR(H52=0,L52=0),"",(N52/H52))</f>
        <v>-3.0505095802767709E-3</v>
      </c>
      <c r="Q52" s="150"/>
      <c r="R52" s="224"/>
      <c r="S52" s="151"/>
      <c r="T52" s="87"/>
      <c r="U52" s="89"/>
      <c r="V52" s="90"/>
      <c r="W52" s="69"/>
      <c r="X52" s="150"/>
      <c r="Y52" s="224"/>
      <c r="Z52" s="151"/>
      <c r="AA52" s="87"/>
      <c r="AB52" s="89"/>
      <c r="AC52" s="90"/>
      <c r="AD52" s="69"/>
      <c r="AE52" s="150"/>
      <c r="AF52" s="224"/>
      <c r="AG52" s="151"/>
      <c r="AH52" s="87"/>
      <c r="AI52" s="89"/>
      <c r="AJ52" s="90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</row>
    <row r="53" spans="1:49" x14ac:dyDescent="0.25">
      <c r="A53" s="1"/>
      <c r="B53" s="271" t="str">
        <f>IF(Rates!D10=$A$51,Rates!B10," ")</f>
        <v>Capacity Based Rcovery(CBR) - Class B Customers</v>
      </c>
      <c r="C53" s="78"/>
      <c r="D53" s="271" t="str">
        <f>IF(Rates!D10=$A$51,Rates!E10," ")</f>
        <v>kWh</v>
      </c>
      <c r="E53" s="79"/>
      <c r="F53" s="235">
        <f>IF(Rates!$J$1="BRT 2018",Rates!J10," ")</f>
        <v>4.0000000000000002E-4</v>
      </c>
      <c r="G53" s="225">
        <f>$F$19*(1+$F$74)</f>
        <v>1414477</v>
      </c>
      <c r="H53" s="148">
        <f t="shared" si="34"/>
        <v>565.79079999999999</v>
      </c>
      <c r="I53" s="87"/>
      <c r="J53" s="235">
        <f>IF(Rates!$L$1="E+ 2019",Rates!L10," ")</f>
        <v>4.0000000000000002E-4</v>
      </c>
      <c r="K53" s="225">
        <f>$F$19*(1+$J$74)</f>
        <v>1410162.1243604189</v>
      </c>
      <c r="L53" s="148">
        <f t="shared" si="36"/>
        <v>564.06484974416753</v>
      </c>
      <c r="M53" s="87"/>
      <c r="N53" s="84">
        <f t="shared" si="2"/>
        <v>-1.7259502558324584</v>
      </c>
      <c r="O53" s="85">
        <f t="shared" si="37"/>
        <v>-3.0505095802767709E-3</v>
      </c>
      <c r="Q53" s="150"/>
      <c r="R53" s="224"/>
      <c r="S53" s="151"/>
      <c r="T53" s="87"/>
      <c r="U53" s="89"/>
      <c r="V53" s="90"/>
      <c r="W53" s="69"/>
      <c r="X53" s="150"/>
      <c r="Y53" s="224"/>
      <c r="Z53" s="151"/>
      <c r="AA53" s="87"/>
      <c r="AB53" s="89"/>
      <c r="AC53" s="90"/>
      <c r="AD53" s="69"/>
      <c r="AE53" s="150"/>
      <c r="AF53" s="224"/>
      <c r="AG53" s="151"/>
      <c r="AH53" s="87"/>
      <c r="AI53" s="89"/>
      <c r="AJ53" s="90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</row>
    <row r="54" spans="1:49" x14ac:dyDescent="0.25">
      <c r="A54" s="1"/>
      <c r="B54" s="271" t="str">
        <f>IF(Rates!D11=$A$51,Rates!B11," ")</f>
        <v xml:space="preserve">Rural Rate Protection Charge </v>
      </c>
      <c r="C54" s="78"/>
      <c r="D54" s="271" t="str">
        <f>IF(Rates!D11=$A$51,Rates!E11," ")</f>
        <v>kWh</v>
      </c>
      <c r="E54" s="79"/>
      <c r="F54" s="235">
        <f>IF(Rates!$J$1="BRT 2018",Rates!J11," ")</f>
        <v>2.9999999999999997E-4</v>
      </c>
      <c r="G54" s="225">
        <f>$F$19*(1+$F$74)</f>
        <v>1414477</v>
      </c>
      <c r="H54" s="148">
        <f t="shared" si="34"/>
        <v>424.34309999999994</v>
      </c>
      <c r="I54" s="87"/>
      <c r="J54" s="235">
        <f>IF(Rates!$L$1="E+ 2019",Rates!L11," ")</f>
        <v>2.9999999999999997E-4</v>
      </c>
      <c r="K54" s="225">
        <f>$F$19*(1+$J$74)</f>
        <v>1410162.1243604189</v>
      </c>
      <c r="L54" s="148">
        <f t="shared" si="36"/>
        <v>423.04863730812565</v>
      </c>
      <c r="M54" s="87"/>
      <c r="N54" s="84">
        <f t="shared" si="2"/>
        <v>-1.294462691874287</v>
      </c>
      <c r="O54" s="85">
        <f t="shared" si="37"/>
        <v>-3.0505095802766374E-3</v>
      </c>
      <c r="Q54" s="153"/>
      <c r="R54" s="87"/>
      <c r="S54" s="151"/>
      <c r="T54" s="87"/>
      <c r="U54" s="89"/>
      <c r="V54" s="90"/>
      <c r="W54" s="69"/>
      <c r="X54" s="153"/>
      <c r="Y54" s="87"/>
      <c r="Z54" s="151"/>
      <c r="AA54" s="87"/>
      <c r="AB54" s="89"/>
      <c r="AC54" s="90"/>
      <c r="AD54" s="69"/>
      <c r="AE54" s="153"/>
      <c r="AF54" s="87"/>
      <c r="AG54" s="151"/>
      <c r="AH54" s="87"/>
      <c r="AI54" s="89"/>
      <c r="AJ54" s="90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</row>
    <row r="55" spans="1:49" x14ac:dyDescent="0.25">
      <c r="A55" s="1"/>
      <c r="B55" s="271" t="str">
        <f>IF(Rates!D12=$A$51,Rates!B12," ")</f>
        <v>Debt Retirement Charge</v>
      </c>
      <c r="C55" s="78"/>
      <c r="D55" s="271" t="str">
        <f>IF(Rates!D12=$A$51,Rates!E12," ")</f>
        <v>kWh</v>
      </c>
      <c r="E55" s="79"/>
      <c r="F55" s="235">
        <f>IF(Rates!$J$1="BRT 2018",Rates!J12," ")</f>
        <v>7.0000000000000001E-3</v>
      </c>
      <c r="G55" s="225">
        <f>$F$19</f>
        <v>1382000</v>
      </c>
      <c r="H55" s="148">
        <f t="shared" si="34"/>
        <v>9674</v>
      </c>
      <c r="I55" s="87"/>
      <c r="J55" s="235">
        <f>IF(Rates!$L$1="E+ 2019",Rates!L12," ")</f>
        <v>7.0000000000000001E-3</v>
      </c>
      <c r="K55" s="225">
        <f>F19</f>
        <v>1382000</v>
      </c>
      <c r="L55" s="148">
        <f t="shared" si="36"/>
        <v>9674</v>
      </c>
      <c r="M55" s="87"/>
      <c r="N55" s="84">
        <f t="shared" si="2"/>
        <v>0</v>
      </c>
      <c r="O55" s="85">
        <f t="shared" si="37"/>
        <v>0</v>
      </c>
      <c r="Q55" s="153"/>
      <c r="R55" s="87"/>
      <c r="S55" s="151"/>
      <c r="T55" s="87"/>
      <c r="U55" s="89"/>
      <c r="V55" s="90"/>
      <c r="W55" s="69"/>
      <c r="X55" s="153"/>
      <c r="Y55" s="87"/>
      <c r="Z55" s="151"/>
      <c r="AA55" s="87"/>
      <c r="AB55" s="89"/>
      <c r="AC55" s="90"/>
      <c r="AD55" s="69"/>
      <c r="AE55" s="153"/>
      <c r="AF55" s="87"/>
      <c r="AG55" s="151"/>
      <c r="AH55" s="87"/>
      <c r="AI55" s="89"/>
      <c r="AJ55" s="90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</row>
    <row r="56" spans="1:49" x14ac:dyDescent="0.25">
      <c r="A56" s="6" t="s">
        <v>14</v>
      </c>
      <c r="B56" s="271" t="str">
        <f>IF(Rates!D2=$A$56,Rates!B2," ")</f>
        <v>TOU - Off Peak</v>
      </c>
      <c r="C56" s="78"/>
      <c r="D56" s="271" t="str">
        <f>IF(Rates!D2=$A$56,Rates!E2," ")</f>
        <v>kWh</v>
      </c>
      <c r="E56" s="79"/>
      <c r="F56" s="235">
        <f>IF(Rates!$J$1="BRT 2018",Rates!J2," ")</f>
        <v>6.5000000000000002E-2</v>
      </c>
      <c r="G56" s="226">
        <f>IF($G$59=0,0.65*($F$19*(1+$F$74)),0)</f>
        <v>0</v>
      </c>
      <c r="H56" s="148">
        <f t="shared" si="34"/>
        <v>0</v>
      </c>
      <c r="I56" s="87"/>
      <c r="J56" s="152">
        <f>IF(Rates!$L$1="E+ 2019",Rates!L2," ")</f>
        <v>6.5000000000000002E-2</v>
      </c>
      <c r="K56" s="226">
        <f>IF($K$59=0,0.65*$F$19,0)</f>
        <v>0</v>
      </c>
      <c r="L56" s="148">
        <f t="shared" si="36"/>
        <v>0</v>
      </c>
      <c r="M56" s="87"/>
      <c r="N56" s="84">
        <f t="shared" si="2"/>
        <v>0</v>
      </c>
      <c r="O56" s="85" t="str">
        <f t="shared" si="37"/>
        <v/>
      </c>
      <c r="Q56" s="150"/>
      <c r="R56" s="224"/>
      <c r="S56" s="151"/>
      <c r="T56" s="87"/>
      <c r="U56" s="89"/>
      <c r="V56" s="90"/>
      <c r="W56" s="69"/>
      <c r="X56" s="150"/>
      <c r="Y56" s="224"/>
      <c r="Z56" s="151"/>
      <c r="AA56" s="87"/>
      <c r="AB56" s="89"/>
      <c r="AC56" s="90"/>
      <c r="AD56" s="69"/>
      <c r="AE56" s="150"/>
      <c r="AF56" s="224"/>
      <c r="AG56" s="151"/>
      <c r="AH56" s="87"/>
      <c r="AI56" s="89"/>
      <c r="AJ56" s="90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</row>
    <row r="57" spans="1:49" x14ac:dyDescent="0.25">
      <c r="A57" s="1"/>
      <c r="B57" s="271" t="str">
        <f>IF(Rates!D3=$A$56,Rates!B3," ")</f>
        <v>TOU - Mid Peak</v>
      </c>
      <c r="C57" s="78"/>
      <c r="D57" s="271" t="str">
        <f>IF(Rates!D3=$A$56,Rates!E3," ")</f>
        <v>kWh</v>
      </c>
      <c r="E57" s="79"/>
      <c r="F57" s="235">
        <f>IF(Rates!$J$1="BRT 2018",Rates!J3," ")</f>
        <v>9.5000000000000001E-2</v>
      </c>
      <c r="G57" s="226">
        <f>IF($G$59=0,0.17*($F$19*(1+$F$74)),0)</f>
        <v>0</v>
      </c>
      <c r="H57" s="148">
        <f t="shared" si="34"/>
        <v>0</v>
      </c>
      <c r="I57" s="87"/>
      <c r="J57" s="235">
        <f t="shared" ref="J57:J60" si="38">+F57</f>
        <v>9.5000000000000001E-2</v>
      </c>
      <c r="K57" s="226">
        <f>IF($K$59=0,0.17*$F$19,0)</f>
        <v>0</v>
      </c>
      <c r="L57" s="148">
        <f t="shared" si="36"/>
        <v>0</v>
      </c>
      <c r="M57" s="87"/>
      <c r="N57" s="84">
        <f t="shared" si="2"/>
        <v>0</v>
      </c>
      <c r="O57" s="85" t="str">
        <f t="shared" si="37"/>
        <v/>
      </c>
      <c r="Q57" s="157"/>
      <c r="R57" s="227"/>
      <c r="S57" s="151"/>
      <c r="T57" s="87"/>
      <c r="U57" s="89"/>
      <c r="V57" s="90"/>
      <c r="W57" s="69"/>
      <c r="X57" s="157"/>
      <c r="Y57" s="227"/>
      <c r="Z57" s="151"/>
      <c r="AA57" s="87"/>
      <c r="AB57" s="89"/>
      <c r="AC57" s="90"/>
      <c r="AD57" s="69"/>
      <c r="AE57" s="157"/>
      <c r="AF57" s="227"/>
      <c r="AG57" s="151"/>
      <c r="AH57" s="87"/>
      <c r="AI57" s="89"/>
      <c r="AJ57" s="90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</row>
    <row r="58" spans="1:49" x14ac:dyDescent="0.25">
      <c r="A58" s="1"/>
      <c r="B58" s="271" t="str">
        <f>IF(Rates!D4=$A$56,Rates!B4," ")</f>
        <v>TOU - On Peak</v>
      </c>
      <c r="C58" s="78"/>
      <c r="D58" s="271" t="str">
        <f>IF(Rates!D4=$A$56,Rates!E4," ")</f>
        <v>kWh</v>
      </c>
      <c r="E58" s="79"/>
      <c r="F58" s="235">
        <f>IF(Rates!$J$1="BRT 2018",Rates!J4," ")</f>
        <v>0.13200000000000001</v>
      </c>
      <c r="G58" s="226">
        <f>IF($G$59=0,0.18*($F$19*(1+$F$74)),0)</f>
        <v>0</v>
      </c>
      <c r="H58" s="148">
        <f t="shared" si="34"/>
        <v>0</v>
      </c>
      <c r="I58" s="87"/>
      <c r="J58" s="235">
        <f t="shared" si="38"/>
        <v>0.13200000000000001</v>
      </c>
      <c r="K58" s="226">
        <f>IF($K$59=0,0.18*$F$19,0)</f>
        <v>0</v>
      </c>
      <c r="L58" s="148">
        <f t="shared" si="36"/>
        <v>0</v>
      </c>
      <c r="M58" s="87"/>
      <c r="N58" s="84">
        <f t="shared" si="2"/>
        <v>0</v>
      </c>
      <c r="O58" s="85" t="str">
        <f t="shared" si="37"/>
        <v/>
      </c>
      <c r="Q58" s="157"/>
      <c r="R58" s="227"/>
      <c r="S58" s="151"/>
      <c r="T58" s="87"/>
      <c r="U58" s="89"/>
      <c r="V58" s="90"/>
      <c r="W58" s="69"/>
      <c r="X58" s="157"/>
      <c r="Y58" s="227"/>
      <c r="Z58" s="151"/>
      <c r="AA58" s="87"/>
      <c r="AB58" s="89"/>
      <c r="AC58" s="90"/>
      <c r="AD58" s="69"/>
      <c r="AE58" s="157"/>
      <c r="AF58" s="227"/>
      <c r="AG58" s="151"/>
      <c r="AH58" s="87"/>
      <c r="AI58" s="89"/>
      <c r="AJ58" s="90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</row>
    <row r="59" spans="1:49" x14ac:dyDescent="0.25">
      <c r="A59" s="1"/>
      <c r="B59" s="271" t="str">
        <f>IF(Rates!D5=$A$56,Rates!B5," ")</f>
        <v>Commodity</v>
      </c>
      <c r="C59" s="160"/>
      <c r="D59" s="271" t="str">
        <f>IF(Rates!D5=$A$56,Rates!E5," ")</f>
        <v>kWh</v>
      </c>
      <c r="E59" s="161"/>
      <c r="F59" s="235">
        <f>IF(Rates!$J$1="BRT 2018",Rates!J5," ")</f>
        <v>1.8855833333333332E-2</v>
      </c>
      <c r="G59" s="225">
        <f>$F$19*(1+$F$74)</f>
        <v>1414477</v>
      </c>
      <c r="H59" s="148">
        <f t="shared" si="34"/>
        <v>26671.142565833332</v>
      </c>
      <c r="I59" s="166"/>
      <c r="J59" s="235">
        <f t="shared" si="38"/>
        <v>1.8855833333333332E-2</v>
      </c>
      <c r="K59" s="225">
        <f>$F$19*(1+$J$74)</f>
        <v>1410162.1243604189</v>
      </c>
      <c r="L59" s="148">
        <f t="shared" si="36"/>
        <v>26589.781989919331</v>
      </c>
      <c r="M59" s="166"/>
      <c r="N59" s="84">
        <f t="shared" si="2"/>
        <v>-81.360575914000947</v>
      </c>
      <c r="O59" s="85">
        <f t="shared" si="37"/>
        <v>-3.0505095802767254E-3</v>
      </c>
      <c r="Q59" s="157"/>
      <c r="R59" s="227"/>
      <c r="S59" s="151"/>
      <c r="T59" s="166"/>
      <c r="U59" s="89"/>
      <c r="V59" s="90"/>
      <c r="W59" s="69"/>
      <c r="X59" s="157"/>
      <c r="Y59" s="227"/>
      <c r="Z59" s="151"/>
      <c r="AA59" s="166"/>
      <c r="AB59" s="89"/>
      <c r="AC59" s="90"/>
      <c r="AD59" s="69"/>
      <c r="AE59" s="157"/>
      <c r="AF59" s="227"/>
      <c r="AG59" s="151"/>
      <c r="AH59" s="166"/>
      <c r="AI59" s="89"/>
      <c r="AJ59" s="90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</row>
    <row r="60" spans="1:49" ht="15.75" thickBot="1" x14ac:dyDescent="0.3">
      <c r="A60" s="159"/>
      <c r="B60" s="271" t="str">
        <f>IF(Rates!D6=$A$56,Rates!B6," ")</f>
        <v>Global Adjustment</v>
      </c>
      <c r="C60" s="160"/>
      <c r="D60" s="271" t="str">
        <f>IF(Rates!D6=$A$56,Rates!E6," ")</f>
        <v>kWh</v>
      </c>
      <c r="E60" s="161"/>
      <c r="F60" s="235">
        <f>IF(Rates!$J$1="BRT 2018",Rates!J6," ")</f>
        <v>0.10303000000000001</v>
      </c>
      <c r="G60" s="225">
        <f>$F$19*(1+$F$74)</f>
        <v>1414477</v>
      </c>
      <c r="H60" s="148">
        <f t="shared" si="34"/>
        <v>145733.56531000001</v>
      </c>
      <c r="I60" s="166"/>
      <c r="J60" s="235">
        <f t="shared" si="38"/>
        <v>0.10303000000000001</v>
      </c>
      <c r="K60" s="225">
        <f>$F$19*(1+$J$74)</f>
        <v>1410162.1243604189</v>
      </c>
      <c r="L60" s="148">
        <f t="shared" si="36"/>
        <v>145289.00367285399</v>
      </c>
      <c r="M60" s="166"/>
      <c r="N60" s="84">
        <f t="shared" si="2"/>
        <v>-444.56163714602008</v>
      </c>
      <c r="O60" s="85">
        <f t="shared" si="37"/>
        <v>-3.0505095802765966E-3</v>
      </c>
      <c r="Q60" s="157"/>
      <c r="R60" s="227"/>
      <c r="S60" s="151"/>
      <c r="T60" s="166"/>
      <c r="U60" s="89"/>
      <c r="V60" s="90"/>
      <c r="W60" s="69"/>
      <c r="X60" s="157"/>
      <c r="Y60" s="227"/>
      <c r="Z60" s="151"/>
      <c r="AA60" s="166"/>
      <c r="AB60" s="89"/>
      <c r="AC60" s="90"/>
      <c r="AD60" s="69"/>
      <c r="AE60" s="157"/>
      <c r="AF60" s="227"/>
      <c r="AG60" s="151"/>
      <c r="AH60" s="166"/>
      <c r="AI60" s="89"/>
      <c r="AJ60" s="90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</row>
    <row r="61" spans="1:49" ht="15.75" thickBot="1" x14ac:dyDescent="0.3">
      <c r="A61" s="159"/>
      <c r="B61" s="211"/>
      <c r="C61" s="212"/>
      <c r="D61" s="213"/>
      <c r="E61" s="212"/>
      <c r="F61" s="266"/>
      <c r="G61" s="214"/>
      <c r="H61" s="267"/>
      <c r="I61" s="87"/>
      <c r="J61" s="266"/>
      <c r="K61" s="216"/>
      <c r="L61" s="267"/>
      <c r="M61" s="87"/>
      <c r="N61" s="217"/>
      <c r="O61" s="205"/>
      <c r="Q61" s="157"/>
      <c r="R61" s="120"/>
      <c r="S61" s="151"/>
      <c r="T61" s="87"/>
      <c r="U61" s="89"/>
      <c r="V61" s="174"/>
      <c r="W61" s="69"/>
      <c r="X61" s="157"/>
      <c r="Y61" s="120"/>
      <c r="Z61" s="151"/>
      <c r="AA61" s="87"/>
      <c r="AB61" s="89"/>
      <c r="AC61" s="174"/>
      <c r="AD61" s="69"/>
      <c r="AE61" s="157"/>
      <c r="AF61" s="120"/>
      <c r="AG61" s="151"/>
      <c r="AH61" s="87"/>
      <c r="AI61" s="89"/>
      <c r="AJ61" s="174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</row>
    <row r="62" spans="1:49" x14ac:dyDescent="0.25">
      <c r="A62" s="159"/>
      <c r="B62" s="175" t="s">
        <v>97</v>
      </c>
      <c r="C62" s="78"/>
      <c r="D62" s="78"/>
      <c r="E62" s="78"/>
      <c r="F62" s="176"/>
      <c r="G62" s="177"/>
      <c r="H62" s="179">
        <f>SUM(H51:H55,H50,H59,,H60,)</f>
        <v>207486.90696218782</v>
      </c>
      <c r="I62" s="146"/>
      <c r="J62" s="178"/>
      <c r="K62" s="178"/>
      <c r="L62" s="179">
        <f>SUM(L51:L55,L50,L59,,L60,)</f>
        <v>200630.91206638899</v>
      </c>
      <c r="M62" s="146"/>
      <c r="N62" s="179">
        <f>L62-H62</f>
        <v>-6855.9948957988236</v>
      </c>
      <c r="O62" s="180">
        <f t="shared" si="37"/>
        <v>-3.3043024237901682E-2</v>
      </c>
      <c r="Q62" s="181"/>
      <c r="R62" s="181"/>
      <c r="S62" s="121"/>
      <c r="T62" s="146"/>
      <c r="U62" s="89"/>
      <c r="V62" s="90"/>
      <c r="W62" s="69"/>
      <c r="X62" s="181"/>
      <c r="Y62" s="181"/>
      <c r="Z62" s="121"/>
      <c r="AA62" s="146"/>
      <c r="AB62" s="89"/>
      <c r="AC62" s="90"/>
      <c r="AD62" s="69"/>
      <c r="AE62" s="181"/>
      <c r="AF62" s="181"/>
      <c r="AG62" s="121"/>
      <c r="AH62" s="146"/>
      <c r="AI62" s="89"/>
      <c r="AJ62" s="90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</row>
    <row r="63" spans="1:49" x14ac:dyDescent="0.25">
      <c r="A63" s="159"/>
      <c r="B63" s="182" t="s">
        <v>9</v>
      </c>
      <c r="C63" s="78"/>
      <c r="D63" s="78"/>
      <c r="E63" s="78"/>
      <c r="F63" s="183">
        <v>0.13</v>
      </c>
      <c r="G63" s="87"/>
      <c r="H63" s="188">
        <f>H62*F63</f>
        <v>26973.297905084415</v>
      </c>
      <c r="I63" s="187"/>
      <c r="J63" s="185">
        <v>0.13</v>
      </c>
      <c r="K63" s="184"/>
      <c r="L63" s="188">
        <f>L62*J63</f>
        <v>26082.01856863057</v>
      </c>
      <c r="M63" s="187"/>
      <c r="N63" s="188">
        <f>L63-H63</f>
        <v>-891.27933645384473</v>
      </c>
      <c r="O63" s="85">
        <f t="shared" si="37"/>
        <v>-3.3043024237901598E-2</v>
      </c>
      <c r="Q63" s="189"/>
      <c r="R63" s="187"/>
      <c r="S63" s="190"/>
      <c r="T63" s="187"/>
      <c r="U63" s="89"/>
      <c r="V63" s="90"/>
      <c r="W63" s="69"/>
      <c r="X63" s="189"/>
      <c r="Y63" s="187"/>
      <c r="Z63" s="190"/>
      <c r="AA63" s="187"/>
      <c r="AB63" s="89"/>
      <c r="AC63" s="90"/>
      <c r="AD63" s="69"/>
      <c r="AE63" s="189"/>
      <c r="AF63" s="187"/>
      <c r="AG63" s="190"/>
      <c r="AH63" s="187"/>
      <c r="AI63" s="89"/>
      <c r="AJ63" s="90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</row>
    <row r="64" spans="1:49" ht="15.75" thickBot="1" x14ac:dyDescent="0.3">
      <c r="A64" s="1"/>
      <c r="B64" s="515" t="s">
        <v>98</v>
      </c>
      <c r="C64" s="515"/>
      <c r="D64" s="515"/>
      <c r="E64" s="192"/>
      <c r="F64" s="218"/>
      <c r="G64" s="219"/>
      <c r="H64" s="222">
        <f>SUM(H62:H63)</f>
        <v>234460.20486727223</v>
      </c>
      <c r="I64" s="146"/>
      <c r="J64" s="220"/>
      <c r="K64" s="220"/>
      <c r="L64" s="222">
        <f>SUM(L62:L63)</f>
        <v>226712.93063501955</v>
      </c>
      <c r="M64" s="146"/>
      <c r="N64" s="222">
        <f>L64-H64</f>
        <v>-7747.2742322526756</v>
      </c>
      <c r="O64" s="197">
        <f t="shared" si="37"/>
        <v>-3.3043024237901703E-2</v>
      </c>
      <c r="Q64" s="146"/>
      <c r="R64" s="146"/>
      <c r="S64" s="121"/>
      <c r="T64" s="146"/>
      <c r="U64" s="121"/>
      <c r="V64" s="223"/>
      <c r="W64" s="69"/>
      <c r="X64" s="146"/>
      <c r="Y64" s="146"/>
      <c r="Z64" s="121"/>
      <c r="AA64" s="146"/>
      <c r="AB64" s="121"/>
      <c r="AC64" s="223"/>
      <c r="AD64" s="69"/>
      <c r="AE64" s="146"/>
      <c r="AF64" s="146"/>
      <c r="AG64" s="121"/>
      <c r="AH64" s="146"/>
      <c r="AI64" s="121"/>
      <c r="AJ64" s="223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</row>
    <row r="65" spans="1:49" ht="15.75" thickBot="1" x14ac:dyDescent="0.3">
      <c r="A65" s="1"/>
      <c r="B65" s="198"/>
      <c r="C65" s="199"/>
      <c r="D65" s="200"/>
      <c r="E65" s="199"/>
      <c r="F65" s="266"/>
      <c r="G65" s="201"/>
      <c r="H65" s="267"/>
      <c r="I65" s="166"/>
      <c r="J65" s="266"/>
      <c r="K65" s="203"/>
      <c r="L65" s="267"/>
      <c r="M65" s="166"/>
      <c r="N65" s="204"/>
      <c r="O65" s="205"/>
      <c r="Q65" s="157"/>
      <c r="R65" s="206"/>
      <c r="S65" s="151"/>
      <c r="T65" s="166"/>
      <c r="U65" s="207"/>
      <c r="V65" s="174"/>
      <c r="W65" s="69"/>
      <c r="X65" s="157"/>
      <c r="Y65" s="206"/>
      <c r="Z65" s="151"/>
      <c r="AA65" s="166"/>
      <c r="AB65" s="207"/>
      <c r="AC65" s="174"/>
      <c r="AD65" s="69"/>
      <c r="AE65" s="157"/>
      <c r="AF65" s="206"/>
      <c r="AG65" s="151"/>
      <c r="AH65" s="166"/>
      <c r="AI65" s="207"/>
      <c r="AJ65" s="174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</row>
    <row r="66" spans="1:49" x14ac:dyDescent="0.25">
      <c r="A66" s="1"/>
      <c r="B66" s="236" t="s">
        <v>99</v>
      </c>
      <c r="C66" s="160"/>
      <c r="D66" s="160"/>
      <c r="E66" s="160"/>
      <c r="F66" s="237"/>
      <c r="G66" s="238"/>
      <c r="H66" s="241">
        <f>IF($G$56&gt;0,SUM(H50,H51:H58),0)</f>
        <v>0</v>
      </c>
      <c r="I66" s="240"/>
      <c r="J66" s="239"/>
      <c r="K66" s="239"/>
      <c r="L66" s="241">
        <f>IF($K$56&gt;0,SUM(L50,L51:L58),0)</f>
        <v>0</v>
      </c>
      <c r="M66" s="240"/>
      <c r="N66" s="241">
        <f t="shared" ref="N66:N71" si="39">L66-H66</f>
        <v>0</v>
      </c>
      <c r="O66" s="180" t="str">
        <f t="shared" si="37"/>
        <v/>
      </c>
      <c r="Q66" s="242"/>
      <c r="R66" s="242"/>
      <c r="S66" s="243"/>
      <c r="T66" s="240"/>
      <c r="U66" s="89"/>
      <c r="V66" s="90"/>
      <c r="W66" s="69"/>
      <c r="X66" s="242"/>
      <c r="Y66" s="242"/>
      <c r="Z66" s="243"/>
      <c r="AA66" s="240"/>
      <c r="AB66" s="89"/>
      <c r="AC66" s="90"/>
      <c r="AD66" s="69"/>
      <c r="AE66" s="242"/>
      <c r="AF66" s="242"/>
      <c r="AG66" s="243"/>
      <c r="AH66" s="240"/>
      <c r="AI66" s="89"/>
      <c r="AJ66" s="90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</row>
    <row r="67" spans="1:49" x14ac:dyDescent="0.25">
      <c r="A67" s="1"/>
      <c r="B67" s="244" t="s">
        <v>9</v>
      </c>
      <c r="C67" s="160"/>
      <c r="D67" s="160"/>
      <c r="E67" s="160"/>
      <c r="F67" s="245">
        <v>0.13</v>
      </c>
      <c r="G67" s="238"/>
      <c r="H67" s="250">
        <f>$H$66*F67</f>
        <v>0</v>
      </c>
      <c r="I67" s="249"/>
      <c r="J67" s="247">
        <v>0.13</v>
      </c>
      <c r="K67" s="248"/>
      <c r="L67" s="250">
        <f>$L$66*J67</f>
        <v>0</v>
      </c>
      <c r="M67" s="249"/>
      <c r="N67" s="250">
        <f t="shared" si="39"/>
        <v>0</v>
      </c>
      <c r="O67" s="85" t="str">
        <f t="shared" si="37"/>
        <v/>
      </c>
      <c r="Q67" s="251"/>
      <c r="R67" s="252"/>
      <c r="S67" s="253"/>
      <c r="T67" s="249"/>
      <c r="U67" s="89"/>
      <c r="V67" s="90"/>
      <c r="W67" s="69"/>
      <c r="X67" s="251"/>
      <c r="Y67" s="252"/>
      <c r="Z67" s="253"/>
      <c r="AA67" s="249"/>
      <c r="AB67" s="89"/>
      <c r="AC67" s="90"/>
      <c r="AD67" s="69"/>
      <c r="AE67" s="251"/>
      <c r="AF67" s="252"/>
      <c r="AG67" s="253"/>
      <c r="AH67" s="249"/>
      <c r="AI67" s="89"/>
      <c r="AJ67" s="90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</row>
    <row r="68" spans="1:49" x14ac:dyDescent="0.25">
      <c r="A68" s="1"/>
      <c r="B68" s="182" t="s">
        <v>106</v>
      </c>
      <c r="C68" s="78"/>
      <c r="D68" s="78"/>
      <c r="E68" s="78"/>
      <c r="F68" s="183">
        <v>-0.05</v>
      </c>
      <c r="G68" s="87"/>
      <c r="H68" s="188">
        <f>$H$66*F68</f>
        <v>0</v>
      </c>
      <c r="I68" s="187"/>
      <c r="J68" s="183">
        <v>-0.05</v>
      </c>
      <c r="K68" s="184"/>
      <c r="L68" s="188">
        <f>$L$66*J68</f>
        <v>0</v>
      </c>
      <c r="M68" s="187"/>
      <c r="N68" s="188">
        <f t="shared" si="39"/>
        <v>0</v>
      </c>
      <c r="O68" s="85" t="str">
        <f t="shared" si="37"/>
        <v/>
      </c>
      <c r="Q68" s="189"/>
      <c r="R68" s="187"/>
      <c r="S68" s="190"/>
      <c r="T68" s="187"/>
      <c r="U68" s="89"/>
      <c r="V68" s="90"/>
      <c r="W68" s="69"/>
      <c r="X68" s="189"/>
      <c r="Y68" s="187"/>
      <c r="Z68" s="253"/>
      <c r="AA68" s="249"/>
      <c r="AB68" s="89"/>
      <c r="AC68" s="90"/>
      <c r="AD68" s="69"/>
      <c r="AE68" s="251"/>
      <c r="AF68" s="252"/>
      <c r="AG68" s="253"/>
      <c r="AH68" s="249"/>
      <c r="AI68" s="89"/>
      <c r="AJ68" s="90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</row>
    <row r="69" spans="1:49" x14ac:dyDescent="0.25">
      <c r="A69" s="159"/>
      <c r="B69" s="254" t="s">
        <v>100</v>
      </c>
      <c r="C69" s="160"/>
      <c r="D69" s="160"/>
      <c r="E69" s="160"/>
      <c r="F69" s="255"/>
      <c r="G69" s="166"/>
      <c r="H69" s="250">
        <f>SUM(H66:H68)</f>
        <v>0</v>
      </c>
      <c r="I69" s="249"/>
      <c r="J69" s="246"/>
      <c r="K69" s="246"/>
      <c r="L69" s="250">
        <f>SUM(L66:L68)</f>
        <v>0</v>
      </c>
      <c r="M69" s="249"/>
      <c r="N69" s="250">
        <f t="shared" si="39"/>
        <v>0</v>
      </c>
      <c r="O69" s="85" t="str">
        <f t="shared" si="37"/>
        <v/>
      </c>
      <c r="Q69" s="249"/>
      <c r="R69" s="249"/>
      <c r="S69" s="253"/>
      <c r="T69" s="249"/>
      <c r="U69" s="89"/>
      <c r="V69" s="90"/>
      <c r="W69" s="69"/>
      <c r="X69" s="249"/>
      <c r="Y69" s="249"/>
      <c r="Z69" s="253"/>
      <c r="AA69" s="249"/>
      <c r="AB69" s="89"/>
      <c r="AC69" s="90"/>
      <c r="AD69" s="69"/>
      <c r="AE69" s="249"/>
      <c r="AF69" s="249"/>
      <c r="AG69" s="253"/>
      <c r="AH69" s="249"/>
      <c r="AI69" s="89"/>
      <c r="AJ69" s="90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</row>
    <row r="70" spans="1:49" x14ac:dyDescent="0.25">
      <c r="A70" s="159"/>
      <c r="B70" s="516" t="s">
        <v>101</v>
      </c>
      <c r="C70" s="516"/>
      <c r="D70" s="516"/>
      <c r="E70" s="160"/>
      <c r="F70" s="255"/>
      <c r="G70" s="166"/>
      <c r="H70" s="256">
        <f>ROUND(-H69*0%,2)</f>
        <v>0</v>
      </c>
      <c r="I70" s="249"/>
      <c r="J70" s="246"/>
      <c r="K70" s="246"/>
      <c r="L70" s="256">
        <f>ROUND(-L69*0%,2)</f>
        <v>0</v>
      </c>
      <c r="M70" s="249"/>
      <c r="N70" s="256">
        <f t="shared" si="39"/>
        <v>0</v>
      </c>
      <c r="O70" s="257" t="str">
        <f>IF(OR(H70=0,L70=0),"",(N70/H70))</f>
        <v/>
      </c>
      <c r="Q70" s="249"/>
      <c r="R70" s="249"/>
      <c r="S70" s="258"/>
      <c r="T70" s="249"/>
      <c r="U70" s="259"/>
      <c r="V70" s="90"/>
      <c r="W70" s="69"/>
      <c r="X70" s="249"/>
      <c r="Y70" s="249"/>
      <c r="Z70" s="258"/>
      <c r="AA70" s="249"/>
      <c r="AB70" s="259"/>
      <c r="AC70" s="90"/>
      <c r="AD70" s="69"/>
      <c r="AE70" s="249"/>
      <c r="AF70" s="249"/>
      <c r="AG70" s="258"/>
      <c r="AH70" s="249"/>
      <c r="AI70" s="259"/>
      <c r="AJ70" s="90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</row>
    <row r="71" spans="1:49" ht="15.75" thickBot="1" x14ac:dyDescent="0.3">
      <c r="A71" s="159"/>
      <c r="B71" s="513" t="s">
        <v>102</v>
      </c>
      <c r="C71" s="513"/>
      <c r="D71" s="513"/>
      <c r="E71" s="260"/>
      <c r="F71" s="261"/>
      <c r="G71" s="262"/>
      <c r="H71" s="265">
        <f>SUM(H69:H70)</f>
        <v>0</v>
      </c>
      <c r="I71" s="240"/>
      <c r="J71" s="263"/>
      <c r="K71" s="263"/>
      <c r="L71" s="265">
        <f>SUM(L69:L70)</f>
        <v>0</v>
      </c>
      <c r="M71" s="240"/>
      <c r="N71" s="265">
        <f t="shared" si="39"/>
        <v>0</v>
      </c>
      <c r="O71" s="197" t="str">
        <f t="shared" si="37"/>
        <v/>
      </c>
      <c r="Q71" s="240"/>
      <c r="R71" s="240"/>
      <c r="S71" s="243"/>
      <c r="T71" s="240"/>
      <c r="U71" s="121"/>
      <c r="V71" s="223"/>
      <c r="W71" s="69"/>
      <c r="X71" s="240"/>
      <c r="Y71" s="240"/>
      <c r="Z71" s="243"/>
      <c r="AA71" s="240"/>
      <c r="AB71" s="121"/>
      <c r="AC71" s="223"/>
      <c r="AD71" s="69"/>
      <c r="AE71" s="240"/>
      <c r="AF71" s="240"/>
      <c r="AG71" s="243"/>
      <c r="AH71" s="240"/>
      <c r="AI71" s="121"/>
      <c r="AJ71" s="223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</row>
    <row r="72" spans="1:49" ht="15.75" thickBot="1" x14ac:dyDescent="0.3">
      <c r="A72" s="159"/>
      <c r="B72" s="198"/>
      <c r="C72" s="199"/>
      <c r="D72" s="200"/>
      <c r="E72" s="199"/>
      <c r="F72" s="390"/>
      <c r="G72" s="400"/>
      <c r="H72" s="401"/>
      <c r="I72" s="166"/>
      <c r="J72" s="390"/>
      <c r="K72" s="391"/>
      <c r="L72" s="392"/>
      <c r="M72" s="166"/>
      <c r="N72" s="268"/>
      <c r="O72" s="205"/>
      <c r="Q72" s="157"/>
      <c r="R72" s="206"/>
      <c r="S72" s="151"/>
      <c r="T72" s="166"/>
      <c r="U72" s="207"/>
      <c r="V72" s="174"/>
      <c r="W72" s="69"/>
      <c r="X72" s="157"/>
      <c r="Y72" s="206"/>
      <c r="Z72" s="151"/>
      <c r="AA72" s="166"/>
      <c r="AB72" s="207"/>
      <c r="AC72" s="174"/>
      <c r="AD72" s="69"/>
      <c r="AE72" s="157"/>
      <c r="AF72" s="206"/>
      <c r="AG72" s="151"/>
      <c r="AH72" s="166"/>
      <c r="AI72" s="207"/>
      <c r="AJ72" s="174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</row>
    <row r="73" spans="1:49" x14ac:dyDescent="0.25">
      <c r="A73" s="159"/>
      <c r="B73" s="1"/>
      <c r="C73" s="1"/>
      <c r="D73" s="1"/>
      <c r="E73" s="1"/>
      <c r="F73" s="1"/>
      <c r="G73" s="1"/>
      <c r="H73" s="67"/>
      <c r="I73" s="1"/>
      <c r="J73" s="1"/>
      <c r="K73" s="1"/>
      <c r="L73" s="67"/>
      <c r="M73" s="1"/>
      <c r="N73" s="1"/>
      <c r="O73" s="1"/>
      <c r="Q73" s="2"/>
      <c r="R73" s="2"/>
      <c r="S73" s="208"/>
      <c r="T73" s="2"/>
      <c r="U73" s="2"/>
      <c r="V73" s="2"/>
      <c r="W73" s="69"/>
      <c r="X73" s="2"/>
      <c r="Y73" s="2"/>
      <c r="Z73" s="208"/>
      <c r="AA73" s="2"/>
      <c r="AB73" s="2"/>
      <c r="AC73" s="2"/>
      <c r="AD73" s="69"/>
      <c r="AE73" s="2"/>
      <c r="AF73" s="2"/>
      <c r="AG73" s="208"/>
      <c r="AH73" s="2"/>
      <c r="AI73" s="2"/>
      <c r="AJ73" s="2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</row>
    <row r="74" spans="1:49" x14ac:dyDescent="0.25">
      <c r="A74" s="159"/>
      <c r="B74" s="65" t="s">
        <v>10</v>
      </c>
      <c r="C74" s="1"/>
      <c r="D74" s="1"/>
      <c r="E74" s="1"/>
      <c r="F74" s="209">
        <f>Rates!$R$6-1</f>
        <v>2.3500000000000076E-2</v>
      </c>
      <c r="G74" s="1"/>
      <c r="H74" s="1"/>
      <c r="I74" s="1"/>
      <c r="J74" s="209">
        <f>Rates!$T$6-1</f>
        <v>2.0377803444586728E-2</v>
      </c>
      <c r="K74" s="1"/>
      <c r="L74" s="67"/>
      <c r="M74" s="1"/>
      <c r="N74" s="1"/>
      <c r="O74" s="1"/>
      <c r="Q74" s="210"/>
      <c r="R74" s="2"/>
      <c r="S74" s="2"/>
      <c r="T74" s="2"/>
      <c r="U74" s="2"/>
      <c r="V74" s="2"/>
      <c r="W74" s="69"/>
      <c r="X74" s="210"/>
      <c r="Y74" s="2"/>
      <c r="Z74" s="2"/>
      <c r="AA74" s="2"/>
      <c r="AB74" s="2"/>
      <c r="AC74" s="2"/>
      <c r="AD74" s="69"/>
      <c r="AE74" s="210"/>
      <c r="AF74" s="2"/>
      <c r="AG74" s="2"/>
      <c r="AH74" s="2"/>
      <c r="AI74" s="2"/>
      <c r="AJ74" s="2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</row>
    <row r="75" spans="1:49" x14ac:dyDescent="0.25">
      <c r="A75" s="15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49" x14ac:dyDescent="0.25">
      <c r="A79" s="1" t="s">
        <v>84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49" x14ac:dyDescent="0.25">
      <c r="A80" s="1" t="s">
        <v>85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25">
      <c r="A82" s="64" t="s">
        <v>86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5">
      <c r="A83" s="64" t="s">
        <v>87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25">
      <c r="A85" s="1" t="s">
        <v>88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25">
      <c r="A86" s="1" t="s">
        <v>89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25">
      <c r="A87" s="1" t="s">
        <v>90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25">
      <c r="A88" s="1" t="s">
        <v>91</v>
      </c>
      <c r="B88" s="1" t="s">
        <v>93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25">
      <c r="A89" s="1" t="s">
        <v>92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</sheetData>
  <mergeCells count="24">
    <mergeCell ref="AI20:AJ20"/>
    <mergeCell ref="A3:K3"/>
    <mergeCell ref="B10:O10"/>
    <mergeCell ref="B11:O11"/>
    <mergeCell ref="D14:O14"/>
    <mergeCell ref="F20:H20"/>
    <mergeCell ref="J20:L20"/>
    <mergeCell ref="N20:O20"/>
    <mergeCell ref="Q20:S20"/>
    <mergeCell ref="U20:V20"/>
    <mergeCell ref="X20:Z20"/>
    <mergeCell ref="AB20:AC20"/>
    <mergeCell ref="AE20:AG20"/>
    <mergeCell ref="AI21:AI22"/>
    <mergeCell ref="AJ21:AJ22"/>
    <mergeCell ref="B64:D64"/>
    <mergeCell ref="B70:D70"/>
    <mergeCell ref="B71:D71"/>
    <mergeCell ref="N21:N22"/>
    <mergeCell ref="O21:O22"/>
    <mergeCell ref="U21:U22"/>
    <mergeCell ref="V21:V22"/>
    <mergeCell ref="AB21:AB22"/>
    <mergeCell ref="AC21:AC22"/>
  </mergeCells>
  <dataValidations count="4">
    <dataValidation type="list" allowBlank="1" showInputMessage="1" showErrorMessage="1" sqref="E23:E35">
      <formula1>#REF!</formula1>
    </dataValidation>
    <dataValidation type="list" allowBlank="1" showInputMessage="1" showErrorMessage="1" sqref="E48:E49 E72 E65 E51:E61 E37:E46">
      <formula1>#REF!</formula1>
    </dataValidation>
    <dataValidation type="list" allowBlank="1" showInputMessage="1" showErrorMessage="1" prompt="Select Charge Unit - monthly, per kWh, per kW" sqref="D72 D61 D65">
      <formula1>"Monthly, per kWh, per kW"</formula1>
    </dataValidation>
    <dataValidation type="list" allowBlank="1" showInputMessage="1" showErrorMessage="1" sqref="D16">
      <formula1>"TOU, non-TOU"</formula1>
    </dataValidation>
  </dataValidations>
  <printOptions horizontalCentered="1"/>
  <pageMargins left="0.3" right="0.35" top="0.92" bottom="0.7" header="0.56999999999999995" footer="0.41"/>
  <pageSetup paperSize="3" scale="60" fitToHeight="0" orientation="landscape" r:id="rId1"/>
  <headerFooter>
    <oddFooter>&amp;C&amp;A</oddFooter>
  </headerFooter>
  <ignoredErrors>
    <ignoredError sqref="J23:J25 J51:J55 J48:J49 J38 J37 J39:J45 J57:J60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0051" r:id="rId4" name="Option Button 3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609600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2" r:id="rId5" name="Option Button 4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133350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3" r:id="rId6" name="Option Button 5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609600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4" r:id="rId7" name="Option Button 6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133350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5" r:id="rId8" name="Option Button 7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609600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6" r:id="rId9" name="Option Button 8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133350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7" r:id="rId10" name="Option Button 9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609600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8" r:id="rId11" name="Option Button 10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133350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9" r:id="rId12" name="Option Button 11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609600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60" r:id="rId13" name="Option Button 12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133350</xdr:colOff>
                    <xdr:row>90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A1:AW88"/>
  <sheetViews>
    <sheetView showGridLines="0" topLeftCell="A24" zoomScale="80" zoomScaleNormal="80" workbookViewId="0">
      <selection activeCell="J47" sqref="J47"/>
    </sheetView>
  </sheetViews>
  <sheetFormatPr defaultColWidth="9.140625" defaultRowHeight="15" x14ac:dyDescent="0.25"/>
  <cols>
    <col min="1" max="1" width="48.28515625" customWidth="1"/>
    <col min="2" max="2" width="122" customWidth="1"/>
    <col min="3" max="3" width="1.5703125" customWidth="1"/>
    <col min="4" max="4" width="12.42578125" customWidth="1"/>
    <col min="5" max="5" width="1.7109375" customWidth="1"/>
    <col min="6" max="6" width="12" customWidth="1"/>
    <col min="7" max="7" width="11.7109375" customWidth="1"/>
    <col min="8" max="8" width="16.42578125" customWidth="1"/>
    <col min="9" max="9" width="1.28515625" customWidth="1"/>
    <col min="10" max="10" width="12.28515625" customWidth="1"/>
    <col min="11" max="11" width="10.5703125" customWidth="1"/>
    <col min="12" max="12" width="16.28515625" customWidth="1"/>
    <col min="13" max="13" width="1.42578125" customWidth="1"/>
    <col min="14" max="14" width="14.7109375" customWidth="1"/>
    <col min="15" max="15" width="10.5703125" customWidth="1"/>
    <col min="16" max="16" width="1.42578125" customWidth="1"/>
    <col min="17" max="17" width="1.7109375" customWidth="1"/>
    <col min="18" max="18" width="9.42578125" customWidth="1"/>
    <col min="19" max="19" width="12.5703125" customWidth="1"/>
    <col min="20" max="20" width="1.28515625" customWidth="1"/>
    <col min="21" max="21" width="10.85546875" customWidth="1"/>
    <col min="22" max="22" width="10.140625" customWidth="1"/>
    <col min="23" max="23" width="1.28515625" customWidth="1"/>
    <col min="24" max="24" width="11" customWidth="1"/>
    <col min="25" max="25" width="9.5703125" customWidth="1"/>
    <col min="26" max="26" width="12.42578125" customWidth="1"/>
    <col min="27" max="27" width="1.28515625" customWidth="1"/>
    <col min="28" max="28" width="10" customWidth="1"/>
    <col min="30" max="30" width="0.85546875" customWidth="1"/>
    <col min="31" max="31" width="11.140625" customWidth="1"/>
    <col min="32" max="32" width="9.5703125" customWidth="1"/>
    <col min="33" max="33" width="12.42578125" customWidth="1"/>
    <col min="34" max="34" width="1.140625" customWidth="1"/>
    <col min="35" max="35" width="10.42578125" customWidth="1"/>
    <col min="37" max="37" width="0.85546875" customWidth="1"/>
  </cols>
  <sheetData>
    <row r="1" spans="1:21" ht="21.75" x14ac:dyDescent="0.25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0"/>
      <c r="M1" s="50"/>
      <c r="N1" s="52" t="s">
        <v>68</v>
      </c>
      <c r="O1" s="53">
        <v>0</v>
      </c>
      <c r="T1">
        <v>1</v>
      </c>
      <c r="U1">
        <v>2</v>
      </c>
    </row>
    <row r="2" spans="1:21" ht="18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0"/>
      <c r="M2" s="50"/>
      <c r="N2" s="52" t="s">
        <v>69</v>
      </c>
      <c r="O2" s="55"/>
    </row>
    <row r="3" spans="1:21" ht="18" x14ac:dyDescent="0.25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"/>
      <c r="M3" s="50"/>
      <c r="N3" s="52" t="s">
        <v>70</v>
      </c>
      <c r="O3" s="55"/>
    </row>
    <row r="4" spans="1:21" ht="18" x14ac:dyDescent="0.25">
      <c r="A4" s="54"/>
      <c r="B4" s="54"/>
      <c r="C4" s="54"/>
      <c r="D4" s="54"/>
      <c r="E4" s="54"/>
      <c r="F4" s="54"/>
      <c r="G4" s="54"/>
      <c r="H4" s="54"/>
      <c r="I4" s="56"/>
      <c r="J4" s="56"/>
      <c r="K4" s="56"/>
      <c r="L4" s="50"/>
      <c r="M4" s="50"/>
      <c r="N4" s="52" t="s">
        <v>71</v>
      </c>
      <c r="O4" s="55"/>
    </row>
    <row r="5" spans="1:21" ht="15.75" x14ac:dyDescent="0.25">
      <c r="A5" s="50"/>
      <c r="B5" s="50"/>
      <c r="C5" s="57"/>
      <c r="D5" s="57"/>
      <c r="E5" s="57"/>
      <c r="F5" s="50"/>
      <c r="G5" s="50"/>
      <c r="H5" s="50"/>
      <c r="I5" s="50"/>
      <c r="J5" s="50"/>
      <c r="K5" s="50"/>
      <c r="L5" s="50"/>
      <c r="M5" s="50"/>
      <c r="N5" s="52" t="s">
        <v>72</v>
      </c>
      <c r="O5" s="58"/>
    </row>
    <row r="6" spans="1:2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2"/>
      <c r="O6" s="53"/>
    </row>
    <row r="7" spans="1:2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2" t="s">
        <v>73</v>
      </c>
      <c r="O7" s="58"/>
    </row>
    <row r="8" spans="1:21" x14ac:dyDescent="0.25">
      <c r="A8" s="5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1" ht="18" x14ac:dyDescent="0.25">
      <c r="A10" s="1"/>
      <c r="B10" s="508" t="s">
        <v>74</v>
      </c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508"/>
      <c r="N10" s="508"/>
      <c r="O10" s="508"/>
    </row>
    <row r="11" spans="1:21" ht="18" x14ac:dyDescent="0.25">
      <c r="A11" s="1"/>
      <c r="B11" s="508" t="s">
        <v>75</v>
      </c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1" ht="15.75" x14ac:dyDescent="0.25">
      <c r="A14" s="1"/>
      <c r="B14" s="60" t="s">
        <v>0</v>
      </c>
      <c r="C14" s="1"/>
      <c r="D14" s="509" t="s">
        <v>121</v>
      </c>
      <c r="E14" s="509"/>
      <c r="F14" s="509"/>
      <c r="G14" s="509"/>
      <c r="H14" s="509"/>
      <c r="I14" s="509"/>
      <c r="J14" s="509"/>
      <c r="K14" s="509"/>
      <c r="L14" s="509"/>
      <c r="M14" s="509"/>
      <c r="N14" s="509"/>
      <c r="O14" s="509"/>
    </row>
    <row r="15" spans="1:21" ht="15.75" x14ac:dyDescent="0.25">
      <c r="A15" s="1"/>
      <c r="B15" s="61"/>
      <c r="C15" s="1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pans="1:21" ht="15.75" x14ac:dyDescent="0.25">
      <c r="A16" s="1"/>
      <c r="B16" s="60" t="s">
        <v>76</v>
      </c>
      <c r="C16" s="1"/>
      <c r="D16" s="63" t="s">
        <v>94</v>
      </c>
      <c r="E16" s="62"/>
      <c r="F16" s="228" t="s">
        <v>95</v>
      </c>
      <c r="G16" s="62"/>
      <c r="H16" s="62"/>
      <c r="I16" s="62"/>
      <c r="J16" s="62"/>
      <c r="K16" s="62"/>
      <c r="L16" s="62"/>
      <c r="M16" s="62"/>
      <c r="N16" s="62"/>
      <c r="O16" s="62"/>
    </row>
    <row r="17" spans="1:49" ht="15.75" x14ac:dyDescent="0.25">
      <c r="A17" s="1"/>
      <c r="B17" s="61"/>
      <c r="C17" s="1"/>
      <c r="D17" s="62"/>
      <c r="E17" s="62"/>
      <c r="F17" s="229">
        <f>ROUND(+F18*0.9,0)</f>
        <v>27</v>
      </c>
      <c r="G17" s="230" t="s">
        <v>96</v>
      </c>
      <c r="H17" s="231"/>
      <c r="I17" s="62"/>
      <c r="J17" s="62"/>
      <c r="K17" s="62"/>
      <c r="L17" s="62"/>
      <c r="M17" s="62"/>
      <c r="N17" s="62"/>
      <c r="O17" s="62"/>
    </row>
    <row r="18" spans="1:49" x14ac:dyDescent="0.25">
      <c r="A18" s="1"/>
      <c r="B18" s="64"/>
      <c r="C18" s="1"/>
      <c r="D18" s="65"/>
      <c r="E18" s="65"/>
      <c r="F18" s="229">
        <v>30</v>
      </c>
      <c r="G18" s="65" t="s">
        <v>113</v>
      </c>
      <c r="H18" s="1"/>
      <c r="I18" s="1"/>
      <c r="J18" s="1"/>
      <c r="K18" s="1"/>
      <c r="L18" s="1"/>
      <c r="M18" s="1"/>
      <c r="N18" s="1"/>
      <c r="O18" s="1"/>
    </row>
    <row r="19" spans="1:49" x14ac:dyDescent="0.25">
      <c r="A19" s="1"/>
      <c r="B19" s="64"/>
      <c r="C19" s="1"/>
      <c r="D19" s="65" t="s">
        <v>1</v>
      </c>
      <c r="E19" s="1"/>
      <c r="F19" s="232">
        <v>50000</v>
      </c>
      <c r="G19" s="230" t="s">
        <v>78</v>
      </c>
      <c r="H19" s="67"/>
      <c r="I19" s="1"/>
      <c r="J19" s="67"/>
      <c r="K19" s="233"/>
      <c r="L19" s="67"/>
      <c r="M19" s="1"/>
      <c r="N19" s="233"/>
      <c r="O19" s="1"/>
      <c r="S19" s="234"/>
    </row>
    <row r="20" spans="1:49" x14ac:dyDescent="0.25">
      <c r="A20" s="1"/>
      <c r="B20" s="64"/>
      <c r="C20" s="1"/>
      <c r="D20" s="68"/>
      <c r="E20" s="68"/>
      <c r="F20" s="510" t="s">
        <v>105</v>
      </c>
      <c r="G20" s="511"/>
      <c r="H20" s="512"/>
      <c r="I20" s="2"/>
      <c r="J20" s="510" t="s">
        <v>104</v>
      </c>
      <c r="K20" s="511"/>
      <c r="L20" s="512"/>
      <c r="M20" s="2"/>
      <c r="N20" s="510" t="s">
        <v>61</v>
      </c>
      <c r="O20" s="512"/>
      <c r="Q20" s="506"/>
      <c r="R20" s="506"/>
      <c r="S20" s="506"/>
      <c r="T20" s="2"/>
      <c r="U20" s="506"/>
      <c r="V20" s="506"/>
      <c r="W20" s="69"/>
      <c r="X20" s="506"/>
      <c r="Y20" s="506"/>
      <c r="Z20" s="506"/>
      <c r="AA20" s="2"/>
      <c r="AB20" s="506"/>
      <c r="AC20" s="506"/>
      <c r="AD20" s="69"/>
      <c r="AE20" s="506"/>
      <c r="AF20" s="506"/>
      <c r="AG20" s="506"/>
      <c r="AH20" s="2"/>
      <c r="AI20" s="506"/>
      <c r="AJ20" s="506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</row>
    <row r="21" spans="1:49" ht="15" customHeight="1" x14ac:dyDescent="0.25">
      <c r="A21" s="1"/>
      <c r="B21" s="64"/>
      <c r="C21" s="1"/>
      <c r="D21" s="1"/>
      <c r="E21" s="70"/>
      <c r="F21" s="71" t="s">
        <v>2</v>
      </c>
      <c r="G21" s="71" t="s">
        <v>3</v>
      </c>
      <c r="H21" s="72" t="s">
        <v>4</v>
      </c>
      <c r="I21" s="2"/>
      <c r="J21" s="71" t="s">
        <v>2</v>
      </c>
      <c r="K21" s="73" t="s">
        <v>3</v>
      </c>
      <c r="L21" s="72" t="s">
        <v>4</v>
      </c>
      <c r="M21" s="2"/>
      <c r="N21" s="502" t="s">
        <v>62</v>
      </c>
      <c r="O21" s="504" t="s">
        <v>63</v>
      </c>
      <c r="Q21" s="270"/>
      <c r="R21" s="270"/>
      <c r="S21" s="270"/>
      <c r="T21" s="2"/>
      <c r="U21" s="501"/>
      <c r="V21" s="501"/>
      <c r="W21" s="69"/>
      <c r="X21" s="270"/>
      <c r="Y21" s="270"/>
      <c r="Z21" s="270"/>
      <c r="AA21" s="2"/>
      <c r="AB21" s="501"/>
      <c r="AC21" s="501"/>
      <c r="AD21" s="69"/>
      <c r="AE21" s="270"/>
      <c r="AF21" s="270"/>
      <c r="AG21" s="270"/>
      <c r="AH21" s="2"/>
      <c r="AI21" s="501"/>
      <c r="AJ21" s="501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</row>
    <row r="22" spans="1:49" x14ac:dyDescent="0.25">
      <c r="A22" s="1"/>
      <c r="B22" s="64"/>
      <c r="C22" s="1"/>
      <c r="D22" s="1"/>
      <c r="E22" s="70"/>
      <c r="F22" s="75" t="s">
        <v>79</v>
      </c>
      <c r="G22" s="75"/>
      <c r="H22" s="76" t="s">
        <v>79</v>
      </c>
      <c r="I22" s="2"/>
      <c r="J22" s="75" t="s">
        <v>79</v>
      </c>
      <c r="K22" s="76"/>
      <c r="L22" s="76" t="s">
        <v>79</v>
      </c>
      <c r="M22" s="2"/>
      <c r="N22" s="503"/>
      <c r="O22" s="505"/>
      <c r="Q22" s="77"/>
      <c r="R22" s="77"/>
      <c r="S22" s="77"/>
      <c r="T22" s="2"/>
      <c r="U22" s="514"/>
      <c r="V22" s="514"/>
      <c r="W22" s="69"/>
      <c r="X22" s="77"/>
      <c r="Y22" s="77"/>
      <c r="Z22" s="77"/>
      <c r="AA22" s="2"/>
      <c r="AB22" s="514"/>
      <c r="AC22" s="514"/>
      <c r="AD22" s="69"/>
      <c r="AE22" s="77"/>
      <c r="AF22" s="77"/>
      <c r="AG22" s="77"/>
      <c r="AH22" s="2"/>
      <c r="AI22" s="514"/>
      <c r="AJ22" s="514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</row>
    <row r="23" spans="1:49" x14ac:dyDescent="0.25">
      <c r="A23" s="7" t="s">
        <v>15</v>
      </c>
      <c r="B23" s="271" t="str">
        <f>IF(Rates!D13=$A$23,Rates!B13," ")</f>
        <v>Service Charge</v>
      </c>
      <c r="C23" s="78"/>
      <c r="D23" s="271" t="str">
        <f>IF(Rates!D13=$A$23,Rates!E13," ")</f>
        <v>customer</v>
      </c>
      <c r="E23" s="79"/>
      <c r="F23" s="80">
        <f>IF(Rates!$J$1="BRT 2018",Rates!J13," ")</f>
        <v>96.98</v>
      </c>
      <c r="G23" s="108">
        <f>IF(D23="customer",1,IF(D23="kWh",$F$19,$F$17))</f>
        <v>1</v>
      </c>
      <c r="H23" s="82">
        <f t="shared" ref="H23:H35" si="0">G23*F23</f>
        <v>96.98</v>
      </c>
      <c r="I23" s="87"/>
      <c r="J23" s="337">
        <f>IF(Rates!$L$1="E+ 2019",Rates!L13," ")</f>
        <v>0</v>
      </c>
      <c r="K23" s="108">
        <f>IF(D23="customer",1,IF(D23="kWh",$F$19,$F$17))</f>
        <v>1</v>
      </c>
      <c r="L23" s="82">
        <f t="shared" ref="L23:L43" si="1">K23*J23</f>
        <v>0</v>
      </c>
      <c r="M23" s="87"/>
      <c r="N23" s="84">
        <f t="shared" ref="N23:N59" si="2">L23-H23</f>
        <v>-96.98</v>
      </c>
      <c r="O23" s="85" t="str">
        <f>IF(OR(H23=0,L23=0),"",(N23/H23))</f>
        <v/>
      </c>
      <c r="Q23" s="86"/>
      <c r="R23" s="87"/>
      <c r="S23" s="88"/>
      <c r="T23" s="87"/>
      <c r="U23" s="89"/>
      <c r="V23" s="90"/>
      <c r="W23" s="69"/>
      <c r="X23" s="86"/>
      <c r="Y23" s="87"/>
      <c r="Z23" s="88"/>
      <c r="AA23" s="87"/>
      <c r="AB23" s="89"/>
      <c r="AC23" s="90"/>
      <c r="AD23" s="69"/>
      <c r="AE23" s="86"/>
      <c r="AF23" s="87"/>
      <c r="AG23" s="88"/>
      <c r="AH23" s="87"/>
      <c r="AI23" s="89"/>
      <c r="AJ23" s="90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</row>
    <row r="24" spans="1:49" x14ac:dyDescent="0.25">
      <c r="A24" s="1"/>
      <c r="B24" s="271" t="str">
        <f>IF(Rates!D14=$A$23,Rates!B14," ")</f>
        <v>Rate Rider ACM</v>
      </c>
      <c r="C24" s="78"/>
      <c r="D24" s="271" t="str">
        <f>IF(Rates!D14=$A$23,Rates!E14," ")</f>
        <v>customer</v>
      </c>
      <c r="E24" s="79"/>
      <c r="F24" s="80">
        <f>IF(Rates!$J$1="BRT 2018",Rates!J14," ")</f>
        <v>0</v>
      </c>
      <c r="G24" s="108">
        <f t="shared" ref="G24:G33" si="3">IF(D24="customer",1,IF(D24="kWh",$F$19,$F$17))</f>
        <v>1</v>
      </c>
      <c r="H24" s="82">
        <f t="shared" si="0"/>
        <v>0</v>
      </c>
      <c r="I24" s="87"/>
      <c r="J24" s="337">
        <f>IF(Rates!$L$1="E+ 2019",Rates!L14," ")</f>
        <v>0</v>
      </c>
      <c r="K24" s="108">
        <f t="shared" ref="K24:K33" si="4">IF(D24="customer",1,IF(D24="kWh",$F$19,$F$17))</f>
        <v>1</v>
      </c>
      <c r="L24" s="82">
        <f t="shared" si="1"/>
        <v>0</v>
      </c>
      <c r="M24" s="87"/>
      <c r="N24" s="84">
        <f t="shared" si="2"/>
        <v>0</v>
      </c>
      <c r="O24" s="85" t="str">
        <f t="shared" ref="O24:O35" si="5">IF(OR(H24=0,L24=0),"",(N24/H24))</f>
        <v/>
      </c>
      <c r="Q24" s="86"/>
      <c r="R24" s="87"/>
      <c r="S24" s="88"/>
      <c r="T24" s="87"/>
      <c r="U24" s="89"/>
      <c r="V24" s="90"/>
      <c r="W24" s="69"/>
      <c r="X24" s="86"/>
      <c r="Y24" s="87"/>
      <c r="Z24" s="88"/>
      <c r="AA24" s="87"/>
      <c r="AB24" s="89"/>
      <c r="AC24" s="90"/>
      <c r="AD24" s="69"/>
      <c r="AE24" s="86"/>
      <c r="AF24" s="87"/>
      <c r="AG24" s="88"/>
      <c r="AH24" s="87"/>
      <c r="AI24" s="89"/>
      <c r="AJ24" s="90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</row>
    <row r="25" spans="1:49" s="94" customFormat="1" x14ac:dyDescent="0.25">
      <c r="A25" s="3"/>
      <c r="B25" s="271" t="str">
        <f>IF(Rates!D15=$A$23,Rates!B15," ")</f>
        <v>Distribution Volumetric Rate</v>
      </c>
      <c r="C25" s="78"/>
      <c r="D25" s="271" t="str">
        <f>IF(Rates!D15=$A$23,Rates!E15," ")</f>
        <v>kW</v>
      </c>
      <c r="E25" s="79"/>
      <c r="F25" s="235">
        <f>IF(Rates!$J$1="BRT 2018",Rates!J15," ")</f>
        <v>3.9297</v>
      </c>
      <c r="G25" s="108">
        <f t="shared" si="3"/>
        <v>27</v>
      </c>
      <c r="H25" s="82">
        <f t="shared" si="0"/>
        <v>106.1019</v>
      </c>
      <c r="I25" s="87"/>
      <c r="J25" s="337">
        <f>IF(Rates!$L$1="E+ 2019",Rates!L15," ")</f>
        <v>13.945499999999999</v>
      </c>
      <c r="K25" s="108">
        <f t="shared" si="4"/>
        <v>27</v>
      </c>
      <c r="L25" s="82">
        <f t="shared" si="1"/>
        <v>376.52849999999995</v>
      </c>
      <c r="M25" s="87"/>
      <c r="N25" s="84">
        <f t="shared" si="2"/>
        <v>270.42659999999995</v>
      </c>
      <c r="O25" s="85">
        <f t="shared" si="5"/>
        <v>2.5487441789449572</v>
      </c>
      <c r="Q25" s="95"/>
      <c r="R25" s="87"/>
      <c r="S25" s="88"/>
      <c r="T25" s="87"/>
      <c r="U25" s="89"/>
      <c r="V25" s="90"/>
      <c r="W25" s="69"/>
      <c r="X25" s="95"/>
      <c r="Y25" s="87"/>
      <c r="Z25" s="88"/>
      <c r="AA25" s="87"/>
      <c r="AB25" s="89"/>
      <c r="AC25" s="90"/>
      <c r="AD25" s="69"/>
      <c r="AE25" s="95"/>
      <c r="AF25" s="87"/>
      <c r="AG25" s="88"/>
      <c r="AH25" s="87"/>
      <c r="AI25" s="89"/>
      <c r="AJ25" s="90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</row>
    <row r="26" spans="1:49" s="94" customFormat="1" x14ac:dyDescent="0.25">
      <c r="A26" s="3"/>
      <c r="B26" s="271" t="str">
        <f>IF(Rates!D16=$A$23,Rates!B16," ")</f>
        <v>Rate Rider ACM</v>
      </c>
      <c r="C26" s="78"/>
      <c r="D26" s="271" t="str">
        <f>IF(Rates!D16=$A$23,Rates!E16," ")</f>
        <v>kW</v>
      </c>
      <c r="E26" s="79"/>
      <c r="F26" s="80">
        <f>IF(Rates!$J$1="BRT 2018",Rates!J16," ")</f>
        <v>0</v>
      </c>
      <c r="G26" s="108">
        <f t="shared" si="3"/>
        <v>27</v>
      </c>
      <c r="H26" s="82">
        <f t="shared" si="0"/>
        <v>0</v>
      </c>
      <c r="I26" s="87"/>
      <c r="J26" s="337">
        <f>IF(Rates!$L$1="E+ 2019",Rates!L16," ")</f>
        <v>0</v>
      </c>
      <c r="K26" s="108">
        <f t="shared" si="4"/>
        <v>27</v>
      </c>
      <c r="L26" s="82">
        <f t="shared" si="1"/>
        <v>0</v>
      </c>
      <c r="M26" s="87"/>
      <c r="N26" s="84">
        <f t="shared" si="2"/>
        <v>0</v>
      </c>
      <c r="O26" s="85" t="str">
        <f t="shared" si="5"/>
        <v/>
      </c>
      <c r="Q26" s="95"/>
      <c r="R26" s="87"/>
      <c r="S26" s="88"/>
      <c r="T26" s="87"/>
      <c r="U26" s="89"/>
      <c r="V26" s="90"/>
      <c r="W26" s="69"/>
      <c r="X26" s="95"/>
      <c r="Y26" s="87"/>
      <c r="Z26" s="88"/>
      <c r="AA26" s="87"/>
      <c r="AB26" s="89"/>
      <c r="AC26" s="90"/>
      <c r="AD26" s="69"/>
      <c r="AE26" s="95"/>
      <c r="AF26" s="87"/>
      <c r="AG26" s="88"/>
      <c r="AH26" s="87"/>
      <c r="AI26" s="89"/>
      <c r="AJ26" s="90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</row>
    <row r="27" spans="1:49" x14ac:dyDescent="0.25">
      <c r="A27" s="3"/>
      <c r="B27" s="271" t="str">
        <f>IF(Rates!D17=$A$23,Rates!B17," ")</f>
        <v>Rate Rider for Disposition of Account 1575 and 1576</v>
      </c>
      <c r="C27" s="78"/>
      <c r="D27" s="271" t="str">
        <f>IF(Rates!D17=$A$23,Rates!E17," ")</f>
        <v>customer</v>
      </c>
      <c r="E27" s="79"/>
      <c r="F27" s="80">
        <f>IF(Rates!$J$1="BRT 2018",Rates!J17," ")</f>
        <v>0</v>
      </c>
      <c r="G27" s="108">
        <f t="shared" si="3"/>
        <v>1</v>
      </c>
      <c r="H27" s="82">
        <f t="shared" si="0"/>
        <v>0</v>
      </c>
      <c r="I27" s="87"/>
      <c r="J27" s="337">
        <f>IF(Rates!$L$1="E+ 2019",Rates!L17," ")</f>
        <v>0</v>
      </c>
      <c r="K27" s="108">
        <f t="shared" si="4"/>
        <v>1</v>
      </c>
      <c r="L27" s="82">
        <f t="shared" si="1"/>
        <v>0</v>
      </c>
      <c r="M27" s="87"/>
      <c r="N27" s="84">
        <f t="shared" si="2"/>
        <v>0</v>
      </c>
      <c r="O27" s="85" t="str">
        <f t="shared" si="5"/>
        <v/>
      </c>
      <c r="Q27" s="86"/>
      <c r="R27" s="87"/>
      <c r="S27" s="88"/>
      <c r="T27" s="87"/>
      <c r="U27" s="89"/>
      <c r="V27" s="90"/>
      <c r="W27" s="69"/>
      <c r="X27" s="86"/>
      <c r="Y27" s="87"/>
      <c r="Z27" s="88"/>
      <c r="AA27" s="87"/>
      <c r="AB27" s="89"/>
      <c r="AC27" s="90"/>
      <c r="AD27" s="69"/>
      <c r="AE27" s="86"/>
      <c r="AF27" s="87"/>
      <c r="AG27" s="88"/>
      <c r="AH27" s="87"/>
      <c r="AI27" s="89"/>
      <c r="AJ27" s="90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</row>
    <row r="28" spans="1:49" x14ac:dyDescent="0.25">
      <c r="A28" s="3"/>
      <c r="B28" s="271" t="str">
        <f>IF(Rates!D18=$A$23,Rates!B18," ")</f>
        <v>Rate Rider for Disposition of Account 1575 and 1576</v>
      </c>
      <c r="C28" s="78"/>
      <c r="D28" s="271" t="str">
        <f>IF(Rates!D18=$A$23,Rates!E18," ")</f>
        <v>kW</v>
      </c>
      <c r="E28" s="79"/>
      <c r="F28" s="80">
        <f>IF(Rates!$J$1="BRT 2018",Rates!J18," ")</f>
        <v>0</v>
      </c>
      <c r="G28" s="108">
        <f t="shared" si="3"/>
        <v>27</v>
      </c>
      <c r="H28" s="82">
        <f t="shared" si="0"/>
        <v>0</v>
      </c>
      <c r="I28" s="87"/>
      <c r="J28" s="337">
        <f>IF(Rates!$L$1="E+ 2019",Rates!L18," ")</f>
        <v>-0.10393267269968255</v>
      </c>
      <c r="K28" s="108">
        <f t="shared" si="4"/>
        <v>27</v>
      </c>
      <c r="L28" s="82">
        <f t="shared" si="1"/>
        <v>-2.806182162891429</v>
      </c>
      <c r="M28" s="87"/>
      <c r="N28" s="84">
        <f t="shared" si="2"/>
        <v>-2.806182162891429</v>
      </c>
      <c r="O28" s="85" t="str">
        <f t="shared" si="5"/>
        <v/>
      </c>
      <c r="Q28" s="119"/>
      <c r="R28" s="87"/>
      <c r="S28" s="88"/>
      <c r="T28" s="87"/>
      <c r="U28" s="89"/>
      <c r="V28" s="90"/>
      <c r="W28" s="69"/>
      <c r="X28" s="119"/>
      <c r="Y28" s="87"/>
      <c r="Z28" s="88"/>
      <c r="AA28" s="87"/>
      <c r="AB28" s="89"/>
      <c r="AC28" s="90"/>
      <c r="AD28" s="69"/>
      <c r="AE28" s="119"/>
      <c r="AF28" s="87"/>
      <c r="AG28" s="88"/>
      <c r="AH28" s="87"/>
      <c r="AI28" s="89"/>
      <c r="AJ28" s="90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</row>
    <row r="29" spans="1:49" x14ac:dyDescent="0.25">
      <c r="A29" s="3"/>
      <c r="B29" s="271" t="str">
        <f>IF(Rates!D19=$A$23,Rates!B19," ")</f>
        <v>Rate Rider for Disposition of Account 1575 and 1576</v>
      </c>
      <c r="C29" s="78"/>
      <c r="D29" s="271" t="str">
        <f>IF(Rates!D19=$A$23,Rates!E19," ")</f>
        <v>customer</v>
      </c>
      <c r="E29" s="79"/>
      <c r="F29" s="80">
        <f>IF(Rates!$J$1="BRT 2018",Rates!J19," ")</f>
        <v>0</v>
      </c>
      <c r="G29" s="108">
        <f t="shared" si="3"/>
        <v>1</v>
      </c>
      <c r="H29" s="82">
        <f t="shared" si="0"/>
        <v>0</v>
      </c>
      <c r="I29" s="87"/>
      <c r="J29" s="337">
        <f>IF(Rates!$L$1="E+ 2019",Rates!L19," ")</f>
        <v>0</v>
      </c>
      <c r="K29" s="108">
        <f t="shared" si="4"/>
        <v>1</v>
      </c>
      <c r="L29" s="82">
        <f t="shared" si="1"/>
        <v>0</v>
      </c>
      <c r="M29" s="87"/>
      <c r="N29" s="84">
        <f t="shared" si="2"/>
        <v>0</v>
      </c>
      <c r="O29" s="85" t="str">
        <f t="shared" si="5"/>
        <v/>
      </c>
      <c r="Q29" s="119"/>
      <c r="R29" s="87"/>
      <c r="S29" s="88"/>
      <c r="T29" s="87"/>
      <c r="U29" s="89"/>
      <c r="V29" s="90"/>
      <c r="W29" s="69"/>
      <c r="X29" s="119"/>
      <c r="Y29" s="87"/>
      <c r="Z29" s="88"/>
      <c r="AA29" s="87"/>
      <c r="AB29" s="89"/>
      <c r="AC29" s="90"/>
      <c r="AD29" s="69"/>
      <c r="AE29" s="119"/>
      <c r="AF29" s="87"/>
      <c r="AG29" s="88"/>
      <c r="AH29" s="87"/>
      <c r="AI29" s="89"/>
      <c r="AJ29" s="90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</row>
    <row r="30" spans="1:49" s="94" customFormat="1" x14ac:dyDescent="0.25">
      <c r="A30" s="99"/>
      <c r="B30" s="271" t="str">
        <f>IF(Rates!D20=$A$23,Rates!B20," ")</f>
        <v>Rate Rider for Disposition of Account 1575 and 1576</v>
      </c>
      <c r="C30" s="78"/>
      <c r="D30" s="271" t="str">
        <f>IF(Rates!D20=$A$23,Rates!E20," ")</f>
        <v>kW</v>
      </c>
      <c r="E30" s="79"/>
      <c r="F30" s="80">
        <f>IF(Rates!$J$1="BRT 2018",Rates!J20," ")</f>
        <v>0</v>
      </c>
      <c r="G30" s="108">
        <f t="shared" si="3"/>
        <v>27</v>
      </c>
      <c r="H30" s="82">
        <f t="shared" si="0"/>
        <v>0</v>
      </c>
      <c r="I30" s="87"/>
      <c r="J30" s="337">
        <f>IF(Rates!$L$1="E+ 2019",Rates!L20," ")</f>
        <v>0</v>
      </c>
      <c r="K30" s="108">
        <f t="shared" si="4"/>
        <v>27</v>
      </c>
      <c r="L30" s="82">
        <f t="shared" si="1"/>
        <v>0</v>
      </c>
      <c r="M30" s="87"/>
      <c r="N30" s="84">
        <f t="shared" si="2"/>
        <v>0</v>
      </c>
      <c r="O30" s="85" t="str">
        <f t="shared" si="5"/>
        <v/>
      </c>
      <c r="Q30" s="119"/>
      <c r="R30" s="87"/>
      <c r="S30" s="88"/>
      <c r="T30" s="87"/>
      <c r="U30" s="89"/>
      <c r="V30" s="90"/>
      <c r="W30" s="69"/>
      <c r="X30" s="119"/>
      <c r="Y30" s="87"/>
      <c r="Z30" s="88"/>
      <c r="AA30" s="87"/>
      <c r="AB30" s="89"/>
      <c r="AC30" s="90"/>
      <c r="AD30" s="69"/>
      <c r="AE30" s="119"/>
      <c r="AF30" s="87"/>
      <c r="AG30" s="88"/>
      <c r="AH30" s="87"/>
      <c r="AI30" s="89"/>
      <c r="AJ30" s="90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</row>
    <row r="31" spans="1:49" s="94" customFormat="1" x14ac:dyDescent="0.25">
      <c r="A31" s="3"/>
      <c r="B31" s="271" t="str">
        <f>IF(Rates!D21=$A$23,Rates!B21," ")</f>
        <v>Rate Rider for LRAMVA</v>
      </c>
      <c r="C31" s="78"/>
      <c r="D31" s="271" t="str">
        <f>IF(Rates!D21=$A$23,Rates!E21," ")</f>
        <v>kW</v>
      </c>
      <c r="E31" s="79"/>
      <c r="F31" s="80">
        <f>IF(Rates!$J$1="BRT 2018",Rates!J21," ")</f>
        <v>0</v>
      </c>
      <c r="G31" s="108">
        <f t="shared" si="3"/>
        <v>27</v>
      </c>
      <c r="H31" s="82">
        <f t="shared" si="0"/>
        <v>0</v>
      </c>
      <c r="I31" s="87"/>
      <c r="J31" s="337">
        <f>IF(Rates!$L$1="E+ 2019",Rates!L21," ")</f>
        <v>0</v>
      </c>
      <c r="K31" s="108">
        <f t="shared" si="4"/>
        <v>27</v>
      </c>
      <c r="L31" s="82">
        <f t="shared" si="1"/>
        <v>0</v>
      </c>
      <c r="M31" s="87"/>
      <c r="N31" s="84">
        <f t="shared" si="2"/>
        <v>0</v>
      </c>
      <c r="O31" s="85" t="str">
        <f t="shared" si="5"/>
        <v/>
      </c>
      <c r="Q31" s="119"/>
      <c r="R31" s="87"/>
      <c r="S31" s="88"/>
      <c r="T31" s="87"/>
      <c r="U31" s="89"/>
      <c r="V31" s="90"/>
      <c r="W31" s="69"/>
      <c r="X31" s="119"/>
      <c r="Y31" s="87"/>
      <c r="Z31" s="88"/>
      <c r="AA31" s="87"/>
      <c r="AB31" s="89"/>
      <c r="AC31" s="90"/>
      <c r="AD31" s="69"/>
      <c r="AE31" s="119"/>
      <c r="AF31" s="87"/>
      <c r="AG31" s="88"/>
      <c r="AH31" s="87"/>
      <c r="AI31" s="89"/>
      <c r="AJ31" s="90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</row>
    <row r="32" spans="1:49" x14ac:dyDescent="0.25">
      <c r="A32" s="3"/>
      <c r="B32" s="271" t="str">
        <f>IF(Rates!D22=$A$23,Rates!B22," ")</f>
        <v>Other Fixed</v>
      </c>
      <c r="C32" s="78"/>
      <c r="D32" s="271" t="str">
        <f>IF(Rates!D22=$A$23,Rates!E22," ")</f>
        <v>customer</v>
      </c>
      <c r="E32" s="79"/>
      <c r="F32" s="80">
        <f>IF(Rates!$J$1="BRT 2018",Rates!J22," ")</f>
        <v>0</v>
      </c>
      <c r="G32" s="108">
        <f t="shared" si="3"/>
        <v>1</v>
      </c>
      <c r="H32" s="82">
        <f t="shared" si="0"/>
        <v>0</v>
      </c>
      <c r="I32" s="87"/>
      <c r="J32" s="337">
        <f>IF(Rates!$L$1="E+ 2019",Rates!L22," ")</f>
        <v>0</v>
      </c>
      <c r="K32" s="108">
        <f t="shared" si="4"/>
        <v>1</v>
      </c>
      <c r="L32" s="82">
        <f t="shared" si="1"/>
        <v>0</v>
      </c>
      <c r="M32" s="87"/>
      <c r="N32" s="84">
        <f t="shared" si="2"/>
        <v>0</v>
      </c>
      <c r="O32" s="85" t="str">
        <f t="shared" si="5"/>
        <v/>
      </c>
      <c r="Q32" s="98"/>
      <c r="R32" s="87"/>
      <c r="S32" s="88"/>
      <c r="T32" s="87"/>
      <c r="U32" s="89"/>
      <c r="V32" s="90"/>
      <c r="W32" s="69"/>
      <c r="X32" s="98"/>
      <c r="Y32" s="87"/>
      <c r="Z32" s="88"/>
      <c r="AA32" s="87"/>
      <c r="AB32" s="89"/>
      <c r="AC32" s="90"/>
      <c r="AD32" s="69"/>
      <c r="AE32" s="98"/>
      <c r="AF32" s="87"/>
      <c r="AG32" s="88"/>
      <c r="AH32" s="87"/>
      <c r="AI32" s="89"/>
      <c r="AJ32" s="90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</row>
    <row r="33" spans="1:49" x14ac:dyDescent="0.25">
      <c r="A33" s="3"/>
      <c r="B33" s="271" t="str">
        <f>IF(Rates!D23=$A$23,Rates!B23," ")</f>
        <v>Other Volumetric</v>
      </c>
      <c r="C33" s="78"/>
      <c r="D33" s="271" t="str">
        <f>IF(Rates!D23=$A$23,Rates!E23," ")</f>
        <v>kW</v>
      </c>
      <c r="E33" s="79"/>
      <c r="F33" s="80">
        <f>IF(Rates!$J$1="BRT 2018",Rates!J23," ")</f>
        <v>0</v>
      </c>
      <c r="G33" s="108">
        <f t="shared" si="3"/>
        <v>27</v>
      </c>
      <c r="H33" s="82">
        <f t="shared" si="0"/>
        <v>0</v>
      </c>
      <c r="I33" s="87"/>
      <c r="J33" s="337">
        <f>IF(Rates!$L$1="E+ 2019",Rates!L23," ")</f>
        <v>0</v>
      </c>
      <c r="K33" s="108">
        <f t="shared" si="4"/>
        <v>27</v>
      </c>
      <c r="L33" s="82">
        <f t="shared" si="1"/>
        <v>0</v>
      </c>
      <c r="M33" s="87"/>
      <c r="N33" s="84">
        <f t="shared" si="2"/>
        <v>0</v>
      </c>
      <c r="O33" s="85" t="str">
        <f t="shared" si="5"/>
        <v/>
      </c>
      <c r="Q33" s="98"/>
      <c r="R33" s="87"/>
      <c r="S33" s="88"/>
      <c r="T33" s="87"/>
      <c r="U33" s="89"/>
      <c r="V33" s="90"/>
      <c r="W33" s="69"/>
      <c r="X33" s="98"/>
      <c r="Y33" s="87"/>
      <c r="Z33" s="88"/>
      <c r="AA33" s="87"/>
      <c r="AB33" s="89"/>
      <c r="AC33" s="90"/>
      <c r="AD33" s="69"/>
      <c r="AE33" s="98"/>
      <c r="AF33" s="87"/>
      <c r="AG33" s="88"/>
      <c r="AH33" s="87"/>
      <c r="AI33" s="89"/>
      <c r="AJ33" s="90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</row>
    <row r="34" spans="1:49" x14ac:dyDescent="0.25">
      <c r="A34" s="3"/>
      <c r="B34" s="271" t="str">
        <f>IF(Rates!D24=$A$23,Rates!B24," ")</f>
        <v>Rate Rider for gain on Sale of Property</v>
      </c>
      <c r="C34" s="78"/>
      <c r="D34" s="271" t="str">
        <f>IF(Rates!D24=$A$23,Rates!E24," ")</f>
        <v>kW</v>
      </c>
      <c r="E34" s="79"/>
      <c r="F34" s="80">
        <f>IF(Rates!$J$1="BRT 2018",Rates!J24," ")</f>
        <v>0</v>
      </c>
      <c r="G34" s="108">
        <f t="shared" ref="G34" si="6">IF(D34="customer",1,IF(D34="kWh",$F$19,$F$17))</f>
        <v>27</v>
      </c>
      <c r="H34" s="82">
        <f t="shared" ref="H34" si="7">G34*F34</f>
        <v>0</v>
      </c>
      <c r="I34" s="87"/>
      <c r="J34" s="337">
        <f>IF(Rates!$L$1="E+ 2019",Rates!L24," ")</f>
        <v>-7.9777821392552434E-2</v>
      </c>
      <c r="K34" s="108">
        <f t="shared" ref="K34" si="8">IF(D34="customer",1,IF(D34="kWh",$F$19,$F$17))</f>
        <v>27</v>
      </c>
      <c r="L34" s="82">
        <f t="shared" ref="L34" si="9">K34*J34</f>
        <v>-2.1540011775989156</v>
      </c>
      <c r="M34" s="87"/>
      <c r="N34" s="84">
        <f t="shared" ref="N34" si="10">L34-H34</f>
        <v>-2.1540011775989156</v>
      </c>
      <c r="O34" s="85" t="str">
        <f t="shared" ref="O34" si="11">IF(OR(H34=0,L34=0),"",(N34/H34))</f>
        <v/>
      </c>
      <c r="Q34" s="98"/>
      <c r="R34" s="87"/>
      <c r="S34" s="88"/>
      <c r="T34" s="87"/>
      <c r="U34" s="89"/>
      <c r="V34" s="90"/>
      <c r="W34" s="69"/>
      <c r="X34" s="98"/>
      <c r="Y34" s="87"/>
      <c r="Z34" s="88"/>
      <c r="AA34" s="87"/>
      <c r="AB34" s="89"/>
      <c r="AC34" s="90"/>
      <c r="AD34" s="69"/>
      <c r="AE34" s="98"/>
      <c r="AF34" s="87"/>
      <c r="AG34" s="88"/>
      <c r="AH34" s="87"/>
      <c r="AI34" s="89"/>
      <c r="AJ34" s="90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</row>
    <row r="35" spans="1:49" hidden="1" x14ac:dyDescent="0.25">
      <c r="A35" s="3"/>
      <c r="B35" s="271"/>
      <c r="C35" s="78"/>
      <c r="D35" s="271"/>
      <c r="E35" s="79"/>
      <c r="F35" s="80"/>
      <c r="G35" s="108"/>
      <c r="H35" s="82">
        <f t="shared" si="0"/>
        <v>0</v>
      </c>
      <c r="I35" s="87"/>
      <c r="J35" s="337"/>
      <c r="K35" s="108"/>
      <c r="L35" s="82">
        <f t="shared" si="1"/>
        <v>0</v>
      </c>
      <c r="M35" s="87"/>
      <c r="N35" s="84">
        <f t="shared" si="2"/>
        <v>0</v>
      </c>
      <c r="O35" s="85" t="str">
        <f t="shared" si="5"/>
        <v/>
      </c>
      <c r="Q35" s="98"/>
      <c r="R35" s="87"/>
      <c r="S35" s="88"/>
      <c r="T35" s="87"/>
      <c r="U35" s="89"/>
      <c r="V35" s="90"/>
      <c r="W35" s="69"/>
      <c r="X35" s="98"/>
      <c r="Y35" s="87"/>
      <c r="Z35" s="88"/>
      <c r="AA35" s="87"/>
      <c r="AB35" s="89"/>
      <c r="AC35" s="90"/>
      <c r="AD35" s="69"/>
      <c r="AE35" s="98"/>
      <c r="AF35" s="87"/>
      <c r="AG35" s="88"/>
      <c r="AH35" s="87"/>
      <c r="AI35" s="89"/>
      <c r="AJ35" s="90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</row>
    <row r="36" spans="1:49" x14ac:dyDescent="0.25">
      <c r="A36" s="3"/>
      <c r="B36" s="109" t="s">
        <v>64</v>
      </c>
      <c r="C36" s="110"/>
      <c r="D36" s="110"/>
      <c r="E36" s="110"/>
      <c r="F36" s="111"/>
      <c r="G36" s="112"/>
      <c r="H36" s="113">
        <f>SUM(H23:H35)</f>
        <v>203.08190000000002</v>
      </c>
      <c r="I36" s="87"/>
      <c r="J36" s="115"/>
      <c r="K36" s="116"/>
      <c r="L36" s="113">
        <f>SUM(L23:L35)</f>
        <v>371.56831665950961</v>
      </c>
      <c r="M36" s="87"/>
      <c r="N36" s="117">
        <f t="shared" si="2"/>
        <v>168.48641665950959</v>
      </c>
      <c r="O36" s="118">
        <f>IF(OR(H36=0, L36=0),"",(N36/H36))</f>
        <v>0.82964762817124305</v>
      </c>
      <c r="Q36" s="119"/>
      <c r="R36" s="120"/>
      <c r="S36" s="88"/>
      <c r="T36" s="87"/>
      <c r="U36" s="121"/>
      <c r="V36" s="122"/>
      <c r="W36" s="69"/>
      <c r="X36" s="119"/>
      <c r="Y36" s="120"/>
      <c r="Z36" s="88"/>
      <c r="AA36" s="87"/>
      <c r="AB36" s="121"/>
      <c r="AC36" s="122"/>
      <c r="AD36" s="69"/>
      <c r="AE36" s="119"/>
      <c r="AF36" s="120"/>
      <c r="AG36" s="88"/>
      <c r="AH36" s="87"/>
      <c r="AI36" s="121"/>
      <c r="AJ36" s="122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</row>
    <row r="37" spans="1:49" x14ac:dyDescent="0.25">
      <c r="A37" s="5" t="s">
        <v>18</v>
      </c>
      <c r="B37" s="271" t="str">
        <f>IF(Rates!D25=$A$37,Rates!B25," ")</f>
        <v>Low Voltage Service Rate</v>
      </c>
      <c r="C37" s="78"/>
      <c r="D37" s="271" t="str">
        <f>IF(Rates!D25=$A$37,Rates!E25," ")</f>
        <v>kW</v>
      </c>
      <c r="E37" s="79"/>
      <c r="F37" s="470">
        <f>IF(Rates!$J$1="BRT 2018",Rates!J25," ")</f>
        <v>1.1222000000000001</v>
      </c>
      <c r="G37" s="108">
        <f t="shared" ref="G37:G44" si="12">IF(D37="customer",1,IF(D37="kWh",$F$19,$F$17))</f>
        <v>27</v>
      </c>
      <c r="H37" s="126">
        <f>G37*F37</f>
        <v>30.299400000000002</v>
      </c>
      <c r="I37" s="87"/>
      <c r="J37" s="337">
        <f>IF(Rates!$L$1="E+ 2019",Rates!L25," ")</f>
        <v>0</v>
      </c>
      <c r="K37" s="108">
        <f t="shared" ref="K37" si="13">IF(D37="customer",1,IF(D37="kWh",$F$19,$F$17))</f>
        <v>27</v>
      </c>
      <c r="L37" s="82">
        <f t="shared" si="1"/>
        <v>0</v>
      </c>
      <c r="M37" s="87"/>
      <c r="N37" s="84">
        <f t="shared" si="2"/>
        <v>-30.299400000000002</v>
      </c>
      <c r="O37" s="85" t="str">
        <f t="shared" ref="O37:O43" si="14">IF(OR(H37=0,L37=0),"",(N37/H37))</f>
        <v/>
      </c>
      <c r="Q37" s="119"/>
      <c r="R37" s="87"/>
      <c r="S37" s="88"/>
      <c r="T37" s="87"/>
      <c r="U37" s="89"/>
      <c r="V37" s="90"/>
      <c r="W37" s="69"/>
      <c r="X37" s="119"/>
      <c r="Y37" s="87"/>
      <c r="Z37" s="88"/>
      <c r="AA37" s="87"/>
      <c r="AB37" s="89"/>
      <c r="AC37" s="90"/>
      <c r="AD37" s="69"/>
      <c r="AE37" s="119"/>
      <c r="AF37" s="87"/>
      <c r="AG37" s="88"/>
      <c r="AH37" s="87"/>
      <c r="AI37" s="89"/>
      <c r="AJ37" s="90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</row>
    <row r="38" spans="1:49" x14ac:dyDescent="0.25">
      <c r="A38" s="1"/>
      <c r="B38" s="124" t="s">
        <v>116</v>
      </c>
      <c r="C38" s="78"/>
      <c r="D38" s="271" t="s">
        <v>13</v>
      </c>
      <c r="E38" s="79"/>
      <c r="F38" s="470">
        <v>0</v>
      </c>
      <c r="G38" s="125"/>
      <c r="H38" s="126">
        <f t="shared" ref="H38:H43" si="15">G38*F38</f>
        <v>0</v>
      </c>
      <c r="I38" s="87"/>
      <c r="J38" s="337"/>
      <c r="K38" s="125"/>
      <c r="L38" s="82">
        <f t="shared" si="1"/>
        <v>0</v>
      </c>
      <c r="M38" s="87"/>
      <c r="N38" s="84">
        <f t="shared" si="2"/>
        <v>0</v>
      </c>
      <c r="O38" s="85" t="str">
        <f t="shared" si="14"/>
        <v/>
      </c>
      <c r="Q38" s="128"/>
      <c r="R38" s="129"/>
      <c r="S38" s="88"/>
      <c r="T38" s="87"/>
      <c r="U38" s="89"/>
      <c r="V38" s="90"/>
      <c r="W38" s="69"/>
      <c r="X38" s="128"/>
      <c r="Y38" s="129"/>
      <c r="Z38" s="88"/>
      <c r="AA38" s="87"/>
      <c r="AB38" s="89"/>
      <c r="AC38" s="90"/>
      <c r="AD38" s="69"/>
      <c r="AE38" s="128"/>
      <c r="AF38" s="129"/>
      <c r="AG38" s="88"/>
      <c r="AH38" s="87"/>
      <c r="AI38" s="89"/>
      <c r="AJ38" s="90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</row>
    <row r="39" spans="1:49" x14ac:dyDescent="0.25">
      <c r="A39" s="130"/>
      <c r="B39" s="271" t="str">
        <f>IF(Rates!D26=$A$37,Rates!B26," ")</f>
        <v>Rate Rider Other Fixed</v>
      </c>
      <c r="C39" s="78"/>
      <c r="D39" s="271" t="str">
        <f>IF(Rates!D26=$A$37,Rates!E26," ")</f>
        <v>customer</v>
      </c>
      <c r="E39" s="79"/>
      <c r="F39" s="470">
        <f>IF(Rates!$J$1="BRT 2018",Rates!J26," ")</f>
        <v>0</v>
      </c>
      <c r="G39" s="108">
        <f t="shared" si="12"/>
        <v>1</v>
      </c>
      <c r="H39" s="126">
        <f t="shared" si="15"/>
        <v>0</v>
      </c>
      <c r="I39" s="87"/>
      <c r="J39" s="337">
        <f>IF(Rates!$L$1="E+ 2019",Rates!L26," ")</f>
        <v>0</v>
      </c>
      <c r="K39" s="108">
        <f t="shared" ref="K39:K44" si="16">IF(D39="customer",1,IF(D39="kWh",$F$19,$F$17))</f>
        <v>1</v>
      </c>
      <c r="L39" s="82">
        <f t="shared" si="1"/>
        <v>0</v>
      </c>
      <c r="M39" s="87"/>
      <c r="N39" s="84">
        <f t="shared" si="2"/>
        <v>0</v>
      </c>
      <c r="O39" s="85" t="str">
        <f t="shared" si="14"/>
        <v/>
      </c>
      <c r="Q39" s="119"/>
      <c r="R39" s="87"/>
      <c r="S39" s="88"/>
      <c r="T39" s="87"/>
      <c r="U39" s="89"/>
      <c r="V39" s="90"/>
      <c r="W39" s="69"/>
      <c r="X39" s="119"/>
      <c r="Y39" s="87"/>
      <c r="Z39" s="88"/>
      <c r="AA39" s="87"/>
      <c r="AB39" s="89"/>
      <c r="AC39" s="90"/>
      <c r="AD39" s="69"/>
      <c r="AE39" s="119"/>
      <c r="AF39" s="87"/>
      <c r="AG39" s="88"/>
      <c r="AH39" s="87"/>
      <c r="AI39" s="89"/>
      <c r="AJ39" s="90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</row>
    <row r="40" spans="1:49" x14ac:dyDescent="0.25">
      <c r="A40" s="130"/>
      <c r="B40" s="271" t="str">
        <f>IF(Rates!D27=$A$37,Rates!B27," ")</f>
        <v>Rate Rider Other Volumetric</v>
      </c>
      <c r="C40" s="78"/>
      <c r="D40" s="271" t="str">
        <f>IF(Rates!D27=$A$37,Rates!E27," ")</f>
        <v>kW</v>
      </c>
      <c r="E40" s="79"/>
      <c r="F40" s="470">
        <f>IF(Rates!$J$1="BRT 2018",Rates!J27," ")</f>
        <v>0</v>
      </c>
      <c r="G40" s="108">
        <f t="shared" si="12"/>
        <v>27</v>
      </c>
      <c r="H40" s="126">
        <f t="shared" si="15"/>
        <v>0</v>
      </c>
      <c r="I40" s="87"/>
      <c r="J40" s="337">
        <f>IF(Rates!$L$1="E+ 2019",Rates!L27," ")</f>
        <v>0.28360657655012184</v>
      </c>
      <c r="K40" s="108">
        <f t="shared" si="16"/>
        <v>27</v>
      </c>
      <c r="L40" s="82">
        <f t="shared" si="1"/>
        <v>7.65737756685329</v>
      </c>
      <c r="M40" s="87"/>
      <c r="N40" s="84">
        <f t="shared" si="2"/>
        <v>7.65737756685329</v>
      </c>
      <c r="O40" s="85" t="str">
        <f t="shared" si="14"/>
        <v/>
      </c>
      <c r="Q40" s="119"/>
      <c r="R40" s="87"/>
      <c r="S40" s="88"/>
      <c r="T40" s="87"/>
      <c r="U40" s="89"/>
      <c r="V40" s="90"/>
      <c r="W40" s="69"/>
      <c r="X40" s="119"/>
      <c r="Y40" s="87"/>
      <c r="Z40" s="88"/>
      <c r="AA40" s="87"/>
      <c r="AB40" s="89"/>
      <c r="AC40" s="90"/>
      <c r="AD40" s="69"/>
      <c r="AE40" s="119"/>
      <c r="AF40" s="87"/>
      <c r="AG40" s="88"/>
      <c r="AH40" s="87"/>
      <c r="AI40" s="89"/>
      <c r="AJ40" s="90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</row>
    <row r="41" spans="1:49" x14ac:dyDescent="0.25">
      <c r="A41" s="130"/>
      <c r="B41" s="271" t="str">
        <f>IF(Rates!D28=$A$37,Rates!B28," ")</f>
        <v xml:space="preserve">Rate Rider for Disposition of Deferral/Variance Accounts </v>
      </c>
      <c r="C41" s="78"/>
      <c r="D41" s="271" t="str">
        <f>IF(Rates!D28=$A$37,Rates!E28," ")</f>
        <v>kW</v>
      </c>
      <c r="E41" s="79"/>
      <c r="F41" s="470">
        <f>IF(Rates!$J$1="BRT 2018",Rates!J28," ")</f>
        <v>-2.8760694640552322</v>
      </c>
      <c r="G41" s="108">
        <f t="shared" si="12"/>
        <v>27</v>
      </c>
      <c r="H41" s="126">
        <f t="shared" si="15"/>
        <v>-77.653875529491273</v>
      </c>
      <c r="I41" s="87"/>
      <c r="J41" s="337">
        <f>IF(Rates!$L$1="E+ 2019",Rates!L28," ")</f>
        <v>-0.5395042239660921</v>
      </c>
      <c r="K41" s="108">
        <f t="shared" si="16"/>
        <v>27</v>
      </c>
      <c r="L41" s="82">
        <f t="shared" si="1"/>
        <v>-14.566614047084487</v>
      </c>
      <c r="M41" s="87"/>
      <c r="N41" s="84">
        <f t="shared" si="2"/>
        <v>63.087261482406788</v>
      </c>
      <c r="O41" s="85">
        <f t="shared" si="14"/>
        <v>-0.81241613573359395</v>
      </c>
      <c r="Q41" s="119"/>
      <c r="R41" s="87"/>
      <c r="S41" s="88"/>
      <c r="T41" s="87"/>
      <c r="U41" s="89"/>
      <c r="V41" s="90"/>
      <c r="W41" s="69"/>
      <c r="X41" s="119"/>
      <c r="Y41" s="87"/>
      <c r="Z41" s="88"/>
      <c r="AA41" s="87"/>
      <c r="AB41" s="89"/>
      <c r="AC41" s="90"/>
      <c r="AD41" s="69"/>
      <c r="AE41" s="119"/>
      <c r="AF41" s="87"/>
      <c r="AG41" s="88"/>
      <c r="AH41" s="87"/>
      <c r="AI41" s="89"/>
      <c r="AJ41" s="90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</row>
    <row r="42" spans="1:49" x14ac:dyDescent="0.25">
      <c r="A42" s="1"/>
      <c r="B42" s="271" t="str">
        <f>IF(Rates!D29=$A$37,Rates!B29," ")</f>
        <v>Rate Rider for Disposition of Deferral/Variance Accounts Non-WMP Customers</v>
      </c>
      <c r="C42" s="78"/>
      <c r="D42" s="271" t="str">
        <f>IF(Rates!D29=$A$37,Rates!E29," ")</f>
        <v>kW</v>
      </c>
      <c r="E42" s="79"/>
      <c r="F42" s="470">
        <f>IF(Rates!$J$1="BRT 2018",Rates!J29," ")</f>
        <v>0</v>
      </c>
      <c r="G42" s="108">
        <f t="shared" si="12"/>
        <v>27</v>
      </c>
      <c r="H42" s="126">
        <f t="shared" si="15"/>
        <v>0</v>
      </c>
      <c r="I42" s="87"/>
      <c r="J42" s="337">
        <f>IF(Rates!$L$1="E+ 2019",Rates!L29," ")</f>
        <v>0</v>
      </c>
      <c r="K42" s="108">
        <f t="shared" si="16"/>
        <v>27</v>
      </c>
      <c r="L42" s="82">
        <f t="shared" si="1"/>
        <v>0</v>
      </c>
      <c r="M42" s="87"/>
      <c r="N42" s="84">
        <f t="shared" si="2"/>
        <v>0</v>
      </c>
      <c r="O42" s="85" t="str">
        <f t="shared" si="14"/>
        <v/>
      </c>
      <c r="Q42" s="128"/>
      <c r="R42" s="129"/>
      <c r="S42" s="88"/>
      <c r="T42" s="87"/>
      <c r="U42" s="89"/>
      <c r="V42" s="90"/>
      <c r="W42" s="69"/>
      <c r="X42" s="128"/>
      <c r="Y42" s="129"/>
      <c r="Z42" s="88"/>
      <c r="AA42" s="87"/>
      <c r="AB42" s="89"/>
      <c r="AC42" s="90"/>
      <c r="AD42" s="69"/>
      <c r="AE42" s="128"/>
      <c r="AF42" s="129"/>
      <c r="AG42" s="88"/>
      <c r="AH42" s="87"/>
      <c r="AI42" s="89"/>
      <c r="AJ42" s="90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</row>
    <row r="43" spans="1:49" x14ac:dyDescent="0.25">
      <c r="A43" s="1"/>
      <c r="B43" s="271" t="str">
        <f>IF(Rates!D30=$A$37,Rates!B30," ")</f>
        <v>Rate Rider for Disposition of GA DV</v>
      </c>
      <c r="C43" s="78"/>
      <c r="D43" s="271" t="str">
        <f>IF(Rates!D30=$A$37,Rates!E30," ")</f>
        <v>kWh</v>
      </c>
      <c r="E43" s="79"/>
      <c r="F43" s="470">
        <f>IF(Rates!$J$1="BRT 2018",Rates!J30," ")</f>
        <v>1.4200000000000001E-2</v>
      </c>
      <c r="G43" s="441">
        <f t="shared" si="12"/>
        <v>50000</v>
      </c>
      <c r="H43" s="126">
        <f t="shared" si="15"/>
        <v>710</v>
      </c>
      <c r="I43" s="87"/>
      <c r="J43" s="337">
        <f>IF(Rates!$L$1="E+ 2019",Rates!L30," ")</f>
        <v>3.8449181889326281E-4</v>
      </c>
      <c r="K43" s="441">
        <f t="shared" si="16"/>
        <v>50000</v>
      </c>
      <c r="L43" s="82">
        <f t="shared" si="1"/>
        <v>19.224590944663142</v>
      </c>
      <c r="M43" s="87"/>
      <c r="N43" s="84">
        <f t="shared" si="2"/>
        <v>-690.77540905533681</v>
      </c>
      <c r="O43" s="85">
        <f t="shared" si="14"/>
        <v>-0.97292311134554477</v>
      </c>
      <c r="Q43" s="128"/>
      <c r="R43" s="129"/>
      <c r="S43" s="88"/>
      <c r="T43" s="87"/>
      <c r="U43" s="89"/>
      <c r="V43" s="90"/>
      <c r="W43" s="69"/>
      <c r="X43" s="128"/>
      <c r="Y43" s="129"/>
      <c r="Z43" s="88"/>
      <c r="AA43" s="87"/>
      <c r="AB43" s="89"/>
      <c r="AC43" s="90"/>
      <c r="AD43" s="69"/>
      <c r="AE43" s="128"/>
      <c r="AF43" s="129"/>
      <c r="AG43" s="88"/>
      <c r="AH43" s="87"/>
      <c r="AI43" s="89"/>
      <c r="AJ43" s="90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</row>
    <row r="44" spans="1:49" x14ac:dyDescent="0.25">
      <c r="A44" s="1"/>
      <c r="B44" s="271" t="str">
        <f>IF(Rates!D31=$A$37,Rates!B31," ")</f>
        <v>Rate Rider for Disposition of Capacity Based Recovery Account (2018) - Applicable only for Class B Customers</v>
      </c>
      <c r="C44" s="78"/>
      <c r="D44" s="271" t="str">
        <f>IF(Rates!D31=$A$37,Rates!E31," ")</f>
        <v>kW</v>
      </c>
      <c r="E44" s="79"/>
      <c r="F44" s="470">
        <f>IF(Rates!$J$1="BRT 2018",Rates!J31," ")</f>
        <v>0</v>
      </c>
      <c r="G44" s="445">
        <f t="shared" si="12"/>
        <v>27</v>
      </c>
      <c r="H44" s="126">
        <f t="shared" ref="H44" si="17">G44*F44</f>
        <v>0</v>
      </c>
      <c r="I44" s="87"/>
      <c r="J44" s="337">
        <f>IF(Rates!$L$1="E+ 2019",Rates!L31," ")</f>
        <v>1.6035744996387073E-3</v>
      </c>
      <c r="K44" s="445">
        <f t="shared" si="16"/>
        <v>27</v>
      </c>
      <c r="L44" s="82">
        <f t="shared" ref="L44" si="18">K44*J44</f>
        <v>4.3296511490245097E-2</v>
      </c>
      <c r="M44" s="87"/>
      <c r="N44" s="84">
        <f t="shared" ref="N44" si="19">L44-H44</f>
        <v>4.3296511490245097E-2</v>
      </c>
      <c r="O44" s="85" t="str">
        <f t="shared" ref="O44" si="20">IF(OR(H44=0,L44=0),"",(N44/H44))</f>
        <v/>
      </c>
      <c r="Q44" s="128"/>
      <c r="R44" s="129"/>
      <c r="S44" s="88"/>
      <c r="T44" s="87"/>
      <c r="U44" s="89"/>
      <c r="V44" s="90"/>
      <c r="W44" s="69"/>
      <c r="X44" s="128"/>
      <c r="Y44" s="129"/>
      <c r="Z44" s="88"/>
      <c r="AA44" s="87"/>
      <c r="AB44" s="89"/>
      <c r="AC44" s="90"/>
      <c r="AD44" s="69"/>
      <c r="AE44" s="128"/>
      <c r="AF44" s="129"/>
      <c r="AG44" s="88"/>
      <c r="AH44" s="87"/>
      <c r="AI44" s="89"/>
      <c r="AJ44" s="90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</row>
    <row r="45" spans="1:49" hidden="1" x14ac:dyDescent="0.25">
      <c r="A45" s="1"/>
      <c r="B45" s="271" t="str">
        <f>IF(Rates!D24=$A$37,Rates!B24," ")</f>
        <v xml:space="preserve"> </v>
      </c>
      <c r="C45" s="78"/>
      <c r="D45" s="271" t="str">
        <f>IF(Rates!D24=$A$37,Rates!E24," ")</f>
        <v xml:space="preserve"> </v>
      </c>
      <c r="E45" s="79"/>
      <c r="F45" s="470"/>
      <c r="G45" s="445"/>
      <c r="H45" s="126"/>
      <c r="I45" s="87"/>
      <c r="J45" s="337"/>
      <c r="K45" s="445"/>
      <c r="L45" s="82"/>
      <c r="M45" s="87"/>
      <c r="N45" s="84"/>
      <c r="O45" s="85"/>
      <c r="Q45" s="128"/>
      <c r="R45" s="129"/>
      <c r="S45" s="88"/>
      <c r="T45" s="87"/>
      <c r="U45" s="89"/>
      <c r="V45" s="90"/>
      <c r="W45" s="69"/>
      <c r="X45" s="128"/>
      <c r="Y45" s="129"/>
      <c r="Z45" s="88"/>
      <c r="AA45" s="87"/>
      <c r="AB45" s="89"/>
      <c r="AC45" s="90"/>
      <c r="AD45" s="69"/>
      <c r="AE45" s="128"/>
      <c r="AF45" s="129"/>
      <c r="AG45" s="88"/>
      <c r="AH45" s="87"/>
      <c r="AI45" s="89"/>
      <c r="AJ45" s="90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</row>
    <row r="46" spans="1:49" x14ac:dyDescent="0.25">
      <c r="A46" s="1"/>
      <c r="B46" s="132" t="s">
        <v>80</v>
      </c>
      <c r="C46" s="133"/>
      <c r="D46" s="133"/>
      <c r="E46" s="133"/>
      <c r="F46" s="134"/>
      <c r="G46" s="135"/>
      <c r="H46" s="136">
        <f>SUM(H37:H45)+H36</f>
        <v>865.72742447050871</v>
      </c>
      <c r="I46" s="87"/>
      <c r="J46" s="135"/>
      <c r="K46" s="137"/>
      <c r="L46" s="136">
        <f>SUM(L37:L45)+L36</f>
        <v>383.92696763543182</v>
      </c>
      <c r="M46" s="87"/>
      <c r="N46" s="117">
        <f t="shared" si="2"/>
        <v>-481.80045683507689</v>
      </c>
      <c r="O46" s="138">
        <f>IF(OR(H46=0,L46=0),"",(N46/H46))</f>
        <v>-0.55652673487818982</v>
      </c>
      <c r="Q46" s="87"/>
      <c r="R46" s="87"/>
      <c r="S46" s="121"/>
      <c r="T46" s="87"/>
      <c r="U46" s="121"/>
      <c r="V46" s="139"/>
      <c r="W46" s="69"/>
      <c r="X46" s="87"/>
      <c r="Y46" s="87"/>
      <c r="Z46" s="121"/>
      <c r="AA46" s="87"/>
      <c r="AB46" s="121"/>
      <c r="AC46" s="139"/>
      <c r="AD46" s="69"/>
      <c r="AE46" s="87"/>
      <c r="AF46" s="87"/>
      <c r="AG46" s="121"/>
      <c r="AH46" s="87"/>
      <c r="AI46" s="121"/>
      <c r="AJ46" s="13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</row>
    <row r="47" spans="1:49" x14ac:dyDescent="0.25">
      <c r="A47" s="38" t="s">
        <v>16</v>
      </c>
      <c r="B47" s="271" t="str">
        <f>IF(Rates!D32=$A$47,Rates!B32," ")</f>
        <v>Retail Transmission Rate – Network Service Rate</v>
      </c>
      <c r="C47" s="83"/>
      <c r="D47" s="271" t="str">
        <f>IF(Rates!D32= $A$47,Rates!E32," ")</f>
        <v>kW</v>
      </c>
      <c r="E47" s="91"/>
      <c r="F47" s="235">
        <f>IF(Rates!$J$1="BRT 2018",Rates!J32," ")</f>
        <v>2.3643999999999998</v>
      </c>
      <c r="G47" s="108">
        <f t="shared" ref="G47:G48" si="21">IF(D47="customer",1,IF(D47="kWh",$F$19,$F$17))</f>
        <v>27</v>
      </c>
      <c r="H47" s="82">
        <f>G47*F47</f>
        <v>63.838799999999992</v>
      </c>
      <c r="I47" s="87"/>
      <c r="J47" s="235">
        <f>IF(Rates!$L$1="E+ 2019",Rates!L32," ")</f>
        <v>2.0494761512864939</v>
      </c>
      <c r="K47" s="445">
        <f t="shared" ref="K47:K48" si="22">IF(D47="customer",1,IF(D47="kWh",$F$19,$F$17))</f>
        <v>27</v>
      </c>
      <c r="L47" s="82">
        <f>K47*J47</f>
        <v>55.335856084735333</v>
      </c>
      <c r="M47" s="87"/>
      <c r="N47" s="84">
        <f t="shared" si="2"/>
        <v>-8.5029439152646589</v>
      </c>
      <c r="O47" s="85">
        <f>IF(OR(H47=0,L47=0),"",(N47/H47))</f>
        <v>-0.1331939810156936</v>
      </c>
      <c r="Q47" s="119"/>
      <c r="R47" s="141"/>
      <c r="S47" s="294">
        <f>F47*K47</f>
        <v>63.838799999999992</v>
      </c>
      <c r="T47" s="87"/>
      <c r="U47" s="89"/>
      <c r="V47" s="90"/>
      <c r="W47" s="69"/>
      <c r="X47" s="119"/>
      <c r="Y47" s="141"/>
      <c r="Z47" s="88"/>
      <c r="AA47" s="87"/>
      <c r="AB47" s="89"/>
      <c r="AC47" s="90"/>
      <c r="AD47" s="69"/>
      <c r="AE47" s="119"/>
      <c r="AF47" s="141"/>
      <c r="AG47" s="88"/>
      <c r="AH47" s="87"/>
      <c r="AI47" s="89"/>
      <c r="AJ47" s="90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</row>
    <row r="48" spans="1:49" x14ac:dyDescent="0.25">
      <c r="A48" s="1"/>
      <c r="B48" s="271" t="str">
        <f>IF(Rates!D33=$A$47,Rates!B33," ")</f>
        <v>Retail Transmission Rate – Line and Transformation Connection Service Rate</v>
      </c>
      <c r="C48" s="83"/>
      <c r="D48" s="271" t="str">
        <f>IF(Rates!D33= $A$47,Rates!E33," ")</f>
        <v>kW</v>
      </c>
      <c r="E48" s="91"/>
      <c r="F48" s="235">
        <f>IF(Rates!$J$1="BRT 2018",Rates!J33," ")</f>
        <v>1.2948999999999999</v>
      </c>
      <c r="G48" s="108">
        <f t="shared" si="21"/>
        <v>27</v>
      </c>
      <c r="H48" s="82">
        <f t="shared" ref="H48" si="23">G48*F48</f>
        <v>34.962299999999999</v>
      </c>
      <c r="I48" s="87"/>
      <c r="J48" s="235">
        <f>IF(Rates!$L$1="E+ 2019",Rates!L33," ")</f>
        <v>1.284048697853982</v>
      </c>
      <c r="K48" s="445">
        <f t="shared" si="22"/>
        <v>27</v>
      </c>
      <c r="L48" s="82">
        <f t="shared" ref="L48" si="24">K48*J48</f>
        <v>34.669314842057517</v>
      </c>
      <c r="M48" s="87"/>
      <c r="N48" s="84">
        <f t="shared" si="2"/>
        <v>-0.29298515794248203</v>
      </c>
      <c r="O48" s="85">
        <f t="shared" ref="O48" si="25">IF(OR(H48=0,L48=0),"",(N48/H48))</f>
        <v>-8.3800310031800548E-3</v>
      </c>
      <c r="Q48" s="119"/>
      <c r="R48" s="141"/>
      <c r="S48" s="295">
        <f>F48*K48</f>
        <v>34.962299999999999</v>
      </c>
      <c r="T48" s="87"/>
      <c r="U48" s="89"/>
      <c r="V48" s="90"/>
      <c r="W48" s="69"/>
      <c r="X48" s="119"/>
      <c r="Y48" s="141"/>
      <c r="Z48" s="88"/>
      <c r="AA48" s="87"/>
      <c r="AB48" s="89"/>
      <c r="AC48" s="90"/>
      <c r="AD48" s="69"/>
      <c r="AE48" s="119"/>
      <c r="AF48" s="141"/>
      <c r="AG48" s="88"/>
      <c r="AH48" s="87"/>
      <c r="AI48" s="89"/>
      <c r="AJ48" s="90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</row>
    <row r="49" spans="1:49" x14ac:dyDescent="0.25">
      <c r="A49" s="1"/>
      <c r="B49" s="132" t="s">
        <v>81</v>
      </c>
      <c r="C49" s="110"/>
      <c r="D49" s="110"/>
      <c r="E49" s="110"/>
      <c r="F49" s="142"/>
      <c r="G49" s="135"/>
      <c r="H49" s="136">
        <f>SUM(H46:H48)</f>
        <v>964.52852447050873</v>
      </c>
      <c r="I49" s="146"/>
      <c r="J49" s="144"/>
      <c r="K49" s="145"/>
      <c r="L49" s="136">
        <f>SUM(L46:L48)</f>
        <v>473.93213856222468</v>
      </c>
      <c r="M49" s="146"/>
      <c r="N49" s="117">
        <f>L49-H49</f>
        <v>-490.59638590828405</v>
      </c>
      <c r="O49" s="138">
        <f>IF(OR(H49=0,L49=0),"",(N49/H49))</f>
        <v>-0.50863854563306332</v>
      </c>
      <c r="Q49" s="146"/>
      <c r="R49" s="146"/>
      <c r="S49" s="296">
        <f>S47+S48</f>
        <v>98.801099999999991</v>
      </c>
      <c r="T49" s="146"/>
      <c r="U49" s="121"/>
      <c r="V49" s="139"/>
      <c r="W49" s="69"/>
      <c r="X49" s="146"/>
      <c r="Y49" s="146"/>
      <c r="Z49" s="121"/>
      <c r="AA49" s="146"/>
      <c r="AB49" s="121"/>
      <c r="AC49" s="139"/>
      <c r="AD49" s="69"/>
      <c r="AE49" s="146"/>
      <c r="AF49" s="146"/>
      <c r="AG49" s="121"/>
      <c r="AH49" s="146"/>
      <c r="AI49" s="121"/>
      <c r="AJ49" s="13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</row>
    <row r="50" spans="1:49" x14ac:dyDescent="0.25">
      <c r="A50" s="4" t="s">
        <v>17</v>
      </c>
      <c r="B50" s="271" t="str">
        <f>IF(Rates!D8=$A$50,Rates!B8," ")</f>
        <v>Standard Supply Service – Administrative Charge (if applicable)</v>
      </c>
      <c r="C50" s="78"/>
      <c r="D50" s="271" t="str">
        <f>IF(Rates!D8=$A$50,Rates!E8," ")</f>
        <v>customer</v>
      </c>
      <c r="E50" s="79"/>
      <c r="F50" s="235">
        <f>IF(Rates!$J$1="BRT 2018",Rates!J8," ")</f>
        <v>0.25</v>
      </c>
      <c r="G50" s="445">
        <f t="shared" ref="G50" si="26">IF(D50="customer",1,IF(D50="kWh",$F$19,$F$17))</f>
        <v>1</v>
      </c>
      <c r="H50" s="148">
        <f t="shared" ref="H50:H59" si="27">G50*F50</f>
        <v>0.25</v>
      </c>
      <c r="I50" s="87"/>
      <c r="J50" s="80">
        <f>IF(Rates!$L$1="E+ 2019",Rates!L8," ")</f>
        <v>0.25</v>
      </c>
      <c r="K50" s="445">
        <f t="shared" ref="K50" si="28">IF(D50="customer",1,IF(D50="kWh",$F$19,$F$17))</f>
        <v>1</v>
      </c>
      <c r="L50" s="148">
        <f t="shared" ref="L50:L59" si="29">K50*J50</f>
        <v>0.25</v>
      </c>
      <c r="M50" s="87"/>
      <c r="N50" s="84">
        <f t="shared" si="2"/>
        <v>0</v>
      </c>
      <c r="O50" s="85">
        <f>IF(OR(H50=0,L50=0),"",(N50/H50))</f>
        <v>0</v>
      </c>
      <c r="Q50" s="150"/>
      <c r="R50" s="224"/>
      <c r="S50" s="151"/>
      <c r="T50" s="87"/>
      <c r="U50" s="89"/>
      <c r="V50" s="90"/>
      <c r="W50" s="69"/>
      <c r="X50" s="150"/>
      <c r="Y50" s="224"/>
      <c r="Z50" s="151"/>
      <c r="AA50" s="87"/>
      <c r="AB50" s="89"/>
      <c r="AC50" s="90"/>
      <c r="AD50" s="69"/>
      <c r="AE50" s="150"/>
      <c r="AF50" s="224"/>
      <c r="AG50" s="151"/>
      <c r="AH50" s="87"/>
      <c r="AI50" s="89"/>
      <c r="AJ50" s="90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</row>
    <row r="51" spans="1:49" x14ac:dyDescent="0.25">
      <c r="A51" s="1"/>
      <c r="B51" s="271" t="str">
        <f>IF(Rates!D9=$A$50,Rates!B9," ")</f>
        <v xml:space="preserve">Wholesale Market Service Rate </v>
      </c>
      <c r="C51" s="78"/>
      <c r="D51" s="271" t="str">
        <f>IF(Rates!D9=$A$50,Rates!E9," ")</f>
        <v>kWh</v>
      </c>
      <c r="E51" s="79"/>
      <c r="F51" s="235">
        <f>IF(Rates!$J$1="BRT 2018",Rates!J9," ")</f>
        <v>3.2000000000000002E-3</v>
      </c>
      <c r="G51" s="225">
        <f>$F$19*(1+$F$73)</f>
        <v>51949.999999999993</v>
      </c>
      <c r="H51" s="148">
        <f t="shared" si="27"/>
        <v>166.23999999999998</v>
      </c>
      <c r="I51" s="87"/>
      <c r="J51" s="235">
        <f>IF(Rates!$L$1="E+ 2019",Rates!L9," ")</f>
        <v>3.2000000000000002E-3</v>
      </c>
      <c r="K51" s="225">
        <f>$F$19*(1+$J$73)</f>
        <v>51018.890172229338</v>
      </c>
      <c r="L51" s="148">
        <f t="shared" si="29"/>
        <v>163.26044855113389</v>
      </c>
      <c r="M51" s="87"/>
      <c r="N51" s="84">
        <f t="shared" si="2"/>
        <v>-2.9795514488660899</v>
      </c>
      <c r="O51" s="85">
        <f t="shared" ref="O51:O70" si="30">IF(OR(H51=0,L51=0),"",(N51/H51))</f>
        <v>-1.7923192064882642E-2</v>
      </c>
      <c r="Q51" s="150"/>
      <c r="R51" s="224"/>
      <c r="S51" s="151"/>
      <c r="T51" s="87"/>
      <c r="U51" s="89"/>
      <c r="V51" s="90"/>
      <c r="W51" s="69"/>
      <c r="X51" s="150"/>
      <c r="Y51" s="224"/>
      <c r="Z51" s="151"/>
      <c r="AA51" s="87"/>
      <c r="AB51" s="89"/>
      <c r="AC51" s="90"/>
      <c r="AD51" s="69"/>
      <c r="AE51" s="150"/>
      <c r="AF51" s="224"/>
      <c r="AG51" s="151"/>
      <c r="AH51" s="87"/>
      <c r="AI51" s="89"/>
      <c r="AJ51" s="90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</row>
    <row r="52" spans="1:49" x14ac:dyDescent="0.25">
      <c r="A52" s="1"/>
      <c r="B52" s="271" t="str">
        <f>IF(Rates!D10=$A$50,Rates!B10," ")</f>
        <v>Capacity Based Rcovery(CBR) - Class B Customers</v>
      </c>
      <c r="C52" s="78"/>
      <c r="D52" s="271" t="str">
        <f>IF(Rates!D10=$A$50,Rates!E10," ")</f>
        <v>kWh</v>
      </c>
      <c r="E52" s="79"/>
      <c r="F52" s="235">
        <f>IF(Rates!$J$1="BRT 2018",Rates!J10," ")</f>
        <v>4.0000000000000002E-4</v>
      </c>
      <c r="G52" s="225">
        <f>$F$19*(1+$F$73)</f>
        <v>51949.999999999993</v>
      </c>
      <c r="H52" s="148">
        <f t="shared" si="27"/>
        <v>20.779999999999998</v>
      </c>
      <c r="I52" s="87"/>
      <c r="J52" s="235">
        <f>IF(Rates!$L$1="E+ 2019",Rates!L10," ")</f>
        <v>4.0000000000000002E-4</v>
      </c>
      <c r="K52" s="225">
        <f>$F$19*(1+$J$73)</f>
        <v>51018.890172229338</v>
      </c>
      <c r="L52" s="148">
        <f t="shared" si="29"/>
        <v>20.407556068891736</v>
      </c>
      <c r="M52" s="87"/>
      <c r="N52" s="84">
        <f t="shared" si="2"/>
        <v>-0.37244393110826124</v>
      </c>
      <c r="O52" s="85">
        <f t="shared" si="30"/>
        <v>-1.7923192064882642E-2</v>
      </c>
      <c r="Q52" s="150"/>
      <c r="R52" s="224"/>
      <c r="S52" s="151"/>
      <c r="T52" s="87"/>
      <c r="U52" s="89"/>
      <c r="V52" s="90"/>
      <c r="W52" s="69"/>
      <c r="X52" s="150"/>
      <c r="Y52" s="224"/>
      <c r="Z52" s="151"/>
      <c r="AA52" s="87"/>
      <c r="AB52" s="89"/>
      <c r="AC52" s="90"/>
      <c r="AD52" s="69"/>
      <c r="AE52" s="150"/>
      <c r="AF52" s="224"/>
      <c r="AG52" s="151"/>
      <c r="AH52" s="87"/>
      <c r="AI52" s="89"/>
      <c r="AJ52" s="90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</row>
    <row r="53" spans="1:49" x14ac:dyDescent="0.25">
      <c r="A53" s="1"/>
      <c r="B53" s="271" t="str">
        <f>IF(Rates!D11=$A$50,Rates!B11," ")</f>
        <v xml:space="preserve">Rural Rate Protection Charge </v>
      </c>
      <c r="C53" s="78"/>
      <c r="D53" s="271" t="str">
        <f>IF(Rates!D11=$A$50,Rates!E11," ")</f>
        <v>kWh</v>
      </c>
      <c r="E53" s="79"/>
      <c r="F53" s="235">
        <f>IF(Rates!$J$1="BRT 2018",Rates!J11," ")</f>
        <v>2.9999999999999997E-4</v>
      </c>
      <c r="G53" s="225">
        <f>$F$19*(1+$F$73)</f>
        <v>51949.999999999993</v>
      </c>
      <c r="H53" s="148">
        <f t="shared" si="27"/>
        <v>15.584999999999997</v>
      </c>
      <c r="I53" s="87"/>
      <c r="J53" s="235">
        <f>IF(Rates!$L$1="E+ 2019",Rates!L11," ")</f>
        <v>2.9999999999999997E-4</v>
      </c>
      <c r="K53" s="225">
        <f>$F$19*(1+$J$73)</f>
        <v>51018.890172229338</v>
      </c>
      <c r="L53" s="148">
        <f t="shared" si="29"/>
        <v>15.3056670516688</v>
      </c>
      <c r="M53" s="87"/>
      <c r="N53" s="84">
        <f t="shared" si="2"/>
        <v>-0.27933294833119682</v>
      </c>
      <c r="O53" s="85">
        <f t="shared" si="30"/>
        <v>-1.7923192064882697E-2</v>
      </c>
      <c r="Q53" s="153"/>
      <c r="R53" s="87"/>
      <c r="S53" s="151"/>
      <c r="T53" s="87"/>
      <c r="U53" s="89"/>
      <c r="V53" s="90"/>
      <c r="W53" s="69"/>
      <c r="X53" s="153"/>
      <c r="Y53" s="87"/>
      <c r="Z53" s="151"/>
      <c r="AA53" s="87"/>
      <c r="AB53" s="89"/>
      <c r="AC53" s="90"/>
      <c r="AD53" s="69"/>
      <c r="AE53" s="153"/>
      <c r="AF53" s="87"/>
      <c r="AG53" s="151"/>
      <c r="AH53" s="87"/>
      <c r="AI53" s="89"/>
      <c r="AJ53" s="90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</row>
    <row r="54" spans="1:49" x14ac:dyDescent="0.25">
      <c r="A54" s="1"/>
      <c r="B54" s="271" t="str">
        <f>IF(Rates!D12=$A$50,Rates!B12," ")</f>
        <v>Debt Retirement Charge</v>
      </c>
      <c r="C54" s="78"/>
      <c r="D54" s="271" t="str">
        <f>IF(Rates!D12=$A$50,Rates!E12," ")</f>
        <v>kWh</v>
      </c>
      <c r="E54" s="79"/>
      <c r="F54" s="235">
        <f>IF(Rates!$J$1="BRT 2018",Rates!J12," ")</f>
        <v>7.0000000000000001E-3</v>
      </c>
      <c r="G54" s="225">
        <f t="shared" ref="G54" si="31">IF(D54="customer",1,IF(D54="kWh",$F$19,$F$17))</f>
        <v>50000</v>
      </c>
      <c r="H54" s="148">
        <f t="shared" si="27"/>
        <v>350</v>
      </c>
      <c r="I54" s="87"/>
      <c r="J54" s="235">
        <f>IF(Rates!$L$1="E+ 2019",Rates!L12," ")</f>
        <v>7.0000000000000001E-3</v>
      </c>
      <c r="K54" s="225">
        <f t="shared" ref="K54" si="32">IF(D54="customer",1,IF(D54="kWh",$F$19,$F$17))</f>
        <v>50000</v>
      </c>
      <c r="L54" s="148">
        <f t="shared" si="29"/>
        <v>350</v>
      </c>
      <c r="M54" s="87"/>
      <c r="N54" s="84">
        <f t="shared" si="2"/>
        <v>0</v>
      </c>
      <c r="O54" s="85">
        <f t="shared" si="30"/>
        <v>0</v>
      </c>
      <c r="Q54" s="153"/>
      <c r="R54" s="87"/>
      <c r="S54" s="151"/>
      <c r="T54" s="87"/>
      <c r="U54" s="89"/>
      <c r="V54" s="90"/>
      <c r="W54" s="69"/>
      <c r="X54" s="153"/>
      <c r="Y54" s="87"/>
      <c r="Z54" s="151"/>
      <c r="AA54" s="87"/>
      <c r="AB54" s="89"/>
      <c r="AC54" s="90"/>
      <c r="AD54" s="69"/>
      <c r="AE54" s="153"/>
      <c r="AF54" s="87"/>
      <c r="AG54" s="151"/>
      <c r="AH54" s="87"/>
      <c r="AI54" s="89"/>
      <c r="AJ54" s="90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</row>
    <row r="55" spans="1:49" x14ac:dyDescent="0.25">
      <c r="A55" s="6" t="s">
        <v>14</v>
      </c>
      <c r="B55" s="271" t="str">
        <f>IF(Rates!D2=$A$55,Rates!B2," ")</f>
        <v>TOU - Off Peak</v>
      </c>
      <c r="C55" s="78"/>
      <c r="D55" s="271" t="str">
        <f>IF(Rates!D2=$A$55,Rates!E2," ")</f>
        <v>kWh</v>
      </c>
      <c r="E55" s="79"/>
      <c r="F55" s="235">
        <f>IF(Rates!$J$1="BRT 2018",Rates!J2," ")</f>
        <v>6.5000000000000002E-2</v>
      </c>
      <c r="G55" s="226">
        <f>IF($G$58=0,0.65*($F$19*(1+$F$73)),0)</f>
        <v>0</v>
      </c>
      <c r="H55" s="148">
        <f t="shared" si="27"/>
        <v>0</v>
      </c>
      <c r="I55" s="87"/>
      <c r="J55" s="152">
        <f>IF(Rates!$L$1="E+ 2019",Rates!L2," ")</f>
        <v>6.5000000000000002E-2</v>
      </c>
      <c r="K55" s="226">
        <f>IF($K$58=0,0.65*$F$19,0)</f>
        <v>0</v>
      </c>
      <c r="L55" s="148">
        <f t="shared" si="29"/>
        <v>0</v>
      </c>
      <c r="M55" s="87"/>
      <c r="N55" s="84">
        <f t="shared" si="2"/>
        <v>0</v>
      </c>
      <c r="O55" s="85" t="str">
        <f t="shared" si="30"/>
        <v/>
      </c>
      <c r="Q55" s="150"/>
      <c r="R55" s="224"/>
      <c r="S55" s="151"/>
      <c r="T55" s="87"/>
      <c r="U55" s="89"/>
      <c r="V55" s="90"/>
      <c r="W55" s="69"/>
      <c r="X55" s="150"/>
      <c r="Y55" s="224"/>
      <c r="Z55" s="151"/>
      <c r="AA55" s="87"/>
      <c r="AB55" s="89"/>
      <c r="AC55" s="90"/>
      <c r="AD55" s="69"/>
      <c r="AE55" s="150"/>
      <c r="AF55" s="224"/>
      <c r="AG55" s="151"/>
      <c r="AH55" s="87"/>
      <c r="AI55" s="89"/>
      <c r="AJ55" s="90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</row>
    <row r="56" spans="1:49" x14ac:dyDescent="0.25">
      <c r="A56" s="1"/>
      <c r="B56" s="271" t="str">
        <f>IF(Rates!D3=$A$55,Rates!B3," ")</f>
        <v>TOU - Mid Peak</v>
      </c>
      <c r="C56" s="78"/>
      <c r="D56" s="271" t="str">
        <f>IF(Rates!D3=$A$55,Rates!E3," ")</f>
        <v>kWh</v>
      </c>
      <c r="E56" s="79"/>
      <c r="F56" s="235">
        <f>IF(Rates!$J$1="BRT 2018",Rates!J3," ")</f>
        <v>9.5000000000000001E-2</v>
      </c>
      <c r="G56" s="226">
        <f>IF($G$58=0,0.17*($F$19*(1+$F$73)),0)</f>
        <v>0</v>
      </c>
      <c r="H56" s="148">
        <f t="shared" si="27"/>
        <v>0</v>
      </c>
      <c r="I56" s="87"/>
      <c r="J56" s="147">
        <f t="shared" ref="J56:J59" si="33">+F56</f>
        <v>9.5000000000000001E-2</v>
      </c>
      <c r="K56" s="226">
        <f>IF($K$58=0,0.17*$F$19,0)</f>
        <v>0</v>
      </c>
      <c r="L56" s="148">
        <f t="shared" si="29"/>
        <v>0</v>
      </c>
      <c r="M56" s="87"/>
      <c r="N56" s="84">
        <f t="shared" si="2"/>
        <v>0</v>
      </c>
      <c r="O56" s="85" t="str">
        <f t="shared" si="30"/>
        <v/>
      </c>
      <c r="Q56" s="157"/>
      <c r="R56" s="227"/>
      <c r="S56" s="151"/>
      <c r="T56" s="87"/>
      <c r="U56" s="89"/>
      <c r="V56" s="90"/>
      <c r="W56" s="69"/>
      <c r="X56" s="157"/>
      <c r="Y56" s="227"/>
      <c r="Z56" s="151"/>
      <c r="AA56" s="87"/>
      <c r="AB56" s="89"/>
      <c r="AC56" s="90"/>
      <c r="AD56" s="69"/>
      <c r="AE56" s="157"/>
      <c r="AF56" s="227"/>
      <c r="AG56" s="151"/>
      <c r="AH56" s="87"/>
      <c r="AI56" s="89"/>
      <c r="AJ56" s="90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</row>
    <row r="57" spans="1:49" x14ac:dyDescent="0.25">
      <c r="A57" s="1"/>
      <c r="B57" s="271" t="str">
        <f>IF(Rates!D4=$A$55,Rates!B4," ")</f>
        <v>TOU - On Peak</v>
      </c>
      <c r="C57" s="78"/>
      <c r="D57" s="271" t="str">
        <f>IF(Rates!D4=$A$55,Rates!E4," ")</f>
        <v>kWh</v>
      </c>
      <c r="E57" s="79"/>
      <c r="F57" s="235">
        <f>IF(Rates!$J$1="BRT 2018",Rates!J4," ")</f>
        <v>0.13200000000000001</v>
      </c>
      <c r="G57" s="226">
        <f>IF($G$58=0,0.18*($F$19*(1+$F$73)),0)</f>
        <v>0</v>
      </c>
      <c r="H57" s="148">
        <f t="shared" si="27"/>
        <v>0</v>
      </c>
      <c r="I57" s="87"/>
      <c r="J57" s="147">
        <f t="shared" si="33"/>
        <v>0.13200000000000001</v>
      </c>
      <c r="K57" s="226">
        <f>IF($K$58=0,0.18*$F$19,0)</f>
        <v>0</v>
      </c>
      <c r="L57" s="148">
        <f t="shared" si="29"/>
        <v>0</v>
      </c>
      <c r="M57" s="87"/>
      <c r="N57" s="84">
        <f t="shared" si="2"/>
        <v>0</v>
      </c>
      <c r="O57" s="85" t="str">
        <f t="shared" si="30"/>
        <v/>
      </c>
      <c r="Q57" s="157"/>
      <c r="R57" s="227"/>
      <c r="S57" s="151"/>
      <c r="T57" s="87"/>
      <c r="U57" s="89"/>
      <c r="V57" s="90"/>
      <c r="W57" s="69"/>
      <c r="X57" s="157"/>
      <c r="Y57" s="227"/>
      <c r="Z57" s="151"/>
      <c r="AA57" s="87"/>
      <c r="AB57" s="89"/>
      <c r="AC57" s="90"/>
      <c r="AD57" s="69"/>
      <c r="AE57" s="157"/>
      <c r="AF57" s="227"/>
      <c r="AG57" s="151"/>
      <c r="AH57" s="87"/>
      <c r="AI57" s="89"/>
      <c r="AJ57" s="90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</row>
    <row r="58" spans="1:49" x14ac:dyDescent="0.25">
      <c r="A58" s="1"/>
      <c r="B58" s="271" t="str">
        <f>IF(Rates!D5=$A$55,Rates!B5," ")</f>
        <v>Commodity</v>
      </c>
      <c r="C58" s="160"/>
      <c r="D58" s="271" t="str">
        <f>IF(Rates!D5=$A$55,Rates!E5," ")</f>
        <v>kWh</v>
      </c>
      <c r="E58" s="161"/>
      <c r="F58" s="235">
        <f>IF(Rates!$J$1="BRT 2018",Rates!J5," ")</f>
        <v>1.8855833333333332E-2</v>
      </c>
      <c r="G58" s="225">
        <f>$F$19*(1+$F$73)</f>
        <v>51949.999999999993</v>
      </c>
      <c r="H58" s="148">
        <f t="shared" si="27"/>
        <v>979.5605416666665</v>
      </c>
      <c r="I58" s="166"/>
      <c r="J58" s="147">
        <f t="shared" si="33"/>
        <v>1.8855833333333332E-2</v>
      </c>
      <c r="K58" s="225">
        <f>$F$19*(1+$J$73)</f>
        <v>51018.890172229338</v>
      </c>
      <c r="L58" s="148">
        <f t="shared" si="29"/>
        <v>962.00368993919426</v>
      </c>
      <c r="M58" s="166"/>
      <c r="N58" s="84">
        <f t="shared" si="2"/>
        <v>-17.556851727472235</v>
      </c>
      <c r="O58" s="85">
        <f t="shared" si="30"/>
        <v>-1.7923192064882739E-2</v>
      </c>
      <c r="Q58" s="157"/>
      <c r="R58" s="227"/>
      <c r="S58" s="151"/>
      <c r="T58" s="166"/>
      <c r="U58" s="89"/>
      <c r="V58" s="90"/>
      <c r="W58" s="69"/>
      <c r="X58" s="157"/>
      <c r="Y58" s="227"/>
      <c r="Z58" s="151"/>
      <c r="AA58" s="166"/>
      <c r="AB58" s="89"/>
      <c r="AC58" s="90"/>
      <c r="AD58" s="69"/>
      <c r="AE58" s="157"/>
      <c r="AF58" s="227"/>
      <c r="AG58" s="151"/>
      <c r="AH58" s="166"/>
      <c r="AI58" s="89"/>
      <c r="AJ58" s="90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</row>
    <row r="59" spans="1:49" ht="15.75" thickBot="1" x14ac:dyDescent="0.3">
      <c r="A59" s="159"/>
      <c r="B59" s="271" t="str">
        <f>IF(Rates!D6=$A$55,Rates!B6," ")</f>
        <v>Global Adjustment</v>
      </c>
      <c r="C59" s="160"/>
      <c r="D59" s="271" t="str">
        <f>IF(Rates!D6=$A$55,Rates!E6," ")</f>
        <v>kWh</v>
      </c>
      <c r="E59" s="161"/>
      <c r="F59" s="235">
        <f>IF(Rates!$J$1="BRT 2018",Rates!J6," ")</f>
        <v>0.10303000000000001</v>
      </c>
      <c r="G59" s="225">
        <f>$F$19*(1+$F$73)</f>
        <v>51949.999999999993</v>
      </c>
      <c r="H59" s="148">
        <f t="shared" si="27"/>
        <v>5352.4084999999995</v>
      </c>
      <c r="I59" s="166"/>
      <c r="J59" s="169">
        <f t="shared" si="33"/>
        <v>0.10303000000000001</v>
      </c>
      <c r="K59" s="225">
        <f>$F$19*(1+$J$73)</f>
        <v>51018.890172229338</v>
      </c>
      <c r="L59" s="148">
        <f t="shared" si="29"/>
        <v>5256.4762544447894</v>
      </c>
      <c r="M59" s="166"/>
      <c r="N59" s="84">
        <f t="shared" si="2"/>
        <v>-95.932245555210102</v>
      </c>
      <c r="O59" s="85">
        <f t="shared" si="30"/>
        <v>-1.7923192064882586E-2</v>
      </c>
      <c r="Q59" s="157"/>
      <c r="R59" s="227"/>
      <c r="S59" s="151"/>
      <c r="T59" s="166"/>
      <c r="U59" s="89"/>
      <c r="V59" s="90"/>
      <c r="W59" s="69"/>
      <c r="X59" s="157"/>
      <c r="Y59" s="227"/>
      <c r="Z59" s="151"/>
      <c r="AA59" s="166"/>
      <c r="AB59" s="89"/>
      <c r="AC59" s="90"/>
      <c r="AD59" s="69"/>
      <c r="AE59" s="157"/>
      <c r="AF59" s="227"/>
      <c r="AG59" s="151"/>
      <c r="AH59" s="166"/>
      <c r="AI59" s="89"/>
      <c r="AJ59" s="90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</row>
    <row r="60" spans="1:49" ht="15.75" thickBot="1" x14ac:dyDescent="0.3">
      <c r="A60" s="159"/>
      <c r="B60" s="211"/>
      <c r="C60" s="212"/>
      <c r="D60" s="213"/>
      <c r="E60" s="212"/>
      <c r="F60" s="266"/>
      <c r="G60" s="214"/>
      <c r="H60" s="267"/>
      <c r="I60" s="87"/>
      <c r="J60" s="266"/>
      <c r="K60" s="216"/>
      <c r="L60" s="267"/>
      <c r="M60" s="87"/>
      <c r="N60" s="217"/>
      <c r="O60" s="205"/>
      <c r="Q60" s="157"/>
      <c r="R60" s="120"/>
      <c r="S60" s="151"/>
      <c r="T60" s="87"/>
      <c r="U60" s="89"/>
      <c r="V60" s="174"/>
      <c r="W60" s="69"/>
      <c r="X60" s="157"/>
      <c r="Y60" s="120"/>
      <c r="Z60" s="151"/>
      <c r="AA60" s="87"/>
      <c r="AB60" s="89"/>
      <c r="AC60" s="174"/>
      <c r="AD60" s="69"/>
      <c r="AE60" s="157"/>
      <c r="AF60" s="120"/>
      <c r="AG60" s="151"/>
      <c r="AH60" s="87"/>
      <c r="AI60" s="89"/>
      <c r="AJ60" s="174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</row>
    <row r="61" spans="1:49" x14ac:dyDescent="0.25">
      <c r="A61" s="159"/>
      <c r="B61" s="175" t="s">
        <v>97</v>
      </c>
      <c r="C61" s="78"/>
      <c r="D61" s="78"/>
      <c r="E61" s="78"/>
      <c r="F61" s="176"/>
      <c r="G61" s="177"/>
      <c r="H61" s="179">
        <f>SUM(H50:H54,H49,H58,,H59,)</f>
        <v>7849.352566137175</v>
      </c>
      <c r="I61" s="146"/>
      <c r="J61" s="178"/>
      <c r="K61" s="178"/>
      <c r="L61" s="179">
        <f>SUM(L50:L54,L49,L58,,L59,)</f>
        <v>7241.6357546179024</v>
      </c>
      <c r="M61" s="146"/>
      <c r="N61" s="179">
        <f>L61-H61</f>
        <v>-607.7168115192726</v>
      </c>
      <c r="O61" s="180">
        <f t="shared" si="30"/>
        <v>-7.7422539808062449E-2</v>
      </c>
      <c r="Q61" s="181"/>
      <c r="R61" s="181"/>
      <c r="S61" s="121"/>
      <c r="T61" s="146"/>
      <c r="U61" s="89"/>
      <c r="V61" s="90"/>
      <c r="W61" s="69"/>
      <c r="X61" s="181"/>
      <c r="Y61" s="181"/>
      <c r="Z61" s="121"/>
      <c r="AA61" s="146"/>
      <c r="AB61" s="89"/>
      <c r="AC61" s="90"/>
      <c r="AD61" s="69"/>
      <c r="AE61" s="181"/>
      <c r="AF61" s="181"/>
      <c r="AG61" s="121"/>
      <c r="AH61" s="146"/>
      <c r="AI61" s="89"/>
      <c r="AJ61" s="90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</row>
    <row r="62" spans="1:49" x14ac:dyDescent="0.25">
      <c r="A62" s="159"/>
      <c r="B62" s="182" t="s">
        <v>9</v>
      </c>
      <c r="C62" s="78"/>
      <c r="D62" s="78"/>
      <c r="E62" s="78"/>
      <c r="F62" s="183">
        <v>0.13</v>
      </c>
      <c r="G62" s="87"/>
      <c r="H62" s="188">
        <f>H61*F62</f>
        <v>1020.4158335978328</v>
      </c>
      <c r="I62" s="187"/>
      <c r="J62" s="185">
        <v>0.13</v>
      </c>
      <c r="K62" s="184"/>
      <c r="L62" s="188">
        <f>L61*J62</f>
        <v>941.41264810032737</v>
      </c>
      <c r="M62" s="187"/>
      <c r="N62" s="188">
        <f>L62-H62</f>
        <v>-79.003185497505456</v>
      </c>
      <c r="O62" s="85">
        <f t="shared" si="30"/>
        <v>-7.7422539808062463E-2</v>
      </c>
      <c r="Q62" s="189"/>
      <c r="R62" s="187"/>
      <c r="S62" s="190"/>
      <c r="T62" s="187"/>
      <c r="U62" s="89"/>
      <c r="V62" s="90"/>
      <c r="W62" s="69"/>
      <c r="X62" s="189"/>
      <c r="Y62" s="187"/>
      <c r="Z62" s="190"/>
      <c r="AA62" s="187"/>
      <c r="AB62" s="89"/>
      <c r="AC62" s="90"/>
      <c r="AD62" s="69"/>
      <c r="AE62" s="189"/>
      <c r="AF62" s="187"/>
      <c r="AG62" s="190"/>
      <c r="AH62" s="187"/>
      <c r="AI62" s="89"/>
      <c r="AJ62" s="90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</row>
    <row r="63" spans="1:49" ht="15.75" thickBot="1" x14ac:dyDescent="0.3">
      <c r="A63" s="1"/>
      <c r="B63" s="515" t="s">
        <v>98</v>
      </c>
      <c r="C63" s="515"/>
      <c r="D63" s="515"/>
      <c r="E63" s="192"/>
      <c r="F63" s="218"/>
      <c r="G63" s="219"/>
      <c r="H63" s="222">
        <f>SUM(H61:H62)</f>
        <v>8869.7683997350086</v>
      </c>
      <c r="I63" s="146"/>
      <c r="J63" s="220"/>
      <c r="K63" s="220"/>
      <c r="L63" s="222">
        <f>SUM(L61:L62)</f>
        <v>8183.0484027182301</v>
      </c>
      <c r="M63" s="146"/>
      <c r="N63" s="222">
        <f>L63-H63</f>
        <v>-686.71999701677851</v>
      </c>
      <c r="O63" s="197">
        <f t="shared" si="30"/>
        <v>-7.7422539808062504E-2</v>
      </c>
      <c r="Q63" s="146"/>
      <c r="R63" s="146"/>
      <c r="S63" s="121"/>
      <c r="T63" s="146"/>
      <c r="U63" s="121"/>
      <c r="V63" s="223"/>
      <c r="W63" s="69"/>
      <c r="X63" s="146"/>
      <c r="Y63" s="146"/>
      <c r="Z63" s="121"/>
      <c r="AA63" s="146"/>
      <c r="AB63" s="121"/>
      <c r="AC63" s="223"/>
      <c r="AD63" s="69"/>
      <c r="AE63" s="146"/>
      <c r="AF63" s="146"/>
      <c r="AG63" s="121"/>
      <c r="AH63" s="146"/>
      <c r="AI63" s="121"/>
      <c r="AJ63" s="223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</row>
    <row r="64" spans="1:49" ht="15.75" thickBot="1" x14ac:dyDescent="0.3">
      <c r="A64" s="1"/>
      <c r="B64" s="198"/>
      <c r="C64" s="199"/>
      <c r="D64" s="200"/>
      <c r="E64" s="199"/>
      <c r="F64" s="266"/>
      <c r="G64" s="201"/>
      <c r="H64" s="267"/>
      <c r="I64" s="166"/>
      <c r="J64" s="266"/>
      <c r="K64" s="203"/>
      <c r="L64" s="267"/>
      <c r="M64" s="166"/>
      <c r="N64" s="204"/>
      <c r="O64" s="205"/>
      <c r="Q64" s="157"/>
      <c r="R64" s="206"/>
      <c r="S64" s="151"/>
      <c r="T64" s="166"/>
      <c r="U64" s="207"/>
      <c r="V64" s="174"/>
      <c r="W64" s="69"/>
      <c r="X64" s="157"/>
      <c r="Y64" s="206"/>
      <c r="Z64" s="151"/>
      <c r="AA64" s="166"/>
      <c r="AB64" s="207"/>
      <c r="AC64" s="174"/>
      <c r="AD64" s="69"/>
      <c r="AE64" s="157"/>
      <c r="AF64" s="206"/>
      <c r="AG64" s="151"/>
      <c r="AH64" s="166"/>
      <c r="AI64" s="207"/>
      <c r="AJ64" s="174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</row>
    <row r="65" spans="1:49" x14ac:dyDescent="0.25">
      <c r="A65" s="1"/>
      <c r="B65" s="236" t="s">
        <v>99</v>
      </c>
      <c r="C65" s="160"/>
      <c r="D65" s="160"/>
      <c r="E65" s="160"/>
      <c r="F65" s="237"/>
      <c r="G65" s="238"/>
      <c r="H65" s="241">
        <f>IF($G$55&gt;0,SUM(H49,H50:H57),0)</f>
        <v>0</v>
      </c>
      <c r="I65" s="240"/>
      <c r="J65" s="239"/>
      <c r="K65" s="239"/>
      <c r="L65" s="241">
        <f>IF($K$55&gt;0,SUM(L49,L50:L57),0)</f>
        <v>0</v>
      </c>
      <c r="M65" s="240"/>
      <c r="N65" s="241">
        <f t="shared" ref="N65:N70" si="34">L65-H65</f>
        <v>0</v>
      </c>
      <c r="O65" s="180" t="str">
        <f t="shared" si="30"/>
        <v/>
      </c>
      <c r="Q65" s="242"/>
      <c r="R65" s="242"/>
      <c r="S65" s="243"/>
      <c r="T65" s="240"/>
      <c r="U65" s="89"/>
      <c r="V65" s="90"/>
      <c r="W65" s="69"/>
      <c r="X65" s="242"/>
      <c r="Y65" s="242"/>
      <c r="Z65" s="243"/>
      <c r="AA65" s="240"/>
      <c r="AB65" s="89"/>
      <c r="AC65" s="90"/>
      <c r="AD65" s="69"/>
      <c r="AE65" s="242"/>
      <c r="AF65" s="242"/>
      <c r="AG65" s="243"/>
      <c r="AH65" s="240"/>
      <c r="AI65" s="89"/>
      <c r="AJ65" s="90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</row>
    <row r="66" spans="1:49" x14ac:dyDescent="0.25">
      <c r="A66" s="1"/>
      <c r="B66" s="244" t="s">
        <v>9</v>
      </c>
      <c r="C66" s="160"/>
      <c r="D66" s="160"/>
      <c r="E66" s="160"/>
      <c r="F66" s="245">
        <v>0.13</v>
      </c>
      <c r="G66" s="238"/>
      <c r="H66" s="250">
        <f>$H$65*F66</f>
        <v>0</v>
      </c>
      <c r="I66" s="249"/>
      <c r="J66" s="247">
        <v>0.13</v>
      </c>
      <c r="K66" s="248"/>
      <c r="L66" s="250">
        <f>$L$65*J66</f>
        <v>0</v>
      </c>
      <c r="M66" s="249"/>
      <c r="N66" s="250">
        <f t="shared" si="34"/>
        <v>0</v>
      </c>
      <c r="O66" s="85" t="str">
        <f t="shared" si="30"/>
        <v/>
      </c>
      <c r="Q66" s="251"/>
      <c r="R66" s="252"/>
      <c r="S66" s="253"/>
      <c r="T66" s="249"/>
      <c r="U66" s="89"/>
      <c r="V66" s="90"/>
      <c r="W66" s="69"/>
      <c r="X66" s="251"/>
      <c r="Y66" s="252"/>
      <c r="Z66" s="253"/>
      <c r="AA66" s="249"/>
      <c r="AB66" s="89"/>
      <c r="AC66" s="90"/>
      <c r="AD66" s="69"/>
      <c r="AE66" s="251"/>
      <c r="AF66" s="252"/>
      <c r="AG66" s="253"/>
      <c r="AH66" s="249"/>
      <c r="AI66" s="89"/>
      <c r="AJ66" s="90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</row>
    <row r="67" spans="1:49" x14ac:dyDescent="0.25">
      <c r="A67" s="1"/>
      <c r="B67" s="182" t="s">
        <v>106</v>
      </c>
      <c r="C67" s="78"/>
      <c r="D67" s="78"/>
      <c r="E67" s="78"/>
      <c r="F67" s="183">
        <v>-0.05</v>
      </c>
      <c r="G67" s="87"/>
      <c r="H67" s="188">
        <f>$H$65*F67</f>
        <v>0</v>
      </c>
      <c r="I67" s="187"/>
      <c r="J67" s="183">
        <v>-0.05</v>
      </c>
      <c r="K67" s="184"/>
      <c r="L67" s="188">
        <f>$L$65*J67</f>
        <v>0</v>
      </c>
      <c r="M67" s="187"/>
      <c r="N67" s="188">
        <f t="shared" si="34"/>
        <v>0</v>
      </c>
      <c r="O67" s="85" t="str">
        <f t="shared" si="30"/>
        <v/>
      </c>
      <c r="Q67" s="189"/>
      <c r="R67" s="187"/>
      <c r="S67" s="190"/>
      <c r="T67" s="187"/>
      <c r="U67" s="89"/>
      <c r="V67" s="90"/>
      <c r="W67" s="69"/>
      <c r="X67" s="189"/>
      <c r="Y67" s="187"/>
      <c r="Z67" s="253"/>
      <c r="AA67" s="249"/>
      <c r="AB67" s="89"/>
      <c r="AC67" s="90"/>
      <c r="AD67" s="69"/>
      <c r="AE67" s="251"/>
      <c r="AF67" s="252"/>
      <c r="AG67" s="253"/>
      <c r="AH67" s="249"/>
      <c r="AI67" s="89"/>
      <c r="AJ67" s="90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</row>
    <row r="68" spans="1:49" x14ac:dyDescent="0.25">
      <c r="A68" s="159"/>
      <c r="B68" s="254" t="s">
        <v>100</v>
      </c>
      <c r="C68" s="160"/>
      <c r="D68" s="160"/>
      <c r="E68" s="160"/>
      <c r="F68" s="255"/>
      <c r="G68" s="166"/>
      <c r="H68" s="250">
        <f>SUM(H65:H67)</f>
        <v>0</v>
      </c>
      <c r="I68" s="249"/>
      <c r="J68" s="246"/>
      <c r="K68" s="246"/>
      <c r="L68" s="250">
        <f>SUM(L65:L67)</f>
        <v>0</v>
      </c>
      <c r="M68" s="249"/>
      <c r="N68" s="250">
        <f t="shared" si="34"/>
        <v>0</v>
      </c>
      <c r="O68" s="85" t="str">
        <f t="shared" si="30"/>
        <v/>
      </c>
      <c r="Q68" s="249"/>
      <c r="R68" s="249"/>
      <c r="S68" s="253"/>
      <c r="T68" s="249"/>
      <c r="U68" s="89"/>
      <c r="V68" s="90"/>
      <c r="W68" s="69"/>
      <c r="X68" s="249"/>
      <c r="Y68" s="249"/>
      <c r="Z68" s="253"/>
      <c r="AA68" s="249"/>
      <c r="AB68" s="89"/>
      <c r="AC68" s="90"/>
      <c r="AD68" s="69"/>
      <c r="AE68" s="249"/>
      <c r="AF68" s="249"/>
      <c r="AG68" s="253"/>
      <c r="AH68" s="249"/>
      <c r="AI68" s="89"/>
      <c r="AJ68" s="90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</row>
    <row r="69" spans="1:49" x14ac:dyDescent="0.25">
      <c r="A69" s="159"/>
      <c r="B69" s="516" t="s">
        <v>101</v>
      </c>
      <c r="C69" s="516"/>
      <c r="D69" s="516"/>
      <c r="E69" s="160"/>
      <c r="F69" s="255"/>
      <c r="G69" s="166"/>
      <c r="H69" s="256">
        <f>ROUND(-H68*0%,2)</f>
        <v>0</v>
      </c>
      <c r="I69" s="249"/>
      <c r="J69" s="246"/>
      <c r="K69" s="246"/>
      <c r="L69" s="256">
        <f>ROUND(-L68*0%,2)</f>
        <v>0</v>
      </c>
      <c r="M69" s="249"/>
      <c r="N69" s="256">
        <f t="shared" si="34"/>
        <v>0</v>
      </c>
      <c r="O69" s="257" t="str">
        <f>IF(OR(H69=0,L69=0),"",(N69/H69))</f>
        <v/>
      </c>
      <c r="Q69" s="249"/>
      <c r="R69" s="249"/>
      <c r="S69" s="258"/>
      <c r="T69" s="249"/>
      <c r="U69" s="259"/>
      <c r="V69" s="90"/>
      <c r="W69" s="69"/>
      <c r="X69" s="249"/>
      <c r="Y69" s="249"/>
      <c r="Z69" s="258"/>
      <c r="AA69" s="249"/>
      <c r="AB69" s="259"/>
      <c r="AC69" s="90"/>
      <c r="AD69" s="69"/>
      <c r="AE69" s="249"/>
      <c r="AF69" s="249"/>
      <c r="AG69" s="258"/>
      <c r="AH69" s="249"/>
      <c r="AI69" s="259"/>
      <c r="AJ69" s="90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</row>
    <row r="70" spans="1:49" ht="15.75" thickBot="1" x14ac:dyDescent="0.3">
      <c r="A70" s="159"/>
      <c r="B70" s="513" t="s">
        <v>102</v>
      </c>
      <c r="C70" s="513"/>
      <c r="D70" s="513"/>
      <c r="E70" s="260"/>
      <c r="F70" s="261"/>
      <c r="G70" s="262"/>
      <c r="H70" s="265">
        <f>SUM(H68:H69)</f>
        <v>0</v>
      </c>
      <c r="I70" s="240"/>
      <c r="J70" s="263"/>
      <c r="K70" s="263"/>
      <c r="L70" s="265">
        <f>SUM(L68:L69)</f>
        <v>0</v>
      </c>
      <c r="M70" s="240"/>
      <c r="N70" s="265">
        <f t="shared" si="34"/>
        <v>0</v>
      </c>
      <c r="O70" s="197" t="str">
        <f t="shared" si="30"/>
        <v/>
      </c>
      <c r="Q70" s="240"/>
      <c r="R70" s="240"/>
      <c r="S70" s="243"/>
      <c r="T70" s="240"/>
      <c r="U70" s="121"/>
      <c r="V70" s="223"/>
      <c r="W70" s="69"/>
      <c r="X70" s="240"/>
      <c r="Y70" s="240"/>
      <c r="Z70" s="243"/>
      <c r="AA70" s="240"/>
      <c r="AB70" s="121"/>
      <c r="AC70" s="223"/>
      <c r="AD70" s="69"/>
      <c r="AE70" s="240"/>
      <c r="AF70" s="240"/>
      <c r="AG70" s="243"/>
      <c r="AH70" s="240"/>
      <c r="AI70" s="121"/>
      <c r="AJ70" s="223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</row>
    <row r="71" spans="1:49" ht="15.75" thickBot="1" x14ac:dyDescent="0.3">
      <c r="A71" s="159"/>
      <c r="B71" s="198"/>
      <c r="C71" s="199"/>
      <c r="D71" s="200"/>
      <c r="E71" s="199"/>
      <c r="F71" s="390"/>
      <c r="G71" s="400"/>
      <c r="H71" s="401"/>
      <c r="I71" s="166"/>
      <c r="J71" s="390"/>
      <c r="K71" s="391"/>
      <c r="L71" s="392"/>
      <c r="M71" s="166"/>
      <c r="N71" s="268"/>
      <c r="O71" s="205"/>
      <c r="Q71" s="157"/>
      <c r="R71" s="206"/>
      <c r="S71" s="151"/>
      <c r="T71" s="166"/>
      <c r="U71" s="207"/>
      <c r="V71" s="174"/>
      <c r="W71" s="69"/>
      <c r="X71" s="157"/>
      <c r="Y71" s="206"/>
      <c r="Z71" s="151"/>
      <c r="AA71" s="166"/>
      <c r="AB71" s="207"/>
      <c r="AC71" s="174"/>
      <c r="AD71" s="69"/>
      <c r="AE71" s="157"/>
      <c r="AF71" s="206"/>
      <c r="AG71" s="151"/>
      <c r="AH71" s="166"/>
      <c r="AI71" s="207"/>
      <c r="AJ71" s="174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</row>
    <row r="72" spans="1:49" x14ac:dyDescent="0.25">
      <c r="A72" s="159"/>
      <c r="B72" s="1"/>
      <c r="C72" s="1"/>
      <c r="D72" s="1"/>
      <c r="E72" s="1"/>
      <c r="F72" s="1"/>
      <c r="G72" s="1"/>
      <c r="H72" s="67"/>
      <c r="I72" s="1"/>
      <c r="J72" s="1"/>
      <c r="K72" s="1"/>
      <c r="L72" s="67"/>
      <c r="M72" s="1"/>
      <c r="N72" s="1"/>
      <c r="O72" s="1"/>
      <c r="Q72" s="2"/>
      <c r="R72" s="2"/>
      <c r="S72" s="208"/>
      <c r="T72" s="2"/>
      <c r="U72" s="2"/>
      <c r="V72" s="2"/>
      <c r="W72" s="69"/>
      <c r="X72" s="2"/>
      <c r="Y72" s="2"/>
      <c r="Z72" s="208"/>
      <c r="AA72" s="2"/>
      <c r="AB72" s="2"/>
      <c r="AC72" s="2"/>
      <c r="AD72" s="69"/>
      <c r="AE72" s="2"/>
      <c r="AF72" s="2"/>
      <c r="AG72" s="208"/>
      <c r="AH72" s="2"/>
      <c r="AI72" s="2"/>
      <c r="AJ72" s="2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</row>
    <row r="73" spans="1:49" x14ac:dyDescent="0.25">
      <c r="A73" s="159"/>
      <c r="B73" s="65" t="s">
        <v>10</v>
      </c>
      <c r="C73" s="1"/>
      <c r="D73" s="1"/>
      <c r="E73" s="1"/>
      <c r="F73" s="209">
        <f>Rates!$S$9-1</f>
        <v>3.8999999999999924E-2</v>
      </c>
      <c r="G73" s="1"/>
      <c r="H73" s="1"/>
      <c r="I73" s="1"/>
      <c r="J73" s="209">
        <f>Rates!$T$9-1</f>
        <v>2.0377803444586728E-2</v>
      </c>
      <c r="K73" s="1"/>
      <c r="L73" s="67"/>
      <c r="M73" s="1"/>
      <c r="N73" s="1"/>
      <c r="O73" s="1"/>
      <c r="Q73" s="210"/>
      <c r="R73" s="2"/>
      <c r="S73" s="2"/>
      <c r="T73" s="2"/>
      <c r="U73" s="2"/>
      <c r="V73" s="2"/>
      <c r="W73" s="69"/>
      <c r="X73" s="210"/>
      <c r="Y73" s="2"/>
      <c r="Z73" s="2"/>
      <c r="AA73" s="2"/>
      <c r="AB73" s="2"/>
      <c r="AC73" s="2"/>
      <c r="AD73" s="69"/>
      <c r="AE73" s="210"/>
      <c r="AF73" s="2"/>
      <c r="AG73" s="2"/>
      <c r="AH73" s="2"/>
      <c r="AI73" s="2"/>
      <c r="AJ73" s="2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</row>
    <row r="74" spans="1:49" x14ac:dyDescent="0.25">
      <c r="A74" s="159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</row>
    <row r="75" spans="1:4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49" x14ac:dyDescent="0.25">
      <c r="A78" s="1" t="s">
        <v>84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49" x14ac:dyDescent="0.25">
      <c r="A79" s="1" t="s">
        <v>85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4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5">
      <c r="A81" s="64" t="s">
        <v>86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25">
      <c r="A82" s="64" t="s">
        <v>87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25">
      <c r="A84" s="1" t="s">
        <v>88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25">
      <c r="A85" s="1" t="s">
        <v>89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25">
      <c r="A86" s="1" t="s">
        <v>90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25">
      <c r="A87" s="1" t="s">
        <v>91</v>
      </c>
      <c r="B87" s="1" t="s">
        <v>93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25">
      <c r="A88" s="1" t="s">
        <v>92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</sheetData>
  <mergeCells count="24">
    <mergeCell ref="AI20:AJ20"/>
    <mergeCell ref="A3:K3"/>
    <mergeCell ref="B10:O10"/>
    <mergeCell ref="B11:O11"/>
    <mergeCell ref="D14:O14"/>
    <mergeCell ref="F20:H20"/>
    <mergeCell ref="J20:L20"/>
    <mergeCell ref="N20:O20"/>
    <mergeCell ref="Q20:S20"/>
    <mergeCell ref="U20:V20"/>
    <mergeCell ref="X20:Z20"/>
    <mergeCell ref="AB20:AC20"/>
    <mergeCell ref="AE20:AG20"/>
    <mergeCell ref="AI21:AI22"/>
    <mergeCell ref="AJ21:AJ22"/>
    <mergeCell ref="B63:D63"/>
    <mergeCell ref="B69:D69"/>
    <mergeCell ref="B70:D70"/>
    <mergeCell ref="N21:N22"/>
    <mergeCell ref="O21:O22"/>
    <mergeCell ref="U21:U22"/>
    <mergeCell ref="V21:V22"/>
    <mergeCell ref="AB21:AB22"/>
    <mergeCell ref="AC21:AC22"/>
  </mergeCells>
  <dataValidations count="4">
    <dataValidation type="list" allowBlank="1" showInputMessage="1" showErrorMessage="1" sqref="D16">
      <formula1>"TOU, non-TOU"</formula1>
    </dataValidation>
    <dataValidation type="list" allowBlank="1" showInputMessage="1" showErrorMessage="1" prompt="Select Charge Unit - monthly, per kWh, per kW" sqref="D71 D60 D64">
      <formula1>"Monthly, per kWh, per kW"</formula1>
    </dataValidation>
    <dataValidation type="list" allowBlank="1" showInputMessage="1" showErrorMessage="1" sqref="E47:E48 E71 E64 E50:E60 E37:E45">
      <formula1>#REF!</formula1>
    </dataValidation>
    <dataValidation type="list" allowBlank="1" showInputMessage="1" showErrorMessage="1" sqref="E23:E35">
      <formula1>#REF!</formula1>
    </dataValidation>
  </dataValidations>
  <printOptions horizontalCentered="1"/>
  <pageMargins left="0.3" right="0.35" top="0.92" bottom="0.7" header="0.56999999999999995" footer="0.41"/>
  <pageSetup paperSize="256" scale="60" fitToHeight="0" orientation="landscape" r:id="rId1"/>
  <headerFooter>
    <oddFooter>&amp;C&amp;A</oddFooter>
  </headerFooter>
  <ignoredErrors>
    <ignoredError sqref="F73 J73 J23:J34 J37:J44 J50:J53 J47:J48 J56:J59 F23:F34 F37:F44 F47:F59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9027" r:id="rId4" name="Option Button 3">
              <controlPr defaultSize="0" autoFill="0" autoLine="0" autoPict="0">
                <anchor moveWithCells="1">
                  <from>
                    <xdr:col>9</xdr:col>
                    <xdr:colOff>361950</xdr:colOff>
                    <xdr:row>88</xdr:row>
                    <xdr:rowOff>0</xdr:rowOff>
                  </from>
                  <to>
                    <xdr:col>14</xdr:col>
                    <xdr:colOff>609600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28" r:id="rId5" name="Option Button 4">
              <controlPr defaultSize="0" autoFill="0" autoLine="0" autoPict="0">
                <anchor moveWithCells="1">
                  <from>
                    <xdr:col>6</xdr:col>
                    <xdr:colOff>381000</xdr:colOff>
                    <xdr:row>88</xdr:row>
                    <xdr:rowOff>0</xdr:rowOff>
                  </from>
                  <to>
                    <xdr:col>9</xdr:col>
                    <xdr:colOff>95250</xdr:colOff>
                    <xdr:row>89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29" r:id="rId6" name="Option Button 5">
              <controlPr defaultSize="0" autoFill="0" autoLine="0" autoPict="0">
                <anchor moveWithCells="1">
                  <from>
                    <xdr:col>9</xdr:col>
                    <xdr:colOff>361950</xdr:colOff>
                    <xdr:row>88</xdr:row>
                    <xdr:rowOff>0</xdr:rowOff>
                  </from>
                  <to>
                    <xdr:col>14</xdr:col>
                    <xdr:colOff>609600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0" r:id="rId7" name="Option Button 6">
              <controlPr defaultSize="0" autoFill="0" autoLine="0" autoPict="0">
                <anchor moveWithCells="1">
                  <from>
                    <xdr:col>6</xdr:col>
                    <xdr:colOff>381000</xdr:colOff>
                    <xdr:row>88</xdr:row>
                    <xdr:rowOff>0</xdr:rowOff>
                  </from>
                  <to>
                    <xdr:col>9</xdr:col>
                    <xdr:colOff>95250</xdr:colOff>
                    <xdr:row>89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1" r:id="rId8" name="Option Button 7">
              <controlPr defaultSize="0" autoFill="0" autoLine="0" autoPict="0">
                <anchor moveWithCells="1">
                  <from>
                    <xdr:col>9</xdr:col>
                    <xdr:colOff>361950</xdr:colOff>
                    <xdr:row>88</xdr:row>
                    <xdr:rowOff>0</xdr:rowOff>
                  </from>
                  <to>
                    <xdr:col>14</xdr:col>
                    <xdr:colOff>609600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2" r:id="rId9" name="Option Button 8">
              <controlPr defaultSize="0" autoFill="0" autoLine="0" autoPict="0">
                <anchor moveWithCells="1">
                  <from>
                    <xdr:col>6</xdr:col>
                    <xdr:colOff>381000</xdr:colOff>
                    <xdr:row>88</xdr:row>
                    <xdr:rowOff>0</xdr:rowOff>
                  </from>
                  <to>
                    <xdr:col>9</xdr:col>
                    <xdr:colOff>95250</xdr:colOff>
                    <xdr:row>89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3" r:id="rId10" name="Option Button 9">
              <controlPr defaultSize="0" autoFill="0" autoLine="0" autoPict="0">
                <anchor moveWithCells="1">
                  <from>
                    <xdr:col>9</xdr:col>
                    <xdr:colOff>361950</xdr:colOff>
                    <xdr:row>88</xdr:row>
                    <xdr:rowOff>0</xdr:rowOff>
                  </from>
                  <to>
                    <xdr:col>14</xdr:col>
                    <xdr:colOff>609600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4" r:id="rId11" name="Option Button 10">
              <controlPr defaultSize="0" autoFill="0" autoLine="0" autoPict="0">
                <anchor moveWithCells="1">
                  <from>
                    <xdr:col>6</xdr:col>
                    <xdr:colOff>381000</xdr:colOff>
                    <xdr:row>88</xdr:row>
                    <xdr:rowOff>0</xdr:rowOff>
                  </from>
                  <to>
                    <xdr:col>9</xdr:col>
                    <xdr:colOff>95250</xdr:colOff>
                    <xdr:row>89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5" r:id="rId12" name="Option Button 11">
              <controlPr defaultSize="0" autoFill="0" autoLine="0" autoPict="0">
                <anchor moveWithCells="1">
                  <from>
                    <xdr:col>9</xdr:col>
                    <xdr:colOff>361950</xdr:colOff>
                    <xdr:row>88</xdr:row>
                    <xdr:rowOff>0</xdr:rowOff>
                  </from>
                  <to>
                    <xdr:col>14</xdr:col>
                    <xdr:colOff>609600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6" r:id="rId13" name="Option Button 12">
              <controlPr defaultSize="0" autoFill="0" autoLine="0" autoPict="0">
                <anchor moveWithCells="1">
                  <from>
                    <xdr:col>6</xdr:col>
                    <xdr:colOff>381000</xdr:colOff>
                    <xdr:row>88</xdr:row>
                    <xdr:rowOff>0</xdr:rowOff>
                  </from>
                  <to>
                    <xdr:col>9</xdr:col>
                    <xdr:colOff>95250</xdr:colOff>
                    <xdr:row>89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H86"/>
  <sheetViews>
    <sheetView zoomScale="83" zoomScaleNormal="83" workbookViewId="0">
      <selection activeCell="B16" sqref="B16"/>
    </sheetView>
  </sheetViews>
  <sheetFormatPr defaultRowHeight="15" x14ac:dyDescent="0.25"/>
  <cols>
    <col min="1" max="1" width="60.7109375" bestFit="1" customWidth="1"/>
    <col min="2" max="2" width="17.28515625" bestFit="1" customWidth="1"/>
    <col min="3" max="3" width="15.7109375" bestFit="1" customWidth="1"/>
    <col min="4" max="4" width="13.42578125" bestFit="1" customWidth="1"/>
    <col min="5" max="5" width="15.28515625" bestFit="1" customWidth="1"/>
    <col min="6" max="6" width="13.42578125" bestFit="1" customWidth="1"/>
    <col min="7" max="7" width="17.140625" bestFit="1" customWidth="1"/>
    <col min="8" max="8" width="17.7109375" style="293" bestFit="1" customWidth="1"/>
  </cols>
  <sheetData>
    <row r="1" spans="1:8" s="330" customFormat="1" ht="45" x14ac:dyDescent="0.25">
      <c r="A1" s="328"/>
      <c r="B1" s="329" t="s">
        <v>147</v>
      </c>
      <c r="C1" s="329" t="s">
        <v>148</v>
      </c>
      <c r="D1" s="329" t="s">
        <v>149</v>
      </c>
      <c r="E1" s="329" t="s">
        <v>150</v>
      </c>
      <c r="F1" s="329" t="s">
        <v>174</v>
      </c>
      <c r="G1" s="329" t="s">
        <v>151</v>
      </c>
      <c r="H1" s="329" t="s">
        <v>152</v>
      </c>
    </row>
    <row r="2" spans="1:8" x14ac:dyDescent="0.25">
      <c r="A2" s="20" t="s">
        <v>130</v>
      </c>
      <c r="B2" s="287">
        <f>'Residential CND'!$H$36</f>
        <v>24.831489999999999</v>
      </c>
      <c r="C2" s="287">
        <f>'Residential CND'!$H$47-'Residential CND'!$H$36</f>
        <v>-1.6920049418712537</v>
      </c>
      <c r="D2" s="287">
        <f>'Residential CND'!$H$50-'Residential CND'!$H$47</f>
        <v>7.9837875000000018</v>
      </c>
      <c r="E2" s="287">
        <f>SUM('Residential CND'!$H$51:$H$54)</f>
        <v>3.2729875000000002</v>
      </c>
      <c r="F2" s="287">
        <f>SUM('Residential CND'!$H$55:$H$59)</f>
        <v>61.62</v>
      </c>
      <c r="G2" s="287">
        <f>'Residential CND'!$H$63+'Residential CND'!$H$64</f>
        <v>7.6813008046503004</v>
      </c>
      <c r="H2" s="291">
        <f>SUM(B2:G2)</f>
        <v>103.69756086277906</v>
      </c>
    </row>
    <row r="3" spans="1:8" x14ac:dyDescent="0.25">
      <c r="A3" s="20" t="s">
        <v>131</v>
      </c>
      <c r="B3" s="287">
        <f>'Residential BRT'!$H$36</f>
        <v>30.025000000000002</v>
      </c>
      <c r="C3" s="287">
        <f>'Residential BRT'!$H$47-'Residential BRT'!$H$36</f>
        <v>0.56475229030497687</v>
      </c>
      <c r="D3" s="287">
        <f>'Residential BRT'!$H$50-'Residential BRT'!$H$47</f>
        <v>7.3989750000000001</v>
      </c>
      <c r="E3" s="287">
        <f>SUM('Residential BRT'!$H$51:$H$54)</f>
        <v>3.3197875000000003</v>
      </c>
      <c r="F3" s="287">
        <f>SUM('Residential BRT'!$H$55:$H$59)</f>
        <v>61.62</v>
      </c>
      <c r="G3" s="287">
        <f>'Residential BRT'!$H$63+'Residential BRT'!$H$64</f>
        <v>8.2342811832243967</v>
      </c>
      <c r="H3" s="291">
        <f t="shared" ref="H3:H20" si="0">SUM(B3:G3)</f>
        <v>111.16279597352937</v>
      </c>
    </row>
    <row r="4" spans="1:8" x14ac:dyDescent="0.25">
      <c r="A4" s="20" t="s">
        <v>132</v>
      </c>
      <c r="B4" s="287">
        <f>'GS&lt;50 CND'!$H$36</f>
        <v>43.205379999999998</v>
      </c>
      <c r="C4" s="287">
        <f>'GS&lt;50 CND'!$H$47-'GS&lt;50 CND'!$H$36</f>
        <v>-5.3640628391971887</v>
      </c>
      <c r="D4" s="287">
        <f>'GS&lt;50 CND'!$H$50-'GS&lt;50 CND'!$H$47</f>
        <v>19.223099999999995</v>
      </c>
      <c r="E4" s="287">
        <f>SUM('GS&lt;50 CND'!$H$51:$H$54)</f>
        <v>8.311300000000001</v>
      </c>
      <c r="F4" s="287">
        <f>SUM('GS&lt;50 CND'!$H$56:$H$60)</f>
        <v>164.32</v>
      </c>
      <c r="G4" s="287">
        <f>'GS&lt;50 CND'!$H$64+'GS&lt;50 CND'!$H$65</f>
        <v>19.495657372864223</v>
      </c>
      <c r="H4" s="291">
        <f>SUM(B4:G4)</f>
        <v>249.19137453366704</v>
      </c>
    </row>
    <row r="5" spans="1:8" x14ac:dyDescent="0.25">
      <c r="A5" s="20" t="s">
        <v>133</v>
      </c>
      <c r="B5" s="287">
        <f>'GS&lt;50 BRT'!$H$36</f>
        <v>57.69</v>
      </c>
      <c r="C5" s="287">
        <f>'GS&lt;50 BRT'!$H$47-'GS&lt;50 BRT'!$H$36</f>
        <v>0.7349590625050908</v>
      </c>
      <c r="D5" s="287">
        <f>'GS&lt;50 BRT'!$H$50-'GS&lt;50 BRT'!$H$47</f>
        <v>17.631599999999999</v>
      </c>
      <c r="E5" s="287">
        <f>SUM('GS&lt;50 BRT'!$H$51:$H$54)</f>
        <v>8.4360999999999997</v>
      </c>
      <c r="F5" s="287">
        <f>SUM('GS&lt;50 BRT'!$H$56:$H$60)</f>
        <v>164.32</v>
      </c>
      <c r="G5" s="287">
        <f>'GS&lt;50 BRT'!$H$64+'GS&lt;50 BRT'!$H$65</f>
        <v>21.025012725000408</v>
      </c>
      <c r="H5" s="291">
        <f t="shared" si="0"/>
        <v>269.83767178750549</v>
      </c>
    </row>
    <row r="6" spans="1:8" x14ac:dyDescent="0.25">
      <c r="A6" s="20" t="s">
        <v>134</v>
      </c>
      <c r="B6" s="287">
        <f>'GS 50-999 kW CND'!$H$36</f>
        <v>368.0488939999999</v>
      </c>
      <c r="C6" s="287">
        <f>'GS 50-999 kW CND'!$H$47-'GS 50-999 kW CND'!$H$36</f>
        <v>-43.44234820359344</v>
      </c>
      <c r="D6" s="287">
        <f>'GS 50-999 kW CND'!$H$52-'GS 50-999 kW CND'!$H$47</f>
        <v>350.46</v>
      </c>
      <c r="E6" s="287">
        <f>SUM('GS 50-999 kW CND'!$H$53:$H$57)</f>
        <v>220.863</v>
      </c>
      <c r="F6" s="287">
        <f>SUM('GS 50-999 kW CND'!$H$58:$H$62)</f>
        <v>2519.3801750000002</v>
      </c>
      <c r="G6" s="287">
        <f>'GS 50-999 kW CND'!$H$65</f>
        <v>443.99026370353289</v>
      </c>
      <c r="H6" s="291">
        <f t="shared" si="0"/>
        <v>3859.2999844999395</v>
      </c>
    </row>
    <row r="7" spans="1:8" x14ac:dyDescent="0.25">
      <c r="A7" s="20" t="s">
        <v>135</v>
      </c>
      <c r="B7" s="287">
        <f>'GS 50-999 kW BRT'!$H$36</f>
        <v>332.762</v>
      </c>
      <c r="C7" s="287">
        <f>'GS 50-999 kW BRT'!$H$47-'GS 50-999 kW BRT'!$H$36</f>
        <v>178.7678321566861</v>
      </c>
      <c r="D7" s="287">
        <f>'GS 50-999 kW BRT'!$H$52-'GS 50-999 kW BRT'!$H$47</f>
        <v>204.45600000000002</v>
      </c>
      <c r="E7" s="287">
        <f>SUM('GS 50-999 kW BRT'!$H$53:$H$57)</f>
        <v>222.11100000000002</v>
      </c>
      <c r="F7" s="287">
        <f>SUM('GS 50-999 kW BRT'!$H$58:$H$62)</f>
        <v>2558.3836416666672</v>
      </c>
      <c r="G7" s="287">
        <f>'GS 50-999 kW BRT'!$H$65</f>
        <v>454.54246159703592</v>
      </c>
      <c r="H7" s="291">
        <f t="shared" si="0"/>
        <v>3951.0229354203893</v>
      </c>
    </row>
    <row r="8" spans="1:8" x14ac:dyDescent="0.25">
      <c r="A8" s="20" t="s">
        <v>136</v>
      </c>
      <c r="B8" s="287">
        <f>'GS 1000-4999 CND'!$H$36</f>
        <v>8341.8267799999994</v>
      </c>
      <c r="C8" s="287">
        <f>'GS 1000-4999 CND'!$H$47-'GS 1000-4999 CND'!$H$36</f>
        <v>-2201.6416650805868</v>
      </c>
      <c r="D8" s="287">
        <f>'GS 1000-4999 CND'!$H$50-'GS 1000-4999 CND'!$H$47</f>
        <v>8998</v>
      </c>
      <c r="E8" s="287">
        <f>SUM('GS 1000-4999 CND'!$H$51:$H$55)</f>
        <v>8824.77</v>
      </c>
      <c r="F8" s="287">
        <f>SUM('GS 1000-4999 CND'!$H$56:$H$60)</f>
        <v>100775.20700000002</v>
      </c>
      <c r="G8" s="287">
        <f>'GS 1000-4999 CND'!$H$63</f>
        <v>16215.961074939527</v>
      </c>
      <c r="H8" s="291">
        <f t="shared" si="0"/>
        <v>140954.12318985898</v>
      </c>
    </row>
    <row r="9" spans="1:8" x14ac:dyDescent="0.25">
      <c r="A9" s="20" t="s">
        <v>146</v>
      </c>
      <c r="B9" s="287">
        <f>'GS 1000-4999 BRT'!$H$36</f>
        <v>7956.3799999999992</v>
      </c>
      <c r="C9" s="287">
        <f>'GS 1000-4999 BRT'!$H$47-'GS 1000-4999 BRT'!$H$36</f>
        <v>7852.2610718895357</v>
      </c>
      <c r="D9" s="287">
        <f>'GS 1000-4999 BRT'!$H$50-'GS 1000-4999 BRT'!$H$47</f>
        <v>7318.5999999999985</v>
      </c>
      <c r="E9" s="287">
        <f>SUM('GS 1000-4999 BRT'!$H$51:$H$55)</f>
        <v>8874.69</v>
      </c>
      <c r="F9" s="287">
        <f>SUM('GS 1000-4999 BRT'!$H$56:$H$60)</f>
        <v>102335.34566666669</v>
      </c>
      <c r="G9" s="287">
        <f>'GS 1000-4999 BRT'!$H$63</f>
        <v>17463.845976012308</v>
      </c>
      <c r="H9" s="291">
        <f t="shared" si="0"/>
        <v>151801.12271456851</v>
      </c>
    </row>
    <row r="10" spans="1:8" x14ac:dyDescent="0.25">
      <c r="A10" s="20" t="s">
        <v>137</v>
      </c>
      <c r="B10" s="287">
        <f>'LARGE CND'!$H$36</f>
        <v>48858.2016</v>
      </c>
      <c r="C10" s="287">
        <f>'LARGE CND'!$H$47-'LARGE CND'!$H$36</f>
        <v>-39898.142737681628</v>
      </c>
      <c r="D10" s="287">
        <f>'LARGE CND'!$H$50-'LARGE CND'!$H$47</f>
        <v>70408</v>
      </c>
      <c r="E10" s="287">
        <f>SUM('LARGE CND'!$H$51:$H$55)</f>
        <v>72056.08</v>
      </c>
      <c r="F10" s="287">
        <f>SUM('LARGE CND'!$H$56:$H$60)</f>
        <v>808066.50925</v>
      </c>
      <c r="G10" s="287">
        <f>'LARGE CND'!$H$63</f>
        <v>124733.78425460139</v>
      </c>
      <c r="H10" s="291">
        <f t="shared" si="0"/>
        <v>1084224.4323669197</v>
      </c>
    </row>
    <row r="11" spans="1:8" x14ac:dyDescent="0.25">
      <c r="A11" s="20" t="s">
        <v>177</v>
      </c>
      <c r="B11" s="287">
        <f>'EMB CND HON'!$H$36</f>
        <v>5296.1409071999997</v>
      </c>
      <c r="C11" s="287">
        <f>'EMB CND HON'!$H$47-'EMB CND HON'!$H$36</f>
        <v>3268.4608791544861</v>
      </c>
      <c r="D11" s="287">
        <f>'EMB CND HON'!$H$50-'EMB CND HON'!$H$47</f>
        <v>11326.887000000001</v>
      </c>
      <c r="E11" s="287">
        <f>SUM('EMB CND HON'!$H$51:$H$55)</f>
        <v>15190.710299999999</v>
      </c>
      <c r="F11" s="287">
        <f>SUM('EMB CND HON'!$H$56:$H$60)</f>
        <v>172404.70787583332</v>
      </c>
      <c r="G11" s="287">
        <f>'EMB CND HON'!$H$63</f>
        <v>26973.297905084415</v>
      </c>
      <c r="H11" s="291">
        <f t="shared" si="0"/>
        <v>234460.20486727223</v>
      </c>
    </row>
    <row r="12" spans="1:8" x14ac:dyDescent="0.25">
      <c r="A12" s="20" t="s">
        <v>140</v>
      </c>
      <c r="B12" s="287">
        <f>'EMB CND WNH'!$H$36</f>
        <v>15870.246191999999</v>
      </c>
      <c r="C12" s="287">
        <f>'EMB CND WNH'!$H$47-'EMB CND WNH'!$H$36</f>
        <v>-4461.2354376848707</v>
      </c>
      <c r="D12" s="287">
        <f>'EMB CND WNH'!$H$50-'EMB CND WNH'!$H$47</f>
        <v>36436.14</v>
      </c>
      <c r="E12" s="287">
        <f>SUM('EMB CND WNH'!$H$51:$H$55)</f>
        <v>0.25</v>
      </c>
      <c r="F12" s="287">
        <f>SUM('EMB CND WNH'!$H$56:$H$60)</f>
        <v>0</v>
      </c>
      <c r="G12" s="287">
        <f>'EMB CND WNH'!$H$63</f>
        <v>6219.9020980609675</v>
      </c>
      <c r="H12" s="291">
        <f t="shared" si="0"/>
        <v>54065.302852376088</v>
      </c>
    </row>
    <row r="13" spans="1:8" x14ac:dyDescent="0.25">
      <c r="A13" s="20" t="s">
        <v>178</v>
      </c>
      <c r="B13" s="287">
        <f>'EMB BRT HON 1'!$H$36</f>
        <v>9292.4779999999992</v>
      </c>
      <c r="C13" s="287">
        <f>'EMB BRT HON 1'!$H$47-'EMB BRT HON 1'!$H$36</f>
        <v>14355.945454110759</v>
      </c>
      <c r="D13" s="287">
        <f>'EMB BRT HON 1'!$H$50-'EMB BRT HON 1'!$H$47</f>
        <v>8562.7619999999988</v>
      </c>
      <c r="E13" s="287">
        <f>SUM('EMB BRT HON 1'!$H$51:$H$55)</f>
        <v>14421.215</v>
      </c>
      <c r="F13" s="287">
        <f>SUM('EMB BRT HON 1'!$H$56:$H$60)</f>
        <v>166294.93670833338</v>
      </c>
      <c r="G13" s="287">
        <f>'EMB BRT HON 1'!$H$63</f>
        <v>27680.553831117737</v>
      </c>
      <c r="H13" s="291">
        <f t="shared" si="0"/>
        <v>240607.89099356189</v>
      </c>
    </row>
    <row r="14" spans="1:8" x14ac:dyDescent="0.25">
      <c r="A14" s="20" t="s">
        <v>179</v>
      </c>
      <c r="B14" s="287">
        <f>'EMB BRT HON 2'!$H$36</f>
        <v>96.98</v>
      </c>
      <c r="C14" s="287">
        <f>'EMB BRT HON 2'!$H$47-'EMB BRT HON 2'!$H$36</f>
        <v>0</v>
      </c>
      <c r="D14" s="287">
        <f>'EMB BRT HON 2'!$H$50-'EMB BRT HON 2'!$H$47</f>
        <v>0</v>
      </c>
      <c r="E14" s="287">
        <f>SUM('EMB BRT HON 2'!$H$51:$H$55)</f>
        <v>22075.419500000004</v>
      </c>
      <c r="F14" s="287">
        <f>SUM('EMB BRT HON 2'!$H$56:$H$60)</f>
        <v>254559.17234583339</v>
      </c>
      <c r="G14" s="287">
        <f>'EMB BRT HON 2'!$H$63</f>
        <v>35975.104339958343</v>
      </c>
      <c r="H14" s="291">
        <f t="shared" si="0"/>
        <v>312706.67618579173</v>
      </c>
    </row>
    <row r="15" spans="1:8" x14ac:dyDescent="0.25">
      <c r="A15" s="20" t="s">
        <v>138</v>
      </c>
      <c r="B15" s="287">
        <f>'EMB BRT BPI'!$H$36</f>
        <v>203.08190000000002</v>
      </c>
      <c r="C15" s="287">
        <f>'EMB BRT BPI'!$H$46-'EMB BRT BPI'!$H$36</f>
        <v>662.64552447050869</v>
      </c>
      <c r="D15" s="287">
        <f>'EMB BRT BPI'!$H$49-'EMB BRT BPI'!$H$46</f>
        <v>98.801100000000019</v>
      </c>
      <c r="E15" s="287">
        <f>SUM('EMB BRT BPI'!$H$50:$H$54)</f>
        <v>552.85500000000002</v>
      </c>
      <c r="F15" s="287">
        <f>SUM('EMB BRT BPI'!$H$55:$H$59)</f>
        <v>6331.9690416666663</v>
      </c>
      <c r="G15" s="287">
        <f>'EMB BRT BPI'!$H$62</f>
        <v>1020.4158335978328</v>
      </c>
      <c r="H15" s="291">
        <f t="shared" si="0"/>
        <v>8869.7683997350086</v>
      </c>
    </row>
    <row r="16" spans="1:8" x14ac:dyDescent="0.25">
      <c r="A16" s="20" t="s">
        <v>143</v>
      </c>
      <c r="B16" s="287">
        <f>'STREET LIGHTING CND'!$H$36</f>
        <v>44773.083479999994</v>
      </c>
      <c r="C16" s="287">
        <f>'STREET LIGHTING CND'!$H$47-'STREET LIGHTING CND'!$H$36</f>
        <v>-122.40820748323313</v>
      </c>
      <c r="D16" s="287">
        <f>'STREET LIGHTING CND'!$H$50-'STREET LIGHTING CND'!$H$47</f>
        <v>2054.7099999999991</v>
      </c>
      <c r="E16" s="287">
        <f>SUM('STREET LIGHTING CND'!$H$51:$H$55)</f>
        <v>4412.51</v>
      </c>
      <c r="F16" s="287">
        <f>SUM('STREET LIGHTING CND'!$H$56:$H$60)</f>
        <v>50387.603500000012</v>
      </c>
      <c r="G16" s="287">
        <f>'STREET LIGHTING CND'!$H$63</f>
        <v>13195.714840427181</v>
      </c>
      <c r="H16" s="291">
        <f t="shared" si="0"/>
        <v>114701.21361294396</v>
      </c>
    </row>
    <row r="17" spans="1:8" x14ac:dyDescent="0.25">
      <c r="A17" s="20" t="s">
        <v>144</v>
      </c>
      <c r="B17" s="287">
        <f>'STREET LIGHTING BRT'!$H$36</f>
        <v>12373.129199999999</v>
      </c>
      <c r="C17" s="287">
        <f>'STREET LIGHTING BRT'!$H$47-'STREET LIGHTING BRT'!$H$36</f>
        <v>8295.0693057138524</v>
      </c>
      <c r="D17" s="287">
        <f>'STREET LIGHTING BRT'!$H$50-'STREET LIGHTING BRT'!$H$47</f>
        <v>456.24479999999676</v>
      </c>
      <c r="E17" s="287">
        <f>SUM('STREET LIGHTING BRT'!$H$51:$H$55)</f>
        <v>6656.08</v>
      </c>
      <c r="F17" s="287">
        <f>SUM('STREET LIGHTING BRT'!$H$56:$H$60)</f>
        <v>76751.509250000017</v>
      </c>
      <c r="G17" s="287">
        <f>'STREET LIGHTING BRT'!$H$63</f>
        <v>13589.164232242803</v>
      </c>
      <c r="H17" s="291">
        <f t="shared" si="0"/>
        <v>118121.19678795668</v>
      </c>
    </row>
    <row r="18" spans="1:8" x14ac:dyDescent="0.25">
      <c r="A18" s="20" t="s">
        <v>141</v>
      </c>
      <c r="B18" s="287">
        <f>'USL CND'!$H$36</f>
        <v>7.15381</v>
      </c>
      <c r="C18" s="287">
        <f>'USL CND'!$H$47-'USL CND'!$H$36</f>
        <v>-0.29499008362206602</v>
      </c>
      <c r="D18" s="287">
        <f>'USL CND'!$H$50-'USL CND'!$H$47</f>
        <v>0.96115499999999976</v>
      </c>
      <c r="E18" s="287">
        <f>SUM('USL CND'!$H$51:$H$56)</f>
        <v>5.5780650000000005</v>
      </c>
      <c r="F18" s="287">
        <f>SUM('USL CND'!$H$57:$H$61)</f>
        <v>3.9910000000000005</v>
      </c>
      <c r="G18" s="287">
        <f>'USL CND'!$H$64+'USL CND'!$H$65</f>
        <v>1.3911231933102348</v>
      </c>
      <c r="H18" s="291">
        <f t="shared" si="0"/>
        <v>18.780163109688171</v>
      </c>
    </row>
    <row r="19" spans="1:8" x14ac:dyDescent="0.25">
      <c r="A19" s="20" t="s">
        <v>142</v>
      </c>
      <c r="B19" s="287">
        <f>'USL BRT'!$H$36</f>
        <v>4.37</v>
      </c>
      <c r="C19" s="287">
        <f>'USL BRT'!$H$47-'USL BRT'!$H$36</f>
        <v>1.260888064332466E-2</v>
      </c>
      <c r="D19" s="287">
        <f>'USL BRT'!$H$50-'USL BRT'!$H$47</f>
        <v>0.88158000000000047</v>
      </c>
      <c r="E19" s="287">
        <f>SUM('USL BRT'!$H$51:$H$56)</f>
        <v>5.5843050000000005</v>
      </c>
      <c r="F19" s="287">
        <f>SUM('USL BRT'!$H$57:$H$61)</f>
        <v>3.9910000000000005</v>
      </c>
      <c r="G19" s="287">
        <f>'USL BRT'!$H$64+'USL BRT'!$H$65</f>
        <v>1.1871595104514658</v>
      </c>
      <c r="H19" s="291">
        <f t="shared" si="0"/>
        <v>16.02665339109479</v>
      </c>
    </row>
    <row r="20" spans="1:8" x14ac:dyDescent="0.25">
      <c r="A20" s="20" t="s">
        <v>145</v>
      </c>
      <c r="B20" s="287">
        <f>'SENTINEL BRT'!$H$36</f>
        <v>1227.3011999999999</v>
      </c>
      <c r="C20" s="287">
        <f>'SENTINEL BRT'!$H$47-'SENTINEL BRT'!$H$36</f>
        <v>102.57588636747869</v>
      </c>
      <c r="D20" s="287">
        <f>'SENTINEL BRT'!$H$50-'SENTINEL BRT'!$H$47</f>
        <v>75.26949999999988</v>
      </c>
      <c r="E20" s="287">
        <f>SUM('SENTINEL BRT'!$H$51:$H$55)</f>
        <v>111.18050000000001</v>
      </c>
      <c r="F20" s="287">
        <f>SUM('SENTINEL BRT'!$H$56:$H$60)</f>
        <v>862.26920000000018</v>
      </c>
      <c r="G20" s="287">
        <f>'SENTINEL BRT'!$H$67+'SENTINEL BRT'!$H$68</f>
        <v>190.28770290939832</v>
      </c>
      <c r="H20" s="291">
        <f t="shared" si="0"/>
        <v>2568.8839892768769</v>
      </c>
    </row>
    <row r="23" spans="1:8" s="332" customFormat="1" ht="45" x14ac:dyDescent="0.25">
      <c r="A23" s="330"/>
      <c r="B23" s="331" t="s">
        <v>153</v>
      </c>
      <c r="C23" s="331" t="s">
        <v>154</v>
      </c>
      <c r="D23" s="331" t="s">
        <v>155</v>
      </c>
      <c r="E23" s="331" t="s">
        <v>156</v>
      </c>
      <c r="F23" s="331" t="s">
        <v>173</v>
      </c>
      <c r="G23" s="331" t="s">
        <v>157</v>
      </c>
      <c r="H23" s="331" t="s">
        <v>158</v>
      </c>
    </row>
    <row r="24" spans="1:8" x14ac:dyDescent="0.25">
      <c r="A24" s="28" t="s">
        <v>130</v>
      </c>
      <c r="B24" s="287">
        <f>'Residential CND'!$L$36</f>
        <v>27.260545204847954</v>
      </c>
      <c r="C24" s="287">
        <f>'Residential CND'!$L$47-'Residential CND'!$L$36</f>
        <v>2.1874247275235383</v>
      </c>
      <c r="D24" s="297">
        <f>'Residential CND'!S50</f>
        <v>7.9620389208176086</v>
      </c>
      <c r="E24" s="287">
        <f>SUM('Residential CND'!$L$51:$L$54)</f>
        <v>3.2647526010862791</v>
      </c>
      <c r="F24" s="287">
        <f>SUM('Residential CND'!$L$55:$L$59)</f>
        <v>61.62</v>
      </c>
      <c r="G24" s="287">
        <f>'Residential CND'!$L$63+'Residential CND'!$L$64</f>
        <v>8.1456061492851273</v>
      </c>
      <c r="H24" s="291">
        <f>SUM(B24:G24)</f>
        <v>110.4403676035605</v>
      </c>
    </row>
    <row r="25" spans="1:8" x14ac:dyDescent="0.25">
      <c r="A25" s="28" t="s">
        <v>131</v>
      </c>
      <c r="B25" s="287">
        <f>'Residential BRT'!$L$36</f>
        <v>27.260545204847954</v>
      </c>
      <c r="C25" s="287">
        <f>'Residential BRT'!$L$47-'Residential BRT'!$L$36</f>
        <v>2.1874247275235383</v>
      </c>
      <c r="D25" s="297">
        <f>'Residential BRT'!S50</f>
        <v>7.2663267821053896</v>
      </c>
      <c r="E25" s="287">
        <f>SUM('Residential BRT'!$L$51:$L$54)</f>
        <v>3.2647526010862791</v>
      </c>
      <c r="F25" s="287">
        <f>SUM('Residential BRT'!$L$55:$L$59)</f>
        <v>61.62</v>
      </c>
      <c r="G25" s="287">
        <f>'Residential BRT'!$L$63+'Residential BRT'!$L$64</f>
        <v>8.1456061492851273</v>
      </c>
      <c r="H25" s="291">
        <f t="shared" ref="H25:H42" si="1">SUM(B25:G25)</f>
        <v>109.74465546484828</v>
      </c>
    </row>
    <row r="26" spans="1:8" x14ac:dyDescent="0.25">
      <c r="A26" s="28" t="s">
        <v>132</v>
      </c>
      <c r="B26" s="287">
        <f>'GS&lt;50 CND'!$L$36</f>
        <v>47.118888636543886</v>
      </c>
      <c r="C26" s="287">
        <f>'GS&lt;50 CND'!$L$47-'GS&lt;50 CND'!$L$36</f>
        <v>4.0842607514170979</v>
      </c>
      <c r="D26" s="297">
        <f>'GS&lt;50 CND'!S50</f>
        <v>19.1707344889589</v>
      </c>
      <c r="E26" s="287">
        <f>SUM('GS&lt;50 CND'!$L$51:$L$54)</f>
        <v>8.2893402695634109</v>
      </c>
      <c r="F26" s="287">
        <f>SUM('GS&lt;50 CND'!$L$56:$L$60)</f>
        <v>164.32</v>
      </c>
      <c r="G26" s="287">
        <f>'GS&lt;50 CND'!$L$64+'GS&lt;50 CND'!$L$65</f>
        <v>20.460055573662093</v>
      </c>
      <c r="H26" s="291">
        <f t="shared" si="1"/>
        <v>263.44327972014537</v>
      </c>
    </row>
    <row r="27" spans="1:8" x14ac:dyDescent="0.25">
      <c r="A27" s="28" t="s">
        <v>133</v>
      </c>
      <c r="B27" s="287">
        <f>'GS&lt;50 BRT'!$L$36</f>
        <v>47.118888636543886</v>
      </c>
      <c r="C27" s="287">
        <f>'GS&lt;50 BRT'!$L$47-'GS&lt;50 BRT'!$L$36</f>
        <v>4.0842607514170979</v>
      </c>
      <c r="D27" s="297">
        <f>'GS&lt;50 BRT'!S50</f>
        <v>17.315502119059651</v>
      </c>
      <c r="E27" s="287">
        <f>SUM('GS&lt;50 BRT'!$L$51:$L$54)</f>
        <v>8.2893402695634109</v>
      </c>
      <c r="F27" s="287">
        <f>SUM('GS&lt;50 BRT'!$L$56:$L$60)</f>
        <v>164.32</v>
      </c>
      <c r="G27" s="287">
        <f>'GS&lt;50 BRT'!$L$64+'GS&lt;50 BRT'!$L$65</f>
        <v>20.460055573662093</v>
      </c>
      <c r="H27" s="291">
        <f t="shared" si="1"/>
        <v>261.58804735024614</v>
      </c>
    </row>
    <row r="28" spans="1:8" x14ac:dyDescent="0.25">
      <c r="A28" s="28" t="s">
        <v>134</v>
      </c>
      <c r="B28" s="287">
        <f>'GS 50-999 kW CND'!$L$36</f>
        <v>392.30122112193482</v>
      </c>
      <c r="C28" s="287">
        <f>'GS 50-999 kW CND'!$L$47-'GS 50-999 kW CND'!$L$36</f>
        <v>-4.6173217351080211</v>
      </c>
      <c r="D28" s="297">
        <f>'GS 50-999 kW CND'!S52</f>
        <v>350.46000000000004</v>
      </c>
      <c r="E28" s="287">
        <f>SUM('GS 50-999 kW CND'!$L$53:$L$57)</f>
        <v>220.64340269563411</v>
      </c>
      <c r="F28" s="287">
        <f>SUM('GS 50-999 kW CND'!$L$58:$L$62)</f>
        <v>2512.5171492460536</v>
      </c>
      <c r="G28" s="287">
        <f>'GS 50-999 kW CND'!$L$65</f>
        <v>447.19471562935155</v>
      </c>
      <c r="H28" s="291">
        <f t="shared" si="1"/>
        <v>3918.4991669578658</v>
      </c>
    </row>
    <row r="29" spans="1:8" x14ac:dyDescent="0.25">
      <c r="A29" s="28" t="s">
        <v>135</v>
      </c>
      <c r="B29" s="287">
        <f>'GS 50-999 kW BRT'!$L$36</f>
        <v>392.30122112193482</v>
      </c>
      <c r="C29" s="287">
        <f>'GS 50-999 kW BRT'!$L$47-'GS 50-999 kW BRT'!$L$36</f>
        <v>-4.6173217351080211</v>
      </c>
      <c r="D29" s="297">
        <f>'GS 50-999 kW BRT'!S52</f>
        <v>204.45600000000002</v>
      </c>
      <c r="E29" s="287">
        <f>SUM('GS 50-999 kW BRT'!$L$53:$L$57)</f>
        <v>220.64340269563411</v>
      </c>
      <c r="F29" s="287">
        <f>SUM('GS 50-999 kW BRT'!$L$58:$L$62)</f>
        <v>2512.5171492460536</v>
      </c>
      <c r="G29" s="287">
        <f>'GS 50-999 kW BRT'!$L$65</f>
        <v>447.19471562935155</v>
      </c>
      <c r="H29" s="291">
        <f t="shared" si="1"/>
        <v>3772.4951669578659</v>
      </c>
    </row>
    <row r="30" spans="1:8" x14ac:dyDescent="0.25">
      <c r="A30" s="28" t="s">
        <v>136</v>
      </c>
      <c r="B30" s="287">
        <f>'GS 1000-4999 CND'!$L$36</f>
        <v>8241.4484137836153</v>
      </c>
      <c r="C30" s="287">
        <f>'GS 1000-4999 CND'!$L$47-'GS 1000-4999 CND'!$L$36</f>
        <v>-631.86153850370556</v>
      </c>
      <c r="D30" s="297">
        <f>'GS 1000-4999 CND'!H48+'GS 1000-4999 CND'!H49</f>
        <v>8998</v>
      </c>
      <c r="E30" s="287">
        <f>SUM('GS 1000-4999 CND'!$L$51:$L$55)</f>
        <v>8815.9861078253634</v>
      </c>
      <c r="F30" s="287">
        <f>SUM('GS 1000-4999 CND'!$L$56:$L$60)</f>
        <v>100500.68596984216</v>
      </c>
      <c r="G30" s="287">
        <f>'GS 1000-4999 CND'!$L$63</f>
        <v>16236.362739072161</v>
      </c>
      <c r="H30" s="291">
        <f t="shared" si="1"/>
        <v>142160.6216920196</v>
      </c>
    </row>
    <row r="31" spans="1:8" x14ac:dyDescent="0.25">
      <c r="A31" s="28" t="s">
        <v>146</v>
      </c>
      <c r="B31" s="287">
        <f>'GS 1000-4999 BRT'!$L$36</f>
        <v>8241.4484137836153</v>
      </c>
      <c r="C31" s="287">
        <f>'GS 1000-4999 BRT'!$L$47-'GS 1000-4999 BRT'!$L$36</f>
        <v>-631.86153850370556</v>
      </c>
      <c r="D31" s="297">
        <f>'GS 1000-4999 BRT'!S50</f>
        <v>7318.5999999999985</v>
      </c>
      <c r="E31" s="287">
        <f>SUM('GS 1000-4999 BRT'!$L$51:$L$55)</f>
        <v>8815.9861078253634</v>
      </c>
      <c r="F31" s="287">
        <f>SUM('GS 1000-4999 BRT'!$L$56:$L$60)</f>
        <v>100500.68596984216</v>
      </c>
      <c r="G31" s="287">
        <f>'GS 1000-4999 BRT'!$L$63</f>
        <v>16236.362739072161</v>
      </c>
      <c r="H31" s="291">
        <f t="shared" si="1"/>
        <v>140481.22169201958</v>
      </c>
    </row>
    <row r="32" spans="1:8" x14ac:dyDescent="0.25">
      <c r="A32" s="28" t="s">
        <v>137</v>
      </c>
      <c r="B32" s="287">
        <f>'LARGE CND'!$L$36</f>
        <v>55359.895428584343</v>
      </c>
      <c r="C32" s="287">
        <f>'LARGE CND'!$L$47-'LARGE CND'!$L$36</f>
        <v>-3754.8078386565321</v>
      </c>
      <c r="D32" s="297">
        <f>'LARGE CND'!S50</f>
        <v>70408</v>
      </c>
      <c r="E32" s="287">
        <f>SUM('LARGE CND'!$L$51:$L$55)</f>
        <v>72056.08</v>
      </c>
      <c r="F32" s="287">
        <f>SUM('LARGE CND'!$L$56:$L$60)</f>
        <v>808066.50925</v>
      </c>
      <c r="G32" s="287">
        <f>'LARGE CND'!$L$63</f>
        <v>130003.08191217991</v>
      </c>
      <c r="H32" s="291">
        <f t="shared" si="1"/>
        <v>1132138.7587521076</v>
      </c>
    </row>
    <row r="33" spans="1:8" x14ac:dyDescent="0.25">
      <c r="A33" s="28" t="s">
        <v>139</v>
      </c>
      <c r="B33" s="287">
        <f>'EMB CND HON'!$L$36</f>
        <v>4171.8778666160388</v>
      </c>
      <c r="C33" s="287">
        <f>'EMB CND HON'!$L$47-'EMB CND HON'!$L$36</f>
        <v>-1580.75737870699</v>
      </c>
      <c r="D33" s="297">
        <f>'EMB CND HON'!S50</f>
        <v>11326.886999999999</v>
      </c>
      <c r="E33" s="287">
        <f>SUM('EMB CND HON'!$L$51:$L$55)</f>
        <v>15173.882285005633</v>
      </c>
      <c r="F33" s="287">
        <f>SUM('EMB CND HON'!$L$56:$L$60)</f>
        <v>171878.78566277333</v>
      </c>
      <c r="G33" s="287">
        <f>'EMB CND HON'!$L$63</f>
        <v>26082.01856863057</v>
      </c>
      <c r="H33" s="291">
        <f t="shared" si="1"/>
        <v>227052.69400431856</v>
      </c>
    </row>
    <row r="34" spans="1:8" x14ac:dyDescent="0.25">
      <c r="A34" s="28" t="s">
        <v>140</v>
      </c>
      <c r="B34" s="287">
        <f>'EMB CND WNH'!$L$36</f>
        <v>9391.3106534017952</v>
      </c>
      <c r="C34" s="287">
        <f>'EMB CND WNH'!$L$47-'EMB CND WNH'!$L$36</f>
        <v>-6759.4203452730053</v>
      </c>
      <c r="D34" s="297">
        <f>'EMB CND WNH'!S50</f>
        <v>36436.14</v>
      </c>
      <c r="E34" s="287">
        <f>SUM('EMB CND WNH'!$L$51:$L$55)</f>
        <v>0.25</v>
      </c>
      <c r="F34" s="287">
        <f>SUM('EMB CND WNH'!$L$56:$L$60)</f>
        <v>0</v>
      </c>
      <c r="G34" s="287">
        <f>'EMB CND WNH'!$L$63</f>
        <v>4936.7937061646398</v>
      </c>
      <c r="H34" s="291">
        <f t="shared" si="1"/>
        <v>44005.074014293423</v>
      </c>
    </row>
    <row r="35" spans="1:8" x14ac:dyDescent="0.25">
      <c r="A35" s="28" t="s">
        <v>178</v>
      </c>
      <c r="B35" s="287">
        <f>'EMB BRT HON 1'!$L$36</f>
        <v>2134.3947075628748</v>
      </c>
      <c r="C35" s="287">
        <f>'EMB BRT HON 1'!$L$47-'EMB BRT HON 1'!$L$36</f>
        <v>-1027.4761059274983</v>
      </c>
      <c r="D35" s="297">
        <f>'EMB BRT HON 1'!S50</f>
        <v>8562.7619999999988</v>
      </c>
      <c r="E35" s="287">
        <f>SUM('EMB BRT HON 1'!$L$51:$L$55)</f>
        <v>14273.565463464056</v>
      </c>
      <c r="F35" s="287">
        <f>SUM('EMB BRT HON 1'!$L$56:$L$60)</f>
        <v>161680.47855398356</v>
      </c>
      <c r="G35" s="287">
        <f>'EMB BRT HON 1'!$L$63</f>
        <v>24031.980689489363</v>
      </c>
      <c r="H35" s="291">
        <f t="shared" si="1"/>
        <v>209655.70530857236</v>
      </c>
    </row>
    <row r="36" spans="1:8" x14ac:dyDescent="0.25">
      <c r="A36" s="28" t="s">
        <v>179</v>
      </c>
      <c r="B36" s="287">
        <f>'EMB BRT HON 2'!$L$36</f>
        <v>-907.43555993661289</v>
      </c>
      <c r="C36" s="287">
        <f>'EMB BRT HON 2'!$L$47-'EMB BRT HON 2'!$L$36</f>
        <v>-2062.2838883479344</v>
      </c>
      <c r="D36" s="297">
        <f>'EMB BRT HON 2'!H48+'EMB BRT HON 2'!H49</f>
        <v>0</v>
      </c>
      <c r="E36" s="287">
        <f>SUM('EMB BRT HON 2'!$L$51:$L$55)</f>
        <v>21849.40213253344</v>
      </c>
      <c r="F36" s="287">
        <f>SUM('EMB BRT HON 2'!$L$56:$L$60)</f>
        <v>247495.50178648252</v>
      </c>
      <c r="G36" s="287">
        <f>'EMB BRT HON 2'!$L$63</f>
        <v>34628.773981195089</v>
      </c>
      <c r="H36" s="291">
        <f t="shared" si="1"/>
        <v>301003.95845192648</v>
      </c>
    </row>
    <row r="37" spans="1:8" x14ac:dyDescent="0.25">
      <c r="A37" s="28" t="s">
        <v>138</v>
      </c>
      <c r="B37" s="287">
        <f>'EMB BRT BPI'!$L$36</f>
        <v>371.56831665950961</v>
      </c>
      <c r="C37" s="287">
        <f>'EMB BRT BPI'!$L$46-'EMB BRT BPI'!$L$36</f>
        <v>12.358650975922217</v>
      </c>
      <c r="D37" s="297">
        <f>'EMB BRT BPI'!S49</f>
        <v>98.801099999999991</v>
      </c>
      <c r="E37" s="287">
        <f>SUM('EMB BRT BPI'!$L$50:$L$54)</f>
        <v>549.22367167169443</v>
      </c>
      <c r="F37" s="287">
        <f>SUM('EMB BRT BPI'!$L$55:$L$59)</f>
        <v>6218.4799443839838</v>
      </c>
      <c r="G37" s="287">
        <f>'EMB BRT BPI'!$L$62</f>
        <v>941.41264810032737</v>
      </c>
      <c r="H37" s="291">
        <f t="shared" si="1"/>
        <v>8191.844331791438</v>
      </c>
    </row>
    <row r="38" spans="1:8" x14ac:dyDescent="0.25">
      <c r="A38" s="28" t="s">
        <v>143</v>
      </c>
      <c r="B38" s="287">
        <f>'STREET LIGHTING CND'!$L$36</f>
        <v>33304.743707777692</v>
      </c>
      <c r="C38" s="287">
        <f>'STREET LIGHTING CND'!$L$47-'STREET LIGHTING CND'!$L$36</f>
        <v>1601.2956971638851</v>
      </c>
      <c r="D38" s="297">
        <f>'STREET LIGHTING CND'!S50</f>
        <v>2054.71</v>
      </c>
      <c r="E38" s="287">
        <f>SUM('STREET LIGHTING CND'!$L$51:$L$55)</f>
        <v>4408.1180539126817</v>
      </c>
      <c r="F38" s="287">
        <f>SUM('STREET LIGHTING CND'!$L$56:$L$60)</f>
        <v>50387.603500000012</v>
      </c>
      <c r="G38" s="287">
        <f>'STREET LIGHTING CND'!$L$63</f>
        <v>11915.85685829216</v>
      </c>
      <c r="H38" s="291">
        <f t="shared" si="1"/>
        <v>103672.32781714643</v>
      </c>
    </row>
    <row r="39" spans="1:8" x14ac:dyDescent="0.25">
      <c r="A39" s="28" t="s">
        <v>144</v>
      </c>
      <c r="B39" s="287">
        <f>'STREET LIGHTING BRT'!$L$36</f>
        <v>7802.1198750983931</v>
      </c>
      <c r="C39" s="287">
        <f>'STREET LIGHTING BRT'!$L$47-'STREET LIGHTING BRT'!$L$36</f>
        <v>594.63768940846967</v>
      </c>
      <c r="D39" s="297">
        <f>'STREET LIGHTING BRT'!S50</f>
        <v>456.24480000000005</v>
      </c>
      <c r="E39" s="287">
        <f>SUM('STREET LIGHTING BRT'!$L$51:$L$55)</f>
        <v>6612.0520808690235</v>
      </c>
      <c r="F39" s="287">
        <f>SUM('STREET LIGHTING BRT'!$L$56:$L$60)</f>
        <v>76751.509250000017</v>
      </c>
      <c r="G39" s="287">
        <f>'STREET LIGHTING BRT'!$L$63</f>
        <v>11992.862194000059</v>
      </c>
      <c r="H39" s="291">
        <f t="shared" si="1"/>
        <v>104209.42588937597</v>
      </c>
    </row>
    <row r="40" spans="1:8" x14ac:dyDescent="0.25">
      <c r="A40" s="28" t="s">
        <v>141</v>
      </c>
      <c r="B40" s="287">
        <f>'USL CND'!$L$36</f>
        <v>7.0553256173704284</v>
      </c>
      <c r="C40" s="287">
        <f>'USL CND'!$L$47-'USL CND'!$L$36</f>
        <v>0.22385141643074924</v>
      </c>
      <c r="D40" s="297">
        <f>'USL CND'!S50</f>
        <v>0.95853672444794502</v>
      </c>
      <c r="E40" s="287">
        <f>SUM('USL CND'!$L$51:$L$56)</f>
        <v>5.5760464739798508</v>
      </c>
      <c r="F40" s="287">
        <f>SUM('USL CND'!$L$57:$L$61)</f>
        <v>3.9910000000000005</v>
      </c>
      <c r="G40" s="287">
        <f>'USL CND'!$L$64+'USL CND'!$L$65</f>
        <v>1.4207306220530564</v>
      </c>
      <c r="H40" s="291">
        <f t="shared" si="1"/>
        <v>19.225490854282032</v>
      </c>
    </row>
    <row r="41" spans="1:8" x14ac:dyDescent="0.25">
      <c r="A41" s="28" t="s">
        <v>142</v>
      </c>
      <c r="B41" s="287">
        <f>'USL BRT'!$L$36</f>
        <v>7.0553256173704284</v>
      </c>
      <c r="C41" s="287">
        <f>'USL BRT'!$L$47-'USL BRT'!$L$36</f>
        <v>0.22385141643074924</v>
      </c>
      <c r="D41" s="297">
        <f>'USL BRT'!S50</f>
        <v>0.86577510595298257</v>
      </c>
      <c r="E41" s="287">
        <f>SUM('USL BRT'!$L$51:$L$56)</f>
        <v>5.5769670134781713</v>
      </c>
      <c r="F41" s="287">
        <f>SUM('USL BRT'!$L$57:$L$61)</f>
        <v>3.9910000000000005</v>
      </c>
      <c r="G41" s="287">
        <f>'USL BRT'!$L$64+'USL BRT'!$L$65</f>
        <v>1.4208042652129222</v>
      </c>
      <c r="H41" s="291">
        <f t="shared" si="1"/>
        <v>19.133723418445253</v>
      </c>
    </row>
    <row r="42" spans="1:8" x14ac:dyDescent="0.25">
      <c r="A42" s="28" t="s">
        <v>145</v>
      </c>
      <c r="B42" s="287">
        <f>'SENTINEL BRT'!$L$36</f>
        <v>1707.4742341252436</v>
      </c>
      <c r="C42" s="287">
        <f>'SENTINEL BRT'!$L$47-'SENTINEL BRT'!$L$36</f>
        <v>47.990085896628443</v>
      </c>
      <c r="D42" s="297">
        <f>'SENTINEL BRT'!S50</f>
        <v>75.269500000000008</v>
      </c>
      <c r="E42" s="287">
        <f>SUM('SENTINEL BRT'!$L$51:$L$55)</f>
        <v>110.44670134781705</v>
      </c>
      <c r="F42" s="287">
        <f>SUM('SENTINEL BRT'!$L$56:$L$60)</f>
        <v>821.6</v>
      </c>
      <c r="G42" s="287">
        <f>'SENTINEL BRT'!$L$67+'SENTINEL BRT'!$L$68</f>
        <v>220.4828905700528</v>
      </c>
      <c r="H42" s="291">
        <f t="shared" si="1"/>
        <v>2983.2634119397421</v>
      </c>
    </row>
    <row r="45" spans="1:8" s="332" customFormat="1" ht="45" x14ac:dyDescent="0.25">
      <c r="A45" s="333" t="s">
        <v>165</v>
      </c>
      <c r="B45" s="334" t="s">
        <v>159</v>
      </c>
      <c r="C45" s="334" t="s">
        <v>160</v>
      </c>
      <c r="D45" s="334" t="s">
        <v>161</v>
      </c>
      <c r="E45" s="334" t="s">
        <v>162</v>
      </c>
      <c r="F45" s="334" t="s">
        <v>175</v>
      </c>
      <c r="G45" s="334" t="s">
        <v>163</v>
      </c>
      <c r="H45" s="334" t="s">
        <v>164</v>
      </c>
    </row>
    <row r="46" spans="1:8" x14ac:dyDescent="0.25">
      <c r="A46" s="288" t="s">
        <v>130</v>
      </c>
      <c r="B46" s="287">
        <f>B24-B2</f>
        <v>2.4290552048479555</v>
      </c>
      <c r="C46" s="287">
        <f t="shared" ref="C46:G46" si="2">C24-C2</f>
        <v>3.8794296693947921</v>
      </c>
      <c r="D46" s="287">
        <f t="shared" si="2"/>
        <v>-2.1748579182393257E-2</v>
      </c>
      <c r="E46" s="287">
        <f t="shared" si="2"/>
        <v>-8.2348989137210893E-3</v>
      </c>
      <c r="F46" s="287">
        <f>F24-F2</f>
        <v>0</v>
      </c>
      <c r="G46" s="287">
        <f t="shared" si="2"/>
        <v>0.46430534463482687</v>
      </c>
      <c r="H46" s="291">
        <f>SUM(B46:G46)</f>
        <v>6.74280674078146</v>
      </c>
    </row>
    <row r="47" spans="1:8" x14ac:dyDescent="0.25">
      <c r="A47" s="288" t="s">
        <v>131</v>
      </c>
      <c r="B47" s="287">
        <f t="shared" ref="B47:G62" si="3">B25-B3</f>
        <v>-2.764454795152048</v>
      </c>
      <c r="C47" s="287">
        <f t="shared" si="3"/>
        <v>1.6226724372185615</v>
      </c>
      <c r="D47" s="287">
        <f t="shared" si="3"/>
        <v>-0.13264821789461045</v>
      </c>
      <c r="E47" s="287">
        <f t="shared" si="3"/>
        <v>-5.5034898913721264E-2</v>
      </c>
      <c r="F47" s="287">
        <f t="shared" si="3"/>
        <v>0</v>
      </c>
      <c r="G47" s="287">
        <f t="shared" si="3"/>
        <v>-8.8675033939269454E-2</v>
      </c>
      <c r="H47" s="291">
        <f t="shared" ref="H47:H64" si="4">SUM(B47:G47)</f>
        <v>-1.4181405086810877</v>
      </c>
    </row>
    <row r="48" spans="1:8" x14ac:dyDescent="0.25">
      <c r="A48" s="288" t="s">
        <v>132</v>
      </c>
      <c r="B48" s="287">
        <f t="shared" si="3"/>
        <v>3.913508636543888</v>
      </c>
      <c r="C48" s="287">
        <f t="shared" si="3"/>
        <v>9.4483235906142866</v>
      </c>
      <c r="D48" s="287">
        <f t="shared" si="3"/>
        <v>-5.2365511041095658E-2</v>
      </c>
      <c r="E48" s="287">
        <f t="shared" si="3"/>
        <v>-2.1959730436590164E-2</v>
      </c>
      <c r="F48" s="287">
        <f t="shared" si="3"/>
        <v>0</v>
      </c>
      <c r="G48" s="287">
        <f t="shared" si="3"/>
        <v>0.96439820079786998</v>
      </c>
      <c r="H48" s="291">
        <f t="shared" si="4"/>
        <v>14.251905186478359</v>
      </c>
    </row>
    <row r="49" spans="1:8" x14ac:dyDescent="0.25">
      <c r="A49" s="288" t="s">
        <v>133</v>
      </c>
      <c r="B49" s="287">
        <f t="shared" si="3"/>
        <v>-10.571111363456112</v>
      </c>
      <c r="C49" s="287">
        <f t="shared" si="3"/>
        <v>3.3493016889120071</v>
      </c>
      <c r="D49" s="287">
        <f t="shared" si="3"/>
        <v>-0.31609788094034741</v>
      </c>
      <c r="E49" s="287">
        <f t="shared" si="3"/>
        <v>-0.14675973043658885</v>
      </c>
      <c r="F49" s="287">
        <f t="shared" si="3"/>
        <v>0</v>
      </c>
      <c r="G49" s="287">
        <f t="shared" si="3"/>
        <v>-0.56495715133831581</v>
      </c>
      <c r="H49" s="291">
        <f t="shared" si="4"/>
        <v>-8.2496244372593566</v>
      </c>
    </row>
    <row r="50" spans="1:8" x14ac:dyDescent="0.25">
      <c r="A50" s="288" t="s">
        <v>134</v>
      </c>
      <c r="B50" s="287">
        <f t="shared" si="3"/>
        <v>24.252327121934911</v>
      </c>
      <c r="C50" s="287">
        <f t="shared" si="3"/>
        <v>38.825026468485419</v>
      </c>
      <c r="D50" s="287">
        <f t="shared" si="3"/>
        <v>0</v>
      </c>
      <c r="E50" s="287">
        <f t="shared" si="3"/>
        <v>-0.21959730436589098</v>
      </c>
      <c r="F50" s="287">
        <f t="shared" si="3"/>
        <v>-6.8630257539466584</v>
      </c>
      <c r="G50" s="287">
        <f t="shared" si="3"/>
        <v>3.2044519258186597</v>
      </c>
      <c r="H50" s="291">
        <f t="shared" si="4"/>
        <v>59.19918245792644</v>
      </c>
    </row>
    <row r="51" spans="1:8" x14ac:dyDescent="0.25">
      <c r="A51" s="288" t="s">
        <v>135</v>
      </c>
      <c r="B51" s="287">
        <f t="shared" si="3"/>
        <v>59.539221121934816</v>
      </c>
      <c r="C51" s="287">
        <f t="shared" si="3"/>
        <v>-183.38515389179412</v>
      </c>
      <c r="D51" s="287">
        <f t="shared" si="3"/>
        <v>0</v>
      </c>
      <c r="E51" s="287">
        <f t="shared" si="3"/>
        <v>-1.4675973043659098</v>
      </c>
      <c r="F51" s="287">
        <f t="shared" si="3"/>
        <v>-45.866492420613667</v>
      </c>
      <c r="G51" s="287">
        <f t="shared" si="3"/>
        <v>-7.347745967684375</v>
      </c>
      <c r="H51" s="291">
        <f t="shared" si="4"/>
        <v>-178.52776846252326</v>
      </c>
    </row>
    <row r="52" spans="1:8" x14ac:dyDescent="0.25">
      <c r="A52" s="288" t="s">
        <v>136</v>
      </c>
      <c r="B52" s="287">
        <f t="shared" si="3"/>
        <v>-100.37836621638417</v>
      </c>
      <c r="C52" s="287">
        <f t="shared" si="3"/>
        <v>1569.7801265768812</v>
      </c>
      <c r="D52" s="287">
        <f t="shared" si="3"/>
        <v>0</v>
      </c>
      <c r="E52" s="287">
        <f t="shared" si="3"/>
        <v>-8.7838921746370033</v>
      </c>
      <c r="F52" s="287">
        <f t="shared" si="3"/>
        <v>-274.5210301578627</v>
      </c>
      <c r="G52" s="287">
        <f t="shared" si="3"/>
        <v>20.401664132634323</v>
      </c>
      <c r="H52" s="291">
        <f t="shared" si="4"/>
        <v>1206.4985021606317</v>
      </c>
    </row>
    <row r="53" spans="1:8" x14ac:dyDescent="0.25">
      <c r="A53" s="288" t="s">
        <v>146</v>
      </c>
      <c r="B53" s="287">
        <f t="shared" si="3"/>
        <v>285.06841378361605</v>
      </c>
      <c r="C53" s="287">
        <f t="shared" si="3"/>
        <v>-8484.1226103932422</v>
      </c>
      <c r="D53" s="287">
        <f t="shared" si="3"/>
        <v>0</v>
      </c>
      <c r="E53" s="287">
        <f t="shared" si="3"/>
        <v>-58.703892174637076</v>
      </c>
      <c r="F53" s="287">
        <f t="shared" si="3"/>
        <v>-1834.6596968245285</v>
      </c>
      <c r="G53" s="287">
        <f t="shared" si="3"/>
        <v>-1227.4832369401465</v>
      </c>
      <c r="H53" s="291">
        <f t="shared" si="4"/>
        <v>-11319.901022548938</v>
      </c>
    </row>
    <row r="54" spans="1:8" x14ac:dyDescent="0.25">
      <c r="A54" s="288" t="s">
        <v>137</v>
      </c>
      <c r="B54" s="287">
        <f t="shared" si="3"/>
        <v>6501.6938285843426</v>
      </c>
      <c r="C54" s="287">
        <f t="shared" si="3"/>
        <v>36143.334899025096</v>
      </c>
      <c r="D54" s="287">
        <f t="shared" si="3"/>
        <v>0</v>
      </c>
      <c r="E54" s="287">
        <f t="shared" si="3"/>
        <v>0</v>
      </c>
      <c r="F54" s="287">
        <f t="shared" si="3"/>
        <v>0</v>
      </c>
      <c r="G54" s="287">
        <f t="shared" si="3"/>
        <v>5269.2976575785287</v>
      </c>
      <c r="H54" s="291">
        <f t="shared" si="4"/>
        <v>47914.326385187967</v>
      </c>
    </row>
    <row r="55" spans="1:8" x14ac:dyDescent="0.25">
      <c r="A55" s="288" t="s">
        <v>139</v>
      </c>
      <c r="B55" s="287">
        <f t="shared" si="3"/>
        <v>-1124.2630405839609</v>
      </c>
      <c r="C55" s="287">
        <f t="shared" si="3"/>
        <v>-4849.2182578614756</v>
      </c>
      <c r="D55" s="287">
        <f t="shared" si="3"/>
        <v>0</v>
      </c>
      <c r="E55" s="287">
        <f t="shared" si="3"/>
        <v>-16.828014994365731</v>
      </c>
      <c r="F55" s="287">
        <f t="shared" si="3"/>
        <v>-525.92221305999556</v>
      </c>
      <c r="G55" s="287">
        <f t="shared" si="3"/>
        <v>-891.27933645384473</v>
      </c>
      <c r="H55" s="291">
        <f t="shared" si="4"/>
        <v>-7407.5108629536426</v>
      </c>
    </row>
    <row r="56" spans="1:8" x14ac:dyDescent="0.25">
      <c r="A56" s="288" t="s">
        <v>140</v>
      </c>
      <c r="B56" s="287">
        <f t="shared" si="3"/>
        <v>-6478.9355385982035</v>
      </c>
      <c r="C56" s="287">
        <f t="shared" si="3"/>
        <v>-2298.1849075881346</v>
      </c>
      <c r="D56" s="287">
        <f t="shared" si="3"/>
        <v>0</v>
      </c>
      <c r="E56" s="287">
        <f t="shared" si="3"/>
        <v>0</v>
      </c>
      <c r="F56" s="287">
        <f t="shared" si="3"/>
        <v>0</v>
      </c>
      <c r="G56" s="287">
        <f t="shared" si="3"/>
        <v>-1283.1083918963277</v>
      </c>
      <c r="H56" s="291">
        <f t="shared" si="4"/>
        <v>-10060.228838082665</v>
      </c>
    </row>
    <row r="57" spans="1:8" x14ac:dyDescent="0.25">
      <c r="A57" s="288" t="s">
        <v>178</v>
      </c>
      <c r="B57" s="287">
        <f t="shared" si="3"/>
        <v>-7158.0832924371243</v>
      </c>
      <c r="C57" s="287">
        <f t="shared" si="3"/>
        <v>-15383.421560038258</v>
      </c>
      <c r="D57" s="287">
        <f t="shared" si="3"/>
        <v>0</v>
      </c>
      <c r="E57" s="287">
        <f t="shared" si="3"/>
        <v>-147.64953653594421</v>
      </c>
      <c r="F57" s="287">
        <f t="shared" si="3"/>
        <v>-4614.4581543498207</v>
      </c>
      <c r="G57" s="287">
        <f t="shared" si="3"/>
        <v>-3648.5731416283743</v>
      </c>
      <c r="H57" s="291">
        <f t="shared" si="4"/>
        <v>-30952.185684989519</v>
      </c>
    </row>
    <row r="58" spans="1:8" x14ac:dyDescent="0.25">
      <c r="A58" s="288" t="s">
        <v>179</v>
      </c>
      <c r="B58" s="287">
        <f t="shared" si="3"/>
        <v>-1004.4155599366129</v>
      </c>
      <c r="C58" s="287">
        <f t="shared" si="3"/>
        <v>-2062.2838883479344</v>
      </c>
      <c r="D58" s="287">
        <f t="shared" si="3"/>
        <v>0</v>
      </c>
      <c r="E58" s="287">
        <f t="shared" si="3"/>
        <v>-226.01736746656388</v>
      </c>
      <c r="F58" s="287">
        <f t="shared" si="3"/>
        <v>-7063.6705593508668</v>
      </c>
      <c r="G58" s="287">
        <f t="shared" si="3"/>
        <v>-1346.3303587632545</v>
      </c>
      <c r="H58" s="291">
        <f t="shared" si="4"/>
        <v>-11702.717733865233</v>
      </c>
    </row>
    <row r="59" spans="1:8" x14ac:dyDescent="0.25">
      <c r="A59" s="288" t="s">
        <v>138</v>
      </c>
      <c r="B59" s="287">
        <f t="shared" si="3"/>
        <v>168.48641665950959</v>
      </c>
      <c r="C59" s="287">
        <f t="shared" si="3"/>
        <v>-650.28687349458642</v>
      </c>
      <c r="D59" s="287">
        <f t="shared" si="3"/>
        <v>0</v>
      </c>
      <c r="E59" s="287">
        <f t="shared" si="3"/>
        <v>-3.6313283283055853</v>
      </c>
      <c r="F59" s="287">
        <f t="shared" si="3"/>
        <v>-113.48909728268245</v>
      </c>
      <c r="G59" s="287">
        <f t="shared" si="3"/>
        <v>-79.003185497505456</v>
      </c>
      <c r="H59" s="291">
        <f t="shared" si="4"/>
        <v>-677.92406794357032</v>
      </c>
    </row>
    <row r="60" spans="1:8" x14ac:dyDescent="0.25">
      <c r="A60" s="288" t="s">
        <v>143</v>
      </c>
      <c r="B60" s="287">
        <f t="shared" si="3"/>
        <v>-11468.339772222302</v>
      </c>
      <c r="C60" s="287">
        <f t="shared" si="3"/>
        <v>1723.7039046471182</v>
      </c>
      <c r="D60" s="287">
        <f t="shared" si="3"/>
        <v>0</v>
      </c>
      <c r="E60" s="287">
        <f t="shared" si="3"/>
        <v>-4.3919460873185017</v>
      </c>
      <c r="F60" s="287">
        <f t="shared" si="3"/>
        <v>0</v>
      </c>
      <c r="G60" s="287">
        <f t="shared" si="3"/>
        <v>-1279.8579821350213</v>
      </c>
      <c r="H60" s="291">
        <f t="shared" si="4"/>
        <v>-11028.885795797523</v>
      </c>
    </row>
    <row r="61" spans="1:8" x14ac:dyDescent="0.25">
      <c r="A61" s="288" t="s">
        <v>144</v>
      </c>
      <c r="B61" s="287">
        <f t="shared" si="3"/>
        <v>-4571.0093249016063</v>
      </c>
      <c r="C61" s="287">
        <f t="shared" si="3"/>
        <v>-7700.4316163053827</v>
      </c>
      <c r="D61" s="287">
        <f t="shared" si="3"/>
        <v>3.2969182939268649E-12</v>
      </c>
      <c r="E61" s="287">
        <f t="shared" si="3"/>
        <v>-44.027919130976443</v>
      </c>
      <c r="F61" s="287">
        <f t="shared" si="3"/>
        <v>0</v>
      </c>
      <c r="G61" s="287">
        <f t="shared" si="3"/>
        <v>-1596.3020382427439</v>
      </c>
      <c r="H61" s="291">
        <f t="shared" si="4"/>
        <v>-13911.770898580706</v>
      </c>
    </row>
    <row r="62" spans="1:8" x14ac:dyDescent="0.25">
      <c r="A62" s="288" t="s">
        <v>141</v>
      </c>
      <c r="B62" s="287">
        <f t="shared" si="3"/>
        <v>-9.8484382629571598E-2</v>
      </c>
      <c r="C62" s="287">
        <f t="shared" si="3"/>
        <v>0.51884150005281526</v>
      </c>
      <c r="D62" s="287">
        <f t="shared" si="3"/>
        <v>-2.6182755520547385E-3</v>
      </c>
      <c r="E62" s="287">
        <f t="shared" si="3"/>
        <v>-2.0185260201497357E-3</v>
      </c>
      <c r="F62" s="287">
        <f t="shared" si="3"/>
        <v>0</v>
      </c>
      <c r="G62" s="287">
        <f t="shared" si="3"/>
        <v>2.9607428742821629E-2</v>
      </c>
      <c r="H62" s="291">
        <f t="shared" si="4"/>
        <v>0.44532774459386082</v>
      </c>
    </row>
    <row r="63" spans="1:8" x14ac:dyDescent="0.25">
      <c r="A63" s="288" t="s">
        <v>142</v>
      </c>
      <c r="B63" s="287">
        <f t="shared" ref="B63:G64" si="5">B41-B19</f>
        <v>2.6853256173704283</v>
      </c>
      <c r="C63" s="287">
        <f t="shared" si="5"/>
        <v>0.21124253578742458</v>
      </c>
      <c r="D63" s="287">
        <f t="shared" si="5"/>
        <v>-1.5804894047017903E-2</v>
      </c>
      <c r="E63" s="287">
        <f t="shared" si="5"/>
        <v>-7.337986521829265E-3</v>
      </c>
      <c r="F63" s="287">
        <f t="shared" si="5"/>
        <v>0</v>
      </c>
      <c r="G63" s="287">
        <f t="shared" si="5"/>
        <v>0.23364475476145641</v>
      </c>
      <c r="H63" s="291">
        <f t="shared" si="4"/>
        <v>3.1070700273504621</v>
      </c>
    </row>
    <row r="64" spans="1:8" x14ac:dyDescent="0.25">
      <c r="A64" s="288" t="s">
        <v>145</v>
      </c>
      <c r="B64" s="287">
        <f t="shared" si="5"/>
        <v>480.1730341252437</v>
      </c>
      <c r="C64" s="287">
        <f t="shared" si="5"/>
        <v>-54.585800470850245</v>
      </c>
      <c r="D64" s="287">
        <f t="shared" si="5"/>
        <v>1.2789769243681803E-13</v>
      </c>
      <c r="E64" s="287">
        <f t="shared" si="5"/>
        <v>-0.73379865218295492</v>
      </c>
      <c r="F64" s="287">
        <f t="shared" si="5"/>
        <v>-40.66920000000016</v>
      </c>
      <c r="G64" s="287">
        <f t="shared" si="5"/>
        <v>30.195187660654483</v>
      </c>
      <c r="H64" s="291">
        <f t="shared" si="4"/>
        <v>414.37942266286495</v>
      </c>
    </row>
    <row r="67" spans="1:8" s="332" customFormat="1" ht="45" x14ac:dyDescent="0.25">
      <c r="A67" s="333" t="s">
        <v>172</v>
      </c>
      <c r="B67" s="335" t="s">
        <v>168</v>
      </c>
      <c r="C67" s="335" t="s">
        <v>167</v>
      </c>
      <c r="D67" s="335" t="s">
        <v>166</v>
      </c>
      <c r="E67" s="335" t="s">
        <v>169</v>
      </c>
      <c r="F67" s="335" t="s">
        <v>176</v>
      </c>
      <c r="G67" s="335" t="s">
        <v>170</v>
      </c>
      <c r="H67" s="335" t="s">
        <v>171</v>
      </c>
    </row>
    <row r="68" spans="1:8" x14ac:dyDescent="0.25">
      <c r="A68" s="289" t="s">
        <v>130</v>
      </c>
      <c r="B68" s="290">
        <f>B24/B2-1</f>
        <v>9.7821564668409078E-2</v>
      </c>
      <c r="C68" s="290">
        <f t="shared" ref="C68:H68" si="6">C24/C2-1</f>
        <v>-2.2928004365663264</v>
      </c>
      <c r="D68" s="290">
        <f t="shared" si="6"/>
        <v>-2.7240929424027227E-3</v>
      </c>
      <c r="E68" s="290">
        <f t="shared" si="6"/>
        <v>-2.5160190540663985E-3</v>
      </c>
      <c r="F68" s="290">
        <f t="shared" si="6"/>
        <v>0</v>
      </c>
      <c r="G68" s="290">
        <f t="shared" si="6"/>
        <v>6.0446186973140525E-2</v>
      </c>
      <c r="H68" s="292">
        <f t="shared" si="6"/>
        <v>6.5023773796416107E-2</v>
      </c>
    </row>
    <row r="69" spans="1:8" x14ac:dyDescent="0.25">
      <c r="A69" s="289" t="s">
        <v>131</v>
      </c>
      <c r="B69" s="290">
        <f>B25/B3-1</f>
        <v>-9.2071766699485358E-2</v>
      </c>
      <c r="C69" s="290">
        <f t="shared" ref="B69:H84" si="7">C25/C3-1</f>
        <v>2.873246315375344</v>
      </c>
      <c r="D69" s="290">
        <f t="shared" si="7"/>
        <v>-1.7927918109550411E-2</v>
      </c>
      <c r="E69" s="290">
        <f t="shared" si="7"/>
        <v>-1.6577837862731037E-2</v>
      </c>
      <c r="F69" s="290">
        <f t="shared" si="7"/>
        <v>0</v>
      </c>
      <c r="G69" s="290">
        <f t="shared" si="7"/>
        <v>-1.076900727168828E-2</v>
      </c>
      <c r="H69" s="292">
        <f t="shared" si="7"/>
        <v>-1.2757330330363303E-2</v>
      </c>
    </row>
    <row r="70" spans="1:8" x14ac:dyDescent="0.25">
      <c r="A70" s="289" t="s">
        <v>132</v>
      </c>
      <c r="B70" s="290">
        <f t="shared" si="7"/>
        <v>9.0579197232934616E-2</v>
      </c>
      <c r="C70" s="290">
        <f t="shared" si="7"/>
        <v>-1.7614118018103546</v>
      </c>
      <c r="D70" s="290">
        <f t="shared" si="7"/>
        <v>-2.7240929424023896E-3</v>
      </c>
      <c r="E70" s="290">
        <f t="shared" si="7"/>
        <v>-2.6421535062614021E-3</v>
      </c>
      <c r="F70" s="290">
        <f t="shared" si="7"/>
        <v>0</v>
      </c>
      <c r="G70" s="290">
        <f t="shared" si="7"/>
        <v>4.9467334306982913E-2</v>
      </c>
      <c r="H70" s="292">
        <f t="shared" si="7"/>
        <v>5.7192610350776052E-2</v>
      </c>
    </row>
    <row r="71" spans="1:8" x14ac:dyDescent="0.25">
      <c r="A71" s="289" t="s">
        <v>133</v>
      </c>
      <c r="B71" s="290">
        <f t="shared" si="7"/>
        <v>-0.18323992656363519</v>
      </c>
      <c r="C71" s="290">
        <f t="shared" si="7"/>
        <v>4.5571268656732942</v>
      </c>
      <c r="D71" s="290">
        <f t="shared" si="7"/>
        <v>-1.79279181095503E-2</v>
      </c>
      <c r="E71" s="290">
        <f t="shared" si="7"/>
        <v>-1.7396632381857624E-2</v>
      </c>
      <c r="F71" s="290">
        <f t="shared" si="7"/>
        <v>0</v>
      </c>
      <c r="G71" s="290">
        <f t="shared" si="7"/>
        <v>-2.6870716261994776E-2</v>
      </c>
      <c r="H71" s="292">
        <f t="shared" si="7"/>
        <v>-3.0572545273648277E-2</v>
      </c>
    </row>
    <row r="72" spans="1:8" x14ac:dyDescent="0.25">
      <c r="A72" s="289" t="s">
        <v>134</v>
      </c>
      <c r="B72" s="290">
        <f t="shared" si="7"/>
        <v>6.5894307841432909E-2</v>
      </c>
      <c r="C72" s="290">
        <f t="shared" si="7"/>
        <v>-0.89371380862128236</v>
      </c>
      <c r="D72" s="290">
        <f t="shared" si="7"/>
        <v>0</v>
      </c>
      <c r="E72" s="290">
        <f t="shared" si="7"/>
        <v>-9.9426931792967466E-4</v>
      </c>
      <c r="F72" s="290">
        <f t="shared" si="7"/>
        <v>-2.7240929424026117E-3</v>
      </c>
      <c r="G72" s="290">
        <f t="shared" si="7"/>
        <v>7.2173923344371893E-3</v>
      </c>
      <c r="H72" s="292">
        <f t="shared" si="7"/>
        <v>1.5339357576681589E-2</v>
      </c>
    </row>
    <row r="73" spans="1:8" x14ac:dyDescent="0.25">
      <c r="A73" s="289" t="s">
        <v>135</v>
      </c>
      <c r="B73" s="290">
        <f t="shared" si="7"/>
        <v>0.17892433968402277</v>
      </c>
      <c r="C73" s="290">
        <f t="shared" si="7"/>
        <v>-1.0258285938773428</v>
      </c>
      <c r="D73" s="290">
        <f t="shared" si="7"/>
        <v>0</v>
      </c>
      <c r="E73" s="290">
        <f t="shared" si="7"/>
        <v>-6.6074949208544398E-3</v>
      </c>
      <c r="F73" s="290">
        <f t="shared" si="7"/>
        <v>-1.7927918109550522E-2</v>
      </c>
      <c r="G73" s="290">
        <f t="shared" si="7"/>
        <v>-1.6165147568101945E-2</v>
      </c>
      <c r="H73" s="292">
        <f t="shared" si="7"/>
        <v>-4.5185201751689719E-2</v>
      </c>
    </row>
    <row r="74" spans="1:8" x14ac:dyDescent="0.25">
      <c r="A74" s="289" t="s">
        <v>136</v>
      </c>
      <c r="B74" s="290">
        <f t="shared" si="7"/>
        <v>-1.2033139606428489E-2</v>
      </c>
      <c r="C74" s="290">
        <f t="shared" si="7"/>
        <v>-0.71300436918258558</v>
      </c>
      <c r="D74" s="290">
        <f t="shared" si="7"/>
        <v>0</v>
      </c>
      <c r="E74" s="290">
        <f t="shared" si="7"/>
        <v>-9.9536783107512239E-4</v>
      </c>
      <c r="F74" s="290">
        <f t="shared" si="7"/>
        <v>-2.7240929424026117E-3</v>
      </c>
      <c r="G74" s="290">
        <f t="shared" si="7"/>
        <v>1.2581224164482929E-3</v>
      </c>
      <c r="H74" s="292">
        <f t="shared" si="7"/>
        <v>8.559511952236587E-3</v>
      </c>
    </row>
    <row r="75" spans="1:8" x14ac:dyDescent="0.25">
      <c r="A75" s="289" t="s">
        <v>146</v>
      </c>
      <c r="B75" s="290">
        <f t="shared" si="7"/>
        <v>3.5828908848448249E-2</v>
      </c>
      <c r="C75" s="290">
        <f t="shared" si="7"/>
        <v>-1.0804687379493429</v>
      </c>
      <c r="D75" s="290">
        <f t="shared" si="7"/>
        <v>0</v>
      </c>
      <c r="E75" s="290">
        <f t="shared" si="7"/>
        <v>-6.6147541124971232E-3</v>
      </c>
      <c r="F75" s="290">
        <f t="shared" si="7"/>
        <v>-1.79279181095503E-2</v>
      </c>
      <c r="G75" s="290">
        <f t="shared" si="7"/>
        <v>-7.0287108499821449E-2</v>
      </c>
      <c r="H75" s="292">
        <f t="shared" si="7"/>
        <v>-7.4570601456181107E-2</v>
      </c>
    </row>
    <row r="76" spans="1:8" x14ac:dyDescent="0.25">
      <c r="A76" s="289" t="s">
        <v>137</v>
      </c>
      <c r="B76" s="290">
        <f t="shared" si="7"/>
        <v>0.13307272096941736</v>
      </c>
      <c r="C76" s="290">
        <f t="shared" si="7"/>
        <v>-0.90589015976650167</v>
      </c>
      <c r="D76" s="290">
        <f t="shared" si="7"/>
        <v>0</v>
      </c>
      <c r="E76" s="290">
        <f t="shared" si="7"/>
        <v>0</v>
      </c>
      <c r="F76" s="290">
        <f t="shared" si="7"/>
        <v>0</v>
      </c>
      <c r="G76" s="290">
        <f t="shared" si="7"/>
        <v>4.2244350149940546E-2</v>
      </c>
      <c r="H76" s="292">
        <f t="shared" si="7"/>
        <v>4.4192258498167547E-2</v>
      </c>
    </row>
    <row r="77" spans="1:8" x14ac:dyDescent="0.25">
      <c r="A77" s="289" t="s">
        <v>139</v>
      </c>
      <c r="B77" s="290">
        <f t="shared" si="7"/>
        <v>-0.21227966934481435</v>
      </c>
      <c r="C77" s="290">
        <f>C33/C11-1</f>
        <v>-1.4836396815359509</v>
      </c>
      <c r="D77" s="290">
        <f t="shared" si="7"/>
        <v>0</v>
      </c>
      <c r="E77" s="290">
        <f t="shared" si="7"/>
        <v>-1.1077832874191174E-3</v>
      </c>
      <c r="F77" s="290">
        <f t="shared" si="7"/>
        <v>-3.0505095802764171E-3</v>
      </c>
      <c r="G77" s="290">
        <f t="shared" si="7"/>
        <v>-3.3043024237901619E-2</v>
      </c>
      <c r="H77" s="292">
        <f t="shared" si="7"/>
        <v>-3.1593894013472568E-2</v>
      </c>
    </row>
    <row r="78" spans="1:8" x14ac:dyDescent="0.25">
      <c r="A78" s="289" t="s">
        <v>140</v>
      </c>
      <c r="B78" s="290">
        <f t="shared" si="7"/>
        <v>-0.4082441734183152</v>
      </c>
      <c r="C78" s="290">
        <f t="shared" si="7"/>
        <v>0.51514539855371599</v>
      </c>
      <c r="D78" s="290">
        <f t="shared" si="7"/>
        <v>0</v>
      </c>
      <c r="E78" s="290">
        <f t="shared" si="7"/>
        <v>0</v>
      </c>
      <c r="F78" s="290" t="e">
        <f t="shared" si="7"/>
        <v>#DIV/0!</v>
      </c>
      <c r="G78" s="290">
        <f t="shared" si="7"/>
        <v>-0.20629076980107652</v>
      </c>
      <c r="H78" s="292">
        <f t="shared" si="7"/>
        <v>-0.18607551067552253</v>
      </c>
    </row>
    <row r="79" spans="1:8" x14ac:dyDescent="0.25">
      <c r="A79" s="289" t="s">
        <v>178</v>
      </c>
      <c r="B79" s="290">
        <f t="shared" si="7"/>
        <v>-0.77030941503839179</v>
      </c>
      <c r="C79" s="290">
        <f t="shared" si="7"/>
        <v>-1.0715714690621985</v>
      </c>
      <c r="D79" s="290">
        <f t="shared" si="7"/>
        <v>0</v>
      </c>
      <c r="E79" s="290">
        <f t="shared" si="7"/>
        <v>-1.0238356236693225E-2</v>
      </c>
      <c r="F79" s="290">
        <f t="shared" si="7"/>
        <v>-2.7748638928455027E-2</v>
      </c>
      <c r="G79" s="290">
        <f t="shared" si="7"/>
        <v>-0.13180997619804646</v>
      </c>
      <c r="H79" s="292">
        <f t="shared" si="7"/>
        <v>-0.12864160671196667</v>
      </c>
    </row>
    <row r="80" spans="1:8" x14ac:dyDescent="0.25">
      <c r="A80" s="289" t="s">
        <v>179</v>
      </c>
      <c r="B80" s="290">
        <f t="shared" si="7"/>
        <v>-10.356935037498586</v>
      </c>
      <c r="C80" s="290" t="e">
        <f t="shared" si="7"/>
        <v>#DIV/0!</v>
      </c>
      <c r="D80" s="290" t="e">
        <f t="shared" si="7"/>
        <v>#DIV/0!</v>
      </c>
      <c r="E80" s="290">
        <f t="shared" si="7"/>
        <v>-1.0238417778043352E-2</v>
      </c>
      <c r="F80" s="290">
        <f t="shared" si="7"/>
        <v>-2.7748638928454916E-2</v>
      </c>
      <c r="G80" s="290">
        <f t="shared" si="7"/>
        <v>-3.7423945905498246E-2</v>
      </c>
      <c r="H80" s="292">
        <f t="shared" si="7"/>
        <v>-3.7423945905498357E-2</v>
      </c>
    </row>
    <row r="81" spans="1:8" x14ac:dyDescent="0.25">
      <c r="A81" s="289" t="s">
        <v>138</v>
      </c>
      <c r="B81" s="290">
        <f t="shared" si="7"/>
        <v>0.82964762817124305</v>
      </c>
      <c r="C81" s="290">
        <f t="shared" si="7"/>
        <v>-0.98134952924371222</v>
      </c>
      <c r="D81" s="290">
        <f t="shared" si="7"/>
        <v>0</v>
      </c>
      <c r="E81" s="290">
        <f t="shared" si="7"/>
        <v>-6.568319592489158E-3</v>
      </c>
      <c r="F81" s="290">
        <f t="shared" si="7"/>
        <v>-1.7923192064882576E-2</v>
      </c>
      <c r="G81" s="290">
        <f t="shared" si="7"/>
        <v>-7.7422539808062463E-2</v>
      </c>
      <c r="H81" s="292">
        <f t="shared" si="7"/>
        <v>-7.6430864639467244E-2</v>
      </c>
    </row>
    <row r="82" spans="1:8" x14ac:dyDescent="0.25">
      <c r="A82" s="289" t="s">
        <v>143</v>
      </c>
      <c r="B82" s="290">
        <f t="shared" si="7"/>
        <v>-0.25614362203454621</v>
      </c>
      <c r="C82" s="290">
        <f t="shared" si="7"/>
        <v>-14.081604004234951</v>
      </c>
      <c r="D82" s="290">
        <f t="shared" si="7"/>
        <v>0</v>
      </c>
      <c r="E82" s="290">
        <f t="shared" si="7"/>
        <v>-9.9533963375009193E-4</v>
      </c>
      <c r="F82" s="290">
        <f t="shared" si="7"/>
        <v>0</v>
      </c>
      <c r="G82" s="290">
        <f t="shared" si="7"/>
        <v>-9.6990424362155214E-2</v>
      </c>
      <c r="H82" s="292">
        <f t="shared" si="7"/>
        <v>-9.6153174394598806E-2</v>
      </c>
    </row>
    <row r="83" spans="1:8" x14ac:dyDescent="0.25">
      <c r="A83" s="289" t="s">
        <v>144</v>
      </c>
      <c r="B83" s="290">
        <f t="shared" si="7"/>
        <v>-0.36943033981263251</v>
      </c>
      <c r="C83" s="290">
        <f t="shared" si="7"/>
        <v>-0.92831431932716124</v>
      </c>
      <c r="D83" s="290">
        <f t="shared" si="7"/>
        <v>7.3274719625260332E-15</v>
      </c>
      <c r="E83" s="290">
        <f t="shared" si="7"/>
        <v>-6.6146920005433207E-3</v>
      </c>
      <c r="F83" s="290">
        <f t="shared" si="7"/>
        <v>0</v>
      </c>
      <c r="G83" s="290">
        <f t="shared" si="7"/>
        <v>-0.11746874281313213</v>
      </c>
      <c r="H83" s="292">
        <f t="shared" si="7"/>
        <v>-0.11777539744669363</v>
      </c>
    </row>
    <row r="84" spans="1:8" x14ac:dyDescent="0.25">
      <c r="A84" s="289" t="s">
        <v>141</v>
      </c>
      <c r="B84" s="290">
        <f t="shared" si="7"/>
        <v>-1.3766703704679251E-2</v>
      </c>
      <c r="C84" s="290">
        <f t="shared" si="7"/>
        <v>-1.7588438691977935</v>
      </c>
      <c r="D84" s="290">
        <f t="shared" si="7"/>
        <v>-2.7240929424023896E-3</v>
      </c>
      <c r="E84" s="290">
        <f t="shared" si="7"/>
        <v>-3.6186850102137846E-4</v>
      </c>
      <c r="F84" s="290">
        <f t="shared" si="7"/>
        <v>0</v>
      </c>
      <c r="G84" s="290">
        <f t="shared" si="7"/>
        <v>2.128311057223442E-2</v>
      </c>
      <c r="H84" s="292">
        <f t="shared" si="7"/>
        <v>2.371266649777537E-2</v>
      </c>
    </row>
    <row r="85" spans="1:8" x14ac:dyDescent="0.25">
      <c r="A85" s="289" t="s">
        <v>142</v>
      </c>
      <c r="B85" s="290">
        <f t="shared" ref="B85:H86" si="8">B41/B19-1</f>
        <v>0.61449098795661983</v>
      </c>
      <c r="C85" s="290">
        <f t="shared" si="8"/>
        <v>16.7534725534308</v>
      </c>
      <c r="D85" s="290">
        <f t="shared" si="8"/>
        <v>-1.7927918109550967E-2</v>
      </c>
      <c r="E85" s="290">
        <f t="shared" si="8"/>
        <v>-1.3140375609550503E-3</v>
      </c>
      <c r="F85" s="290">
        <f t="shared" si="8"/>
        <v>0</v>
      </c>
      <c r="G85" s="290">
        <f t="shared" si="8"/>
        <v>0.19680990861337877</v>
      </c>
      <c r="H85" s="292">
        <f t="shared" si="8"/>
        <v>0.19386892269579548</v>
      </c>
    </row>
    <row r="86" spans="1:8" x14ac:dyDescent="0.25">
      <c r="A86" s="289" t="s">
        <v>145</v>
      </c>
      <c r="B86" s="290">
        <f t="shared" si="8"/>
        <v>0.39124302504164721</v>
      </c>
      <c r="C86" s="290">
        <f t="shared" si="8"/>
        <v>-0.53215041472121727</v>
      </c>
      <c r="D86" s="290">
        <f t="shared" si="8"/>
        <v>1.7763568394002505E-15</v>
      </c>
      <c r="E86" s="290">
        <f t="shared" si="8"/>
        <v>-6.6000661283494022E-3</v>
      </c>
      <c r="F86" s="290">
        <f t="shared" si="8"/>
        <v>-4.7165316817532332E-2</v>
      </c>
      <c r="G86" s="290">
        <f t="shared" si="8"/>
        <v>0.15868176029762315</v>
      </c>
      <c r="H86" s="292">
        <f t="shared" si="8"/>
        <v>0.16130717634294967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A1:AW89"/>
  <sheetViews>
    <sheetView showGridLines="0" topLeftCell="B17" zoomScale="80" zoomScaleNormal="80" workbookViewId="0">
      <selection activeCell="F25" sqref="F25"/>
    </sheetView>
  </sheetViews>
  <sheetFormatPr defaultColWidth="9.140625" defaultRowHeight="15" x14ac:dyDescent="0.25"/>
  <cols>
    <col min="1" max="1" width="48.28515625" customWidth="1"/>
    <col min="2" max="2" width="122" customWidth="1"/>
    <col min="3" max="3" width="1.5703125" customWidth="1"/>
    <col min="4" max="4" width="12.42578125" customWidth="1"/>
    <col min="5" max="5" width="1.7109375" customWidth="1"/>
    <col min="6" max="6" width="12" customWidth="1"/>
    <col min="7" max="7" width="11.7109375" customWidth="1"/>
    <col min="8" max="8" width="16.42578125" customWidth="1"/>
    <col min="9" max="9" width="1.28515625" customWidth="1"/>
    <col min="10" max="10" width="12.28515625" customWidth="1"/>
    <col min="11" max="11" width="11.28515625" bestFit="1" customWidth="1"/>
    <col min="12" max="12" width="16.28515625" customWidth="1"/>
    <col min="13" max="13" width="1.42578125" customWidth="1"/>
    <col min="14" max="14" width="14.7109375" customWidth="1"/>
    <col min="15" max="15" width="10.5703125" customWidth="1"/>
    <col min="16" max="16" width="1.42578125" customWidth="1"/>
    <col min="17" max="17" width="1.7109375" customWidth="1"/>
    <col min="18" max="18" width="9.42578125" customWidth="1"/>
    <col min="19" max="19" width="12.5703125" customWidth="1"/>
    <col min="20" max="20" width="1.28515625" customWidth="1"/>
    <col min="21" max="21" width="10.85546875" customWidth="1"/>
    <col min="22" max="22" width="10.140625" customWidth="1"/>
    <col min="23" max="23" width="1.28515625" customWidth="1"/>
    <col min="24" max="24" width="11" customWidth="1"/>
    <col min="25" max="25" width="9.5703125" customWidth="1"/>
    <col min="26" max="26" width="12.42578125" customWidth="1"/>
    <col min="27" max="27" width="1.28515625" customWidth="1"/>
    <col min="28" max="28" width="10" customWidth="1"/>
    <col min="30" max="30" width="0.85546875" customWidth="1"/>
    <col min="31" max="31" width="11.140625" customWidth="1"/>
    <col min="32" max="32" width="9.5703125" customWidth="1"/>
    <col min="33" max="33" width="12.42578125" customWidth="1"/>
    <col min="34" max="34" width="1.140625" customWidth="1"/>
    <col min="35" max="35" width="10.42578125" customWidth="1"/>
    <col min="37" max="37" width="0.85546875" customWidth="1"/>
  </cols>
  <sheetData>
    <row r="1" spans="1:21" ht="21.75" x14ac:dyDescent="0.25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0"/>
      <c r="M1" s="50"/>
      <c r="N1" s="52" t="s">
        <v>68</v>
      </c>
      <c r="O1" s="53">
        <v>0</v>
      </c>
      <c r="T1">
        <v>1</v>
      </c>
      <c r="U1">
        <v>1</v>
      </c>
    </row>
    <row r="2" spans="1:21" ht="18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0"/>
      <c r="M2" s="50"/>
      <c r="N2" s="52" t="s">
        <v>69</v>
      </c>
      <c r="O2" s="55"/>
    </row>
    <row r="3" spans="1:21" ht="18" x14ac:dyDescent="0.25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"/>
      <c r="M3" s="50"/>
      <c r="N3" s="52" t="s">
        <v>70</v>
      </c>
      <c r="O3" s="55"/>
    </row>
    <row r="4" spans="1:21" ht="18" x14ac:dyDescent="0.25">
      <c r="A4" s="54"/>
      <c r="B4" s="54"/>
      <c r="C4" s="54"/>
      <c r="D4" s="54"/>
      <c r="E4" s="54"/>
      <c r="F4" s="54"/>
      <c r="G4" s="54"/>
      <c r="H4" s="54"/>
      <c r="I4" s="56"/>
      <c r="J4" s="56"/>
      <c r="K4" s="56"/>
      <c r="L4" s="50"/>
      <c r="M4" s="50"/>
      <c r="N4" s="52" t="s">
        <v>71</v>
      </c>
      <c r="O4" s="55"/>
    </row>
    <row r="5" spans="1:21" ht="15.75" x14ac:dyDescent="0.25">
      <c r="A5" s="50"/>
      <c r="B5" s="50"/>
      <c r="C5" s="57"/>
      <c r="D5" s="57"/>
      <c r="E5" s="57"/>
      <c r="F5" s="50"/>
      <c r="G5" s="50"/>
      <c r="H5" s="50"/>
      <c r="I5" s="50"/>
      <c r="J5" s="50"/>
      <c r="K5" s="50"/>
      <c r="L5" s="50"/>
      <c r="M5" s="50"/>
      <c r="N5" s="52" t="s">
        <v>72</v>
      </c>
      <c r="O5" s="58"/>
    </row>
    <row r="6" spans="1:2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2"/>
      <c r="O6" s="53"/>
    </row>
    <row r="7" spans="1:2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2" t="s">
        <v>73</v>
      </c>
      <c r="O7" s="58"/>
    </row>
    <row r="8" spans="1:21" x14ac:dyDescent="0.25">
      <c r="A8" s="5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1" ht="18" x14ac:dyDescent="0.25">
      <c r="A10" s="1"/>
      <c r="B10" s="508" t="s">
        <v>74</v>
      </c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508"/>
      <c r="N10" s="508"/>
      <c r="O10" s="508"/>
    </row>
    <row r="11" spans="1:21" ht="18" x14ac:dyDescent="0.25">
      <c r="A11" s="1"/>
      <c r="B11" s="508" t="s">
        <v>75</v>
      </c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1" ht="15.75" x14ac:dyDescent="0.25">
      <c r="A14" s="1"/>
      <c r="B14" s="60" t="s">
        <v>0</v>
      </c>
      <c r="C14" s="1"/>
      <c r="D14" s="509" t="s">
        <v>235</v>
      </c>
      <c r="E14" s="509"/>
      <c r="F14" s="509"/>
      <c r="G14" s="509"/>
      <c r="H14" s="509"/>
      <c r="I14" s="509"/>
      <c r="J14" s="509"/>
      <c r="K14" s="509"/>
      <c r="L14" s="509"/>
      <c r="M14" s="509"/>
      <c r="N14" s="509"/>
      <c r="O14" s="509"/>
    </row>
    <row r="15" spans="1:21" ht="15.75" x14ac:dyDescent="0.25">
      <c r="A15" s="1"/>
      <c r="B15" s="61"/>
      <c r="C15" s="1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pans="1:21" ht="15.75" x14ac:dyDescent="0.25">
      <c r="A16" s="1"/>
      <c r="B16" s="60" t="s">
        <v>76</v>
      </c>
      <c r="C16" s="1"/>
      <c r="D16" s="63" t="s">
        <v>94</v>
      </c>
      <c r="E16" s="62"/>
      <c r="F16" s="228" t="s">
        <v>95</v>
      </c>
      <c r="G16" s="62"/>
      <c r="H16" s="62"/>
      <c r="I16" s="62"/>
      <c r="J16" s="62"/>
      <c r="K16" s="62"/>
      <c r="L16" s="62"/>
      <c r="M16" s="62"/>
      <c r="N16" s="62"/>
      <c r="O16" s="62"/>
    </row>
    <row r="17" spans="1:49" ht="15.75" x14ac:dyDescent="0.25">
      <c r="A17" s="1"/>
      <c r="B17" s="61"/>
      <c r="C17" s="1"/>
      <c r="D17" s="62"/>
      <c r="E17" s="62"/>
      <c r="F17" s="229">
        <f>ROUND(+F18*0.9,0)</f>
        <v>2340</v>
      </c>
      <c r="G17" s="230" t="s">
        <v>96</v>
      </c>
      <c r="H17" s="231"/>
      <c r="I17" s="62"/>
      <c r="J17" s="62"/>
      <c r="K17" s="62"/>
      <c r="L17" s="62"/>
      <c r="M17" s="62"/>
      <c r="N17" s="62"/>
      <c r="O17" s="62"/>
    </row>
    <row r="18" spans="1:49" x14ac:dyDescent="0.25">
      <c r="A18" s="1"/>
      <c r="B18" s="64"/>
      <c r="C18" s="1"/>
      <c r="D18" s="65"/>
      <c r="E18" s="65"/>
      <c r="F18" s="229">
        <v>2600</v>
      </c>
      <c r="G18" s="65" t="s">
        <v>113</v>
      </c>
      <c r="H18" s="1"/>
      <c r="I18" s="1"/>
      <c r="J18" s="1"/>
      <c r="K18" s="1"/>
      <c r="L18" s="1"/>
      <c r="M18" s="1"/>
      <c r="N18" s="1"/>
      <c r="O18" s="1"/>
    </row>
    <row r="19" spans="1:49" x14ac:dyDescent="0.25">
      <c r="A19" s="1"/>
      <c r="B19" s="64"/>
      <c r="C19" s="1"/>
      <c r="D19" s="65" t="s">
        <v>1</v>
      </c>
      <c r="E19" s="1"/>
      <c r="F19" s="232">
        <v>1300000</v>
      </c>
      <c r="G19" s="230" t="s">
        <v>78</v>
      </c>
      <c r="H19" s="67"/>
      <c r="I19" s="1"/>
      <c r="J19" s="67"/>
      <c r="K19" s="233"/>
      <c r="L19" s="67"/>
      <c r="M19" s="1"/>
      <c r="N19" s="233"/>
      <c r="O19" s="1"/>
      <c r="S19" s="234"/>
    </row>
    <row r="20" spans="1:49" x14ac:dyDescent="0.25">
      <c r="A20" s="1"/>
      <c r="B20" s="64"/>
      <c r="C20" s="1"/>
      <c r="D20" s="68"/>
      <c r="E20" s="68"/>
      <c r="F20" s="510" t="s">
        <v>105</v>
      </c>
      <c r="G20" s="511"/>
      <c r="H20" s="512"/>
      <c r="I20" s="1"/>
      <c r="J20" s="510" t="s">
        <v>104</v>
      </c>
      <c r="K20" s="511"/>
      <c r="L20" s="512"/>
      <c r="M20" s="1"/>
      <c r="N20" s="510" t="s">
        <v>61</v>
      </c>
      <c r="O20" s="512"/>
      <c r="Q20" s="506"/>
      <c r="R20" s="506"/>
      <c r="S20" s="506"/>
      <c r="T20" s="2"/>
      <c r="U20" s="506"/>
      <c r="V20" s="506"/>
      <c r="W20" s="69"/>
      <c r="X20" s="506"/>
      <c r="Y20" s="506"/>
      <c r="Z20" s="506"/>
      <c r="AA20" s="2"/>
      <c r="AB20" s="506"/>
      <c r="AC20" s="506"/>
      <c r="AD20" s="69"/>
      <c r="AE20" s="506"/>
      <c r="AF20" s="506"/>
      <c r="AG20" s="506"/>
      <c r="AH20" s="2"/>
      <c r="AI20" s="506"/>
      <c r="AJ20" s="506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</row>
    <row r="21" spans="1:49" ht="15" customHeight="1" x14ac:dyDescent="0.25">
      <c r="A21" s="1"/>
      <c r="B21" s="64"/>
      <c r="C21" s="1"/>
      <c r="D21" s="1"/>
      <c r="E21" s="70"/>
      <c r="F21" s="71" t="s">
        <v>2</v>
      </c>
      <c r="G21" s="71" t="s">
        <v>3</v>
      </c>
      <c r="H21" s="72" t="s">
        <v>4</v>
      </c>
      <c r="I21" s="1"/>
      <c r="J21" s="71" t="s">
        <v>2</v>
      </c>
      <c r="K21" s="73" t="s">
        <v>3</v>
      </c>
      <c r="L21" s="72" t="s">
        <v>4</v>
      </c>
      <c r="M21" s="1"/>
      <c r="N21" s="502" t="s">
        <v>62</v>
      </c>
      <c r="O21" s="504" t="s">
        <v>63</v>
      </c>
      <c r="Q21" s="270"/>
      <c r="R21" s="270"/>
      <c r="S21" s="270"/>
      <c r="T21" s="2"/>
      <c r="U21" s="501"/>
      <c r="V21" s="501"/>
      <c r="W21" s="69"/>
      <c r="X21" s="270"/>
      <c r="Y21" s="270"/>
      <c r="Z21" s="270"/>
      <c r="AA21" s="2"/>
      <c r="AB21" s="501"/>
      <c r="AC21" s="501"/>
      <c r="AD21" s="69"/>
      <c r="AE21" s="270"/>
      <c r="AF21" s="270"/>
      <c r="AG21" s="270"/>
      <c r="AH21" s="2"/>
      <c r="AI21" s="501"/>
      <c r="AJ21" s="501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</row>
    <row r="22" spans="1:49" x14ac:dyDescent="0.25">
      <c r="A22" s="1"/>
      <c r="B22" s="64"/>
      <c r="C22" s="1"/>
      <c r="D22" s="1"/>
      <c r="E22" s="70"/>
      <c r="F22" s="75" t="s">
        <v>79</v>
      </c>
      <c r="G22" s="75"/>
      <c r="H22" s="76" t="s">
        <v>79</v>
      </c>
      <c r="I22" s="1"/>
      <c r="J22" s="75" t="s">
        <v>79</v>
      </c>
      <c r="K22" s="76"/>
      <c r="L22" s="76" t="s">
        <v>79</v>
      </c>
      <c r="M22" s="1"/>
      <c r="N22" s="503"/>
      <c r="O22" s="505"/>
      <c r="Q22" s="77"/>
      <c r="R22" s="77"/>
      <c r="S22" s="77"/>
      <c r="T22" s="2"/>
      <c r="U22" s="514"/>
      <c r="V22" s="514"/>
      <c r="W22" s="69"/>
      <c r="X22" s="77"/>
      <c r="Y22" s="77"/>
      <c r="Z22" s="77"/>
      <c r="AA22" s="2"/>
      <c r="AB22" s="514"/>
      <c r="AC22" s="514"/>
      <c r="AD22" s="69"/>
      <c r="AE22" s="77"/>
      <c r="AF22" s="77"/>
      <c r="AG22" s="77"/>
      <c r="AH22" s="2"/>
      <c r="AI22" s="514"/>
      <c r="AJ22" s="514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</row>
    <row r="23" spans="1:49" x14ac:dyDescent="0.25">
      <c r="A23" s="7" t="s">
        <v>15</v>
      </c>
      <c r="B23" s="271" t="str">
        <f>IF(Rates!D34=$A$23,Rates!B34," ")</f>
        <v>Service Charge</v>
      </c>
      <c r="C23" s="78"/>
      <c r="D23" s="271" t="str">
        <f>IF(Rates!D34=$A$23,Rates!E34," ")</f>
        <v>customer</v>
      </c>
      <c r="E23" s="79"/>
      <c r="F23" s="489">
        <f>IF(Rates!$J$1="BRT 2018",Rates!J34," ")</f>
        <v>96.98</v>
      </c>
      <c r="G23" s="439">
        <f>IF(D23="customer",1,IF(D23="kWh",$F$19,$F$17))</f>
        <v>1</v>
      </c>
      <c r="H23" s="82">
        <f t="shared" ref="H23:H35" si="0">G23*F23</f>
        <v>96.98</v>
      </c>
      <c r="I23" s="83"/>
      <c r="J23" s="489">
        <f>IF(Rates!$L$1="E+ 2019",Rates!L34," ")</f>
        <v>59.1</v>
      </c>
      <c r="K23" s="439">
        <f>IF(D23="customer",1,IF(D23="kWh",$F$19,$F$17))</f>
        <v>1</v>
      </c>
      <c r="L23" s="82">
        <f t="shared" ref="L23:L44" si="1">K23*J23</f>
        <v>59.1</v>
      </c>
      <c r="M23" s="83"/>
      <c r="N23" s="84">
        <f t="shared" ref="N23:N60" si="2">L23-H23</f>
        <v>-37.880000000000003</v>
      </c>
      <c r="O23" s="85">
        <f>IF(OR(H23=0,L23=0),"",(N23/H23))</f>
        <v>-0.39059599917508764</v>
      </c>
      <c r="Q23" s="86"/>
      <c r="R23" s="87"/>
      <c r="S23" s="88"/>
      <c r="T23" s="87"/>
      <c r="U23" s="89"/>
      <c r="V23" s="90"/>
      <c r="W23" s="69"/>
      <c r="X23" s="86"/>
      <c r="Y23" s="87"/>
      <c r="Z23" s="88"/>
      <c r="AA23" s="87"/>
      <c r="AB23" s="89"/>
      <c r="AC23" s="90"/>
      <c r="AD23" s="69"/>
      <c r="AE23" s="86"/>
      <c r="AF23" s="87"/>
      <c r="AG23" s="88"/>
      <c r="AH23" s="87"/>
      <c r="AI23" s="89"/>
      <c r="AJ23" s="90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</row>
    <row r="24" spans="1:49" x14ac:dyDescent="0.25">
      <c r="A24" s="1"/>
      <c r="B24" s="271" t="str">
        <f>IF(Rates!D35=$A$23,Rates!B35," ")</f>
        <v>Rate Rider ACM</v>
      </c>
      <c r="C24" s="78"/>
      <c r="D24" s="271" t="str">
        <f>IF(Rates!D35=$A$23,Rates!E35," ")</f>
        <v>customer</v>
      </c>
      <c r="E24" s="79"/>
      <c r="F24" s="470">
        <f>IF(Rates!$J$1="BRT 2018",Rates!J35," ")</f>
        <v>0</v>
      </c>
      <c r="G24" s="439">
        <f t="shared" ref="G24:G33" si="3">IF(D24="customer",1,IF(D24="kWh",$F$19,$F$17))</f>
        <v>1</v>
      </c>
      <c r="H24" s="82">
        <f t="shared" si="0"/>
        <v>0</v>
      </c>
      <c r="I24" s="83"/>
      <c r="J24" s="470">
        <f>IF(Rates!$L$1="E+ 2019",Rates!L35," ")</f>
        <v>0</v>
      </c>
      <c r="K24" s="439">
        <f t="shared" ref="K24:K33" si="4">IF(D24="customer",1,IF(D24="kWh",$F$19,$F$17))</f>
        <v>1</v>
      </c>
      <c r="L24" s="82">
        <f t="shared" si="1"/>
        <v>0</v>
      </c>
      <c r="M24" s="83"/>
      <c r="N24" s="84">
        <f t="shared" si="2"/>
        <v>0</v>
      </c>
      <c r="O24" s="85" t="str">
        <f t="shared" ref="O24:O35" si="5">IF(OR(H24=0,L24=0),"",(N24/H24))</f>
        <v/>
      </c>
      <c r="Q24" s="86"/>
      <c r="R24" s="87"/>
      <c r="S24" s="88"/>
      <c r="T24" s="87"/>
      <c r="U24" s="89"/>
      <c r="V24" s="90"/>
      <c r="W24" s="69"/>
      <c r="X24" s="86"/>
      <c r="Y24" s="87"/>
      <c r="Z24" s="88"/>
      <c r="AA24" s="87"/>
      <c r="AB24" s="89"/>
      <c r="AC24" s="90"/>
      <c r="AD24" s="69"/>
      <c r="AE24" s="86"/>
      <c r="AF24" s="87"/>
      <c r="AG24" s="88"/>
      <c r="AH24" s="87"/>
      <c r="AI24" s="89"/>
      <c r="AJ24" s="90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</row>
    <row r="25" spans="1:49" s="94" customFormat="1" x14ac:dyDescent="0.25">
      <c r="A25" s="3"/>
      <c r="B25" s="271" t="str">
        <f>IF(Rates!D36=$A$23,Rates!B36," ")</f>
        <v>Distribution Volumetric Rate</v>
      </c>
      <c r="C25" s="78"/>
      <c r="D25" s="271" t="str">
        <f>IF(Rates!D36=$A$23,Rates!E36," ")</f>
        <v>kW</v>
      </c>
      <c r="E25" s="79"/>
      <c r="F25" s="312">
        <f>IF(Rates!$J$1="BRT 2018",Rates!J36," ")</f>
        <v>3.9297</v>
      </c>
      <c r="G25" s="439">
        <f t="shared" si="3"/>
        <v>2340</v>
      </c>
      <c r="H25" s="82">
        <f t="shared" si="0"/>
        <v>9195.4979999999996</v>
      </c>
      <c r="I25" s="91"/>
      <c r="J25" s="312">
        <f>IF(Rates!$L$1="E+ 2019",Rates!L36," ")</f>
        <v>1.1176999999999999</v>
      </c>
      <c r="K25" s="439">
        <f t="shared" si="4"/>
        <v>2340</v>
      </c>
      <c r="L25" s="82">
        <f t="shared" si="1"/>
        <v>2615.4179999999997</v>
      </c>
      <c r="M25" s="91"/>
      <c r="N25" s="84">
        <f t="shared" si="2"/>
        <v>-6580.08</v>
      </c>
      <c r="O25" s="85">
        <f t="shared" si="5"/>
        <v>-0.71557625264015068</v>
      </c>
      <c r="Q25" s="95"/>
      <c r="R25" s="87"/>
      <c r="S25" s="88"/>
      <c r="T25" s="87"/>
      <c r="U25" s="89"/>
      <c r="V25" s="90"/>
      <c r="W25" s="69"/>
      <c r="X25" s="95"/>
      <c r="Y25" s="87"/>
      <c r="Z25" s="88"/>
      <c r="AA25" s="87"/>
      <c r="AB25" s="89"/>
      <c r="AC25" s="90"/>
      <c r="AD25" s="69"/>
      <c r="AE25" s="95"/>
      <c r="AF25" s="87"/>
      <c r="AG25" s="88"/>
      <c r="AH25" s="87"/>
      <c r="AI25" s="89"/>
      <c r="AJ25" s="90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</row>
    <row r="26" spans="1:49" s="94" customFormat="1" x14ac:dyDescent="0.25">
      <c r="A26" s="3"/>
      <c r="B26" s="271" t="str">
        <f>IF(Rates!D37=$A$23,Rates!B37," ")</f>
        <v>Rate Rider ACM</v>
      </c>
      <c r="C26" s="78"/>
      <c r="D26" s="271" t="str">
        <f>IF(Rates!D37=$A$23,Rates!E37," ")</f>
        <v>kW</v>
      </c>
      <c r="E26" s="79"/>
      <c r="F26" s="470">
        <f>IF(Rates!$J$1="BRT 2018",Rates!J37," ")</f>
        <v>0</v>
      </c>
      <c r="G26" s="439">
        <f t="shared" si="3"/>
        <v>2340</v>
      </c>
      <c r="H26" s="82">
        <f t="shared" si="0"/>
        <v>0</v>
      </c>
      <c r="I26" s="91"/>
      <c r="J26" s="470">
        <f>IF(Rates!$L$1="E+ 2019",Rates!L37," ")</f>
        <v>0</v>
      </c>
      <c r="K26" s="439">
        <f t="shared" si="4"/>
        <v>2340</v>
      </c>
      <c r="L26" s="82">
        <f t="shared" si="1"/>
        <v>0</v>
      </c>
      <c r="M26" s="91"/>
      <c r="N26" s="84">
        <f t="shared" si="2"/>
        <v>0</v>
      </c>
      <c r="O26" s="85" t="str">
        <f t="shared" si="5"/>
        <v/>
      </c>
      <c r="Q26" s="95"/>
      <c r="R26" s="87"/>
      <c r="S26" s="88"/>
      <c r="T26" s="87"/>
      <c r="U26" s="89"/>
      <c r="V26" s="90"/>
      <c r="W26" s="69"/>
      <c r="X26" s="95"/>
      <c r="Y26" s="87"/>
      <c r="Z26" s="88"/>
      <c r="AA26" s="87"/>
      <c r="AB26" s="89"/>
      <c r="AC26" s="90"/>
      <c r="AD26" s="69"/>
      <c r="AE26" s="95"/>
      <c r="AF26" s="87"/>
      <c r="AG26" s="88"/>
      <c r="AH26" s="87"/>
      <c r="AI26" s="89"/>
      <c r="AJ26" s="90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</row>
    <row r="27" spans="1:49" x14ac:dyDescent="0.25">
      <c r="A27" s="3"/>
      <c r="B27" s="271" t="str">
        <f>IF(Rates!D38=$A$23,Rates!B38," ")</f>
        <v>Rate Rider for Disposition of Account 1575 and 1576</v>
      </c>
      <c r="C27" s="78"/>
      <c r="D27" s="271" t="str">
        <f>IF(Rates!D38=$A$23,Rates!E38," ")</f>
        <v>customer</v>
      </c>
      <c r="E27" s="79"/>
      <c r="F27" s="470">
        <f>IF(Rates!$J$1="BRT 2018",Rates!J38," ")</f>
        <v>0</v>
      </c>
      <c r="G27" s="439">
        <f t="shared" si="3"/>
        <v>1</v>
      </c>
      <c r="H27" s="82">
        <f t="shared" si="0"/>
        <v>0</v>
      </c>
      <c r="I27" s="83"/>
      <c r="J27" s="470">
        <f>IF(Rates!$L$1="E+ 2019",Rates!L38," ")</f>
        <v>0</v>
      </c>
      <c r="K27" s="439">
        <f t="shared" si="4"/>
        <v>1</v>
      </c>
      <c r="L27" s="82">
        <f t="shared" si="1"/>
        <v>0</v>
      </c>
      <c r="M27" s="83"/>
      <c r="N27" s="84">
        <f t="shared" si="2"/>
        <v>0</v>
      </c>
      <c r="O27" s="85" t="str">
        <f t="shared" si="5"/>
        <v/>
      </c>
      <c r="Q27" s="86"/>
      <c r="R27" s="87"/>
      <c r="S27" s="88"/>
      <c r="T27" s="87"/>
      <c r="U27" s="89"/>
      <c r="V27" s="90"/>
      <c r="W27" s="69"/>
      <c r="X27" s="86"/>
      <c r="Y27" s="87"/>
      <c r="Z27" s="88"/>
      <c r="AA27" s="87"/>
      <c r="AB27" s="89"/>
      <c r="AC27" s="90"/>
      <c r="AD27" s="69"/>
      <c r="AE27" s="86"/>
      <c r="AF27" s="87"/>
      <c r="AG27" s="88"/>
      <c r="AH27" s="87"/>
      <c r="AI27" s="89"/>
      <c r="AJ27" s="90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</row>
    <row r="28" spans="1:49" x14ac:dyDescent="0.25">
      <c r="A28" s="3"/>
      <c r="B28" s="271" t="str">
        <f>IF(Rates!D39=$A$23,Rates!B39," ")</f>
        <v>Rate Rider for Disposition of Account 1575 and 1576</v>
      </c>
      <c r="C28" s="78"/>
      <c r="D28" s="271" t="str">
        <f>IF(Rates!D39=$A$23,Rates!E39," ")</f>
        <v>kW</v>
      </c>
      <c r="E28" s="79"/>
      <c r="F28" s="470">
        <f>IF(Rates!$J$1="BRT 2018",Rates!J39," ")</f>
        <v>0</v>
      </c>
      <c r="G28" s="439">
        <f t="shared" si="3"/>
        <v>2340</v>
      </c>
      <c r="H28" s="82">
        <f t="shared" si="0"/>
        <v>0</v>
      </c>
      <c r="I28" s="83"/>
      <c r="J28" s="470">
        <f>IF(Rates!$L$1="E+ 2019",Rates!L39," ")</f>
        <v>-0.13058427143961215</v>
      </c>
      <c r="K28" s="439">
        <f t="shared" si="4"/>
        <v>2340</v>
      </c>
      <c r="L28" s="82">
        <f t="shared" si="1"/>
        <v>-305.56719516869242</v>
      </c>
      <c r="M28" s="83"/>
      <c r="N28" s="84">
        <f t="shared" si="2"/>
        <v>-305.56719516869242</v>
      </c>
      <c r="O28" s="85" t="str">
        <f t="shared" si="5"/>
        <v/>
      </c>
      <c r="Q28" s="119"/>
      <c r="R28" s="87"/>
      <c r="S28" s="88"/>
      <c r="T28" s="87"/>
      <c r="U28" s="89"/>
      <c r="V28" s="90"/>
      <c r="W28" s="69"/>
      <c r="X28" s="119"/>
      <c r="Y28" s="87"/>
      <c r="Z28" s="88"/>
      <c r="AA28" s="87"/>
      <c r="AB28" s="89"/>
      <c r="AC28" s="90"/>
      <c r="AD28" s="69"/>
      <c r="AE28" s="119"/>
      <c r="AF28" s="87"/>
      <c r="AG28" s="88"/>
      <c r="AH28" s="87"/>
      <c r="AI28" s="89"/>
      <c r="AJ28" s="90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</row>
    <row r="29" spans="1:49" x14ac:dyDescent="0.25">
      <c r="A29" s="3"/>
      <c r="B29" s="271" t="str">
        <f>IF(Rates!D40=$A$23,Rates!B40," ")</f>
        <v>Rate Rider for Disposition of Account 1575 and 1576</v>
      </c>
      <c r="C29" s="78"/>
      <c r="D29" s="271" t="str">
        <f>IF(Rates!D40=$A$23,Rates!E40," ")</f>
        <v>customer</v>
      </c>
      <c r="E29" s="79"/>
      <c r="F29" s="470">
        <f>IF(Rates!$J$1="BRT 2018",Rates!J40," ")</f>
        <v>0</v>
      </c>
      <c r="G29" s="439">
        <f t="shared" si="3"/>
        <v>1</v>
      </c>
      <c r="H29" s="82">
        <f t="shared" si="0"/>
        <v>0</v>
      </c>
      <c r="I29" s="83"/>
      <c r="J29" s="470">
        <f>IF(Rates!$L$1="E+ 2019",Rates!L40," ")</f>
        <v>0</v>
      </c>
      <c r="K29" s="439">
        <f t="shared" si="4"/>
        <v>1</v>
      </c>
      <c r="L29" s="82">
        <f t="shared" si="1"/>
        <v>0</v>
      </c>
      <c r="M29" s="83"/>
      <c r="N29" s="84">
        <f t="shared" si="2"/>
        <v>0</v>
      </c>
      <c r="O29" s="85" t="str">
        <f t="shared" si="5"/>
        <v/>
      </c>
      <c r="Q29" s="119"/>
      <c r="R29" s="87"/>
      <c r="S29" s="88"/>
      <c r="T29" s="87"/>
      <c r="U29" s="89"/>
      <c r="V29" s="90"/>
      <c r="W29" s="69"/>
      <c r="X29" s="119"/>
      <c r="Y29" s="87"/>
      <c r="Z29" s="88"/>
      <c r="AA29" s="87"/>
      <c r="AB29" s="89"/>
      <c r="AC29" s="90"/>
      <c r="AD29" s="69"/>
      <c r="AE29" s="119"/>
      <c r="AF29" s="87"/>
      <c r="AG29" s="88"/>
      <c r="AH29" s="87"/>
      <c r="AI29" s="89"/>
      <c r="AJ29" s="90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</row>
    <row r="30" spans="1:49" s="94" customFormat="1" x14ac:dyDescent="0.25">
      <c r="A30" s="99"/>
      <c r="B30" s="271" t="str">
        <f>IF(Rates!D41=$A$23,Rates!B41," ")</f>
        <v>Rate Rider for Disposition of Account 1575 and 1576</v>
      </c>
      <c r="C30" s="78"/>
      <c r="D30" s="271" t="str">
        <f>IF(Rates!D41=$A$23,Rates!E41," ")</f>
        <v>kW</v>
      </c>
      <c r="E30" s="79"/>
      <c r="F30" s="470">
        <f>IF(Rates!$J$1="BRT 2018",Rates!J41," ")</f>
        <v>0</v>
      </c>
      <c r="G30" s="439">
        <f t="shared" si="3"/>
        <v>2340</v>
      </c>
      <c r="H30" s="82">
        <f t="shared" si="0"/>
        <v>0</v>
      </c>
      <c r="I30" s="91"/>
      <c r="J30" s="470">
        <f>IF(Rates!$L$1="E+ 2019",Rates!L41," ")</f>
        <v>0</v>
      </c>
      <c r="K30" s="439">
        <f t="shared" si="4"/>
        <v>2340</v>
      </c>
      <c r="L30" s="82">
        <f t="shared" si="1"/>
        <v>0</v>
      </c>
      <c r="M30" s="91"/>
      <c r="N30" s="84">
        <f t="shared" si="2"/>
        <v>0</v>
      </c>
      <c r="O30" s="85" t="str">
        <f t="shared" si="5"/>
        <v/>
      </c>
      <c r="Q30" s="119"/>
      <c r="R30" s="87"/>
      <c r="S30" s="88"/>
      <c r="T30" s="87"/>
      <c r="U30" s="89"/>
      <c r="V30" s="90"/>
      <c r="W30" s="69"/>
      <c r="X30" s="119"/>
      <c r="Y30" s="87"/>
      <c r="Z30" s="88"/>
      <c r="AA30" s="87"/>
      <c r="AB30" s="89"/>
      <c r="AC30" s="90"/>
      <c r="AD30" s="69"/>
      <c r="AE30" s="119"/>
      <c r="AF30" s="87"/>
      <c r="AG30" s="88"/>
      <c r="AH30" s="87"/>
      <c r="AI30" s="89"/>
      <c r="AJ30" s="90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</row>
    <row r="31" spans="1:49" s="94" customFormat="1" x14ac:dyDescent="0.25">
      <c r="A31" s="3"/>
      <c r="B31" s="271" t="str">
        <f>IF(Rates!D42=$A$23,Rates!B42," ")</f>
        <v>Rate Rider for LRAMVA</v>
      </c>
      <c r="C31" s="78"/>
      <c r="D31" s="271" t="str">
        <f>IF(Rates!D42=$A$23,Rates!E42," ")</f>
        <v>kW</v>
      </c>
      <c r="E31" s="79"/>
      <c r="F31" s="470">
        <f>IF(Rates!$J$1="BRT 2018",Rates!J42," ")</f>
        <v>0</v>
      </c>
      <c r="G31" s="439">
        <f t="shared" si="3"/>
        <v>2340</v>
      </c>
      <c r="H31" s="82">
        <f t="shared" si="0"/>
        <v>0</v>
      </c>
      <c r="I31" s="91"/>
      <c r="J31" s="470">
        <f>IF(Rates!$L$1="E+ 2019",Rates!L42," ")</f>
        <v>0</v>
      </c>
      <c r="K31" s="439">
        <f t="shared" si="4"/>
        <v>2340</v>
      </c>
      <c r="L31" s="82">
        <f t="shared" si="1"/>
        <v>0</v>
      </c>
      <c r="M31" s="91"/>
      <c r="N31" s="84">
        <f t="shared" si="2"/>
        <v>0</v>
      </c>
      <c r="O31" s="85" t="str">
        <f t="shared" si="5"/>
        <v/>
      </c>
      <c r="Q31" s="119"/>
      <c r="R31" s="87"/>
      <c r="S31" s="88"/>
      <c r="T31" s="87"/>
      <c r="U31" s="89"/>
      <c r="V31" s="90"/>
      <c r="W31" s="69"/>
      <c r="X31" s="119"/>
      <c r="Y31" s="87"/>
      <c r="Z31" s="88"/>
      <c r="AA31" s="87"/>
      <c r="AB31" s="89"/>
      <c r="AC31" s="90"/>
      <c r="AD31" s="69"/>
      <c r="AE31" s="119"/>
      <c r="AF31" s="87"/>
      <c r="AG31" s="88"/>
      <c r="AH31" s="87"/>
      <c r="AI31" s="89"/>
      <c r="AJ31" s="90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</row>
    <row r="32" spans="1:49" x14ac:dyDescent="0.25">
      <c r="A32" s="3"/>
      <c r="B32" s="271" t="str">
        <f>IF(Rates!D43=$A$23,Rates!B43," ")</f>
        <v>Other Fixed</v>
      </c>
      <c r="C32" s="78"/>
      <c r="D32" s="271" t="str">
        <f>IF(Rates!D43=$A$23,Rates!E43," ")</f>
        <v>customer</v>
      </c>
      <c r="E32" s="79"/>
      <c r="F32" s="470">
        <f>IF(Rates!$J$1="BRT 2018",Rates!J43," ")</f>
        <v>0</v>
      </c>
      <c r="G32" s="439">
        <f t="shared" si="3"/>
        <v>1</v>
      </c>
      <c r="H32" s="82">
        <f t="shared" si="0"/>
        <v>0</v>
      </c>
      <c r="I32" s="83"/>
      <c r="J32" s="470">
        <f>IF(Rates!$L$1="E+ 2019",Rates!L43," ")</f>
        <v>0</v>
      </c>
      <c r="K32" s="439">
        <f t="shared" si="4"/>
        <v>1</v>
      </c>
      <c r="L32" s="82">
        <f t="shared" si="1"/>
        <v>0</v>
      </c>
      <c r="M32" s="83"/>
      <c r="N32" s="84">
        <f t="shared" si="2"/>
        <v>0</v>
      </c>
      <c r="O32" s="85" t="str">
        <f t="shared" si="5"/>
        <v/>
      </c>
      <c r="Q32" s="98"/>
      <c r="R32" s="87"/>
      <c r="S32" s="88"/>
      <c r="T32" s="87"/>
      <c r="U32" s="89"/>
      <c r="V32" s="90"/>
      <c r="W32" s="69"/>
      <c r="X32" s="98"/>
      <c r="Y32" s="87"/>
      <c r="Z32" s="88"/>
      <c r="AA32" s="87"/>
      <c r="AB32" s="89"/>
      <c r="AC32" s="90"/>
      <c r="AD32" s="69"/>
      <c r="AE32" s="98"/>
      <c r="AF32" s="87"/>
      <c r="AG32" s="88"/>
      <c r="AH32" s="87"/>
      <c r="AI32" s="89"/>
      <c r="AJ32" s="90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</row>
    <row r="33" spans="1:49" x14ac:dyDescent="0.25">
      <c r="A33" s="3"/>
      <c r="B33" s="271" t="str">
        <f>IF(Rates!D44=$A$23,Rates!B44," ")</f>
        <v>Other Volumetric</v>
      </c>
      <c r="C33" s="78"/>
      <c r="D33" s="271" t="str">
        <f>IF(Rates!D44=$A$23,Rates!E44," ")</f>
        <v>kW</v>
      </c>
      <c r="E33" s="79"/>
      <c r="F33" s="470">
        <f>IF(Rates!$J$1="BRT 2018",Rates!J44," ")</f>
        <v>0</v>
      </c>
      <c r="G33" s="439">
        <f t="shared" si="3"/>
        <v>2340</v>
      </c>
      <c r="H33" s="82">
        <f t="shared" si="0"/>
        <v>0</v>
      </c>
      <c r="I33" s="83"/>
      <c r="J33" s="470">
        <f>IF(Rates!$L$1="E+ 2019",Rates!L44," ")</f>
        <v>0</v>
      </c>
      <c r="K33" s="439">
        <f t="shared" si="4"/>
        <v>2340</v>
      </c>
      <c r="L33" s="82">
        <f t="shared" si="1"/>
        <v>0</v>
      </c>
      <c r="M33" s="91"/>
      <c r="N33" s="84">
        <f t="shared" si="2"/>
        <v>0</v>
      </c>
      <c r="O33" s="85" t="str">
        <f t="shared" si="5"/>
        <v/>
      </c>
      <c r="Q33" s="98"/>
      <c r="R33" s="87"/>
      <c r="S33" s="88"/>
      <c r="T33" s="87"/>
      <c r="U33" s="89"/>
      <c r="V33" s="90"/>
      <c r="W33" s="69"/>
      <c r="X33" s="98"/>
      <c r="Y33" s="87"/>
      <c r="Z33" s="88"/>
      <c r="AA33" s="87"/>
      <c r="AB33" s="89"/>
      <c r="AC33" s="90"/>
      <c r="AD33" s="69"/>
      <c r="AE33" s="98"/>
      <c r="AF33" s="87"/>
      <c r="AG33" s="88"/>
      <c r="AH33" s="87"/>
      <c r="AI33" s="89"/>
      <c r="AJ33" s="90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</row>
    <row r="34" spans="1:49" x14ac:dyDescent="0.25">
      <c r="A34" s="3"/>
      <c r="B34" s="271" t="str">
        <f>IF(Rates!D45=$A$23,Rates!B45," ")</f>
        <v>Rate Rider for gain on Sale of Property</v>
      </c>
      <c r="C34" s="78"/>
      <c r="D34" s="271" t="str">
        <f>IF(Rates!D45=$A$23,Rates!E45," ")</f>
        <v>kW</v>
      </c>
      <c r="E34" s="79"/>
      <c r="F34" s="470">
        <f>IF(Rates!$J$1="BRT 2018",Rates!J45," ")</f>
        <v>0</v>
      </c>
      <c r="G34" s="439">
        <f t="shared" ref="G34" si="6">IF(D34="customer",1,IF(D34="kWh",$F$19,$F$17))</f>
        <v>2340</v>
      </c>
      <c r="H34" s="82">
        <f t="shared" ref="H34" si="7">G34*F34</f>
        <v>0</v>
      </c>
      <c r="I34" s="83"/>
      <c r="J34" s="470">
        <f>IF(Rates!$L$1="E+ 2019",Rates!L45," ")</f>
        <v>-0.10023764840531296</v>
      </c>
      <c r="K34" s="439">
        <f t="shared" ref="K34" si="8">IF(D34="customer",1,IF(D34="kWh",$F$19,$F$17))</f>
        <v>2340</v>
      </c>
      <c r="L34" s="82">
        <f t="shared" ref="L34" si="9">K34*J34</f>
        <v>-234.55609726843232</v>
      </c>
      <c r="M34" s="91"/>
      <c r="N34" s="84">
        <f t="shared" ref="N34" si="10">L34-H34</f>
        <v>-234.55609726843232</v>
      </c>
      <c r="O34" s="85" t="str">
        <f t="shared" ref="O34" si="11">IF(OR(H34=0,L34=0),"",(N34/H34))</f>
        <v/>
      </c>
      <c r="Q34" s="98"/>
      <c r="R34" s="87"/>
      <c r="S34" s="88"/>
      <c r="T34" s="87"/>
      <c r="U34" s="89"/>
      <c r="V34" s="90"/>
      <c r="W34" s="69"/>
      <c r="X34" s="98"/>
      <c r="Y34" s="87"/>
      <c r="Z34" s="88"/>
      <c r="AA34" s="87"/>
      <c r="AB34" s="89"/>
      <c r="AC34" s="90"/>
      <c r="AD34" s="69"/>
      <c r="AE34" s="98"/>
      <c r="AF34" s="87"/>
      <c r="AG34" s="88"/>
      <c r="AH34" s="87"/>
      <c r="AI34" s="89"/>
      <c r="AJ34" s="90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</row>
    <row r="35" spans="1:49" hidden="1" x14ac:dyDescent="0.25">
      <c r="A35" s="3"/>
      <c r="B35" s="271"/>
      <c r="C35" s="78"/>
      <c r="D35" s="271"/>
      <c r="E35" s="79"/>
      <c r="F35" s="470"/>
      <c r="G35" s="439"/>
      <c r="H35" s="82">
        <f t="shared" si="0"/>
        <v>0</v>
      </c>
      <c r="I35" s="91"/>
      <c r="J35" s="470"/>
      <c r="K35" s="439"/>
      <c r="L35" s="82">
        <f t="shared" si="1"/>
        <v>0</v>
      </c>
      <c r="M35" s="91"/>
      <c r="N35" s="84">
        <f t="shared" si="2"/>
        <v>0</v>
      </c>
      <c r="O35" s="85" t="str">
        <f t="shared" si="5"/>
        <v/>
      </c>
      <c r="Q35" s="98"/>
      <c r="R35" s="87"/>
      <c r="S35" s="88"/>
      <c r="T35" s="87"/>
      <c r="U35" s="89"/>
      <c r="V35" s="90"/>
      <c r="W35" s="69"/>
      <c r="X35" s="98"/>
      <c r="Y35" s="87"/>
      <c r="Z35" s="88"/>
      <c r="AA35" s="87"/>
      <c r="AB35" s="89"/>
      <c r="AC35" s="90"/>
      <c r="AD35" s="69"/>
      <c r="AE35" s="98"/>
      <c r="AF35" s="87"/>
      <c r="AG35" s="88"/>
      <c r="AH35" s="87"/>
      <c r="AI35" s="89"/>
      <c r="AJ35" s="90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</row>
    <row r="36" spans="1:49" x14ac:dyDescent="0.25">
      <c r="A36" s="3"/>
      <c r="B36" s="109" t="s">
        <v>64</v>
      </c>
      <c r="C36" s="110"/>
      <c r="D36" s="110"/>
      <c r="E36" s="110"/>
      <c r="F36" s="111"/>
      <c r="G36" s="446"/>
      <c r="H36" s="113">
        <f>SUM(H23:H35)</f>
        <v>9292.4779999999992</v>
      </c>
      <c r="I36" s="87"/>
      <c r="J36" s="115"/>
      <c r="K36" s="447"/>
      <c r="L36" s="113">
        <f>SUM(L23:L35)</f>
        <v>2134.3947075628748</v>
      </c>
      <c r="M36" s="91"/>
      <c r="N36" s="117">
        <f t="shared" si="2"/>
        <v>-7158.0832924371243</v>
      </c>
      <c r="O36" s="118">
        <f>IF(OR(H36=0, L36=0),"",(N36/H36))</f>
        <v>-0.77030941503839179</v>
      </c>
      <c r="Q36" s="119"/>
      <c r="R36" s="120"/>
      <c r="S36" s="88"/>
      <c r="T36" s="87"/>
      <c r="U36" s="121"/>
      <c r="V36" s="122"/>
      <c r="W36" s="69"/>
      <c r="X36" s="119"/>
      <c r="Y36" s="120"/>
      <c r="Z36" s="88"/>
      <c r="AA36" s="87"/>
      <c r="AB36" s="121"/>
      <c r="AC36" s="122"/>
      <c r="AD36" s="69"/>
      <c r="AE36" s="119"/>
      <c r="AF36" s="120"/>
      <c r="AG36" s="88"/>
      <c r="AH36" s="87"/>
      <c r="AI36" s="121"/>
      <c r="AJ36" s="122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</row>
    <row r="37" spans="1:49" x14ac:dyDescent="0.25">
      <c r="A37" s="5" t="s">
        <v>18</v>
      </c>
      <c r="B37" s="271" t="str">
        <f>IF(Rates!D46=$A$37,Rates!B46," ")</f>
        <v>Low Voltage Service Rate</v>
      </c>
      <c r="C37" s="78"/>
      <c r="D37" s="271" t="str">
        <f>IF(Rates!D46=$A$37,Rates!E46," ")</f>
        <v>kW</v>
      </c>
      <c r="E37" s="79"/>
      <c r="F37" s="470">
        <f>IF(Rates!$J$1="BRT 2018",Rates!J46," ")</f>
        <v>1.1222000000000001</v>
      </c>
      <c r="G37" s="439">
        <f t="shared" ref="G37:G51" si="12">IF(D37="customer",1,IF(D37="kWh",$F$19,$F$17))</f>
        <v>2340</v>
      </c>
      <c r="H37" s="126">
        <f>G37*F37</f>
        <v>2625.9480000000003</v>
      </c>
      <c r="I37" s="87"/>
      <c r="J37" s="337">
        <f>IF(Rates!$L$1="E+ 2019",Rates!L46," ")</f>
        <v>0</v>
      </c>
      <c r="K37" s="439">
        <f t="shared" ref="K37:K51" si="13">IF(D37="customer",1,IF(D37="kWh",$F$19,$F$17))</f>
        <v>2340</v>
      </c>
      <c r="L37" s="82">
        <f t="shared" si="1"/>
        <v>0</v>
      </c>
      <c r="M37" s="87"/>
      <c r="N37" s="84">
        <f t="shared" si="2"/>
        <v>-2625.9480000000003</v>
      </c>
      <c r="O37" s="85" t="str">
        <f t="shared" ref="O37:O44" si="14">IF(OR(H37=0,L37=0),"",(N37/H37))</f>
        <v/>
      </c>
      <c r="Q37" s="119"/>
      <c r="R37" s="87"/>
      <c r="S37" s="88"/>
      <c r="T37" s="87"/>
      <c r="U37" s="89"/>
      <c r="V37" s="90"/>
      <c r="W37" s="69"/>
      <c r="X37" s="119"/>
      <c r="Y37" s="87"/>
      <c r="Z37" s="88"/>
      <c r="AA37" s="87"/>
      <c r="AB37" s="89"/>
      <c r="AC37" s="90"/>
      <c r="AD37" s="69"/>
      <c r="AE37" s="119"/>
      <c r="AF37" s="87"/>
      <c r="AG37" s="88"/>
      <c r="AH37" s="87"/>
      <c r="AI37" s="89"/>
      <c r="AJ37" s="90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</row>
    <row r="38" spans="1:49" x14ac:dyDescent="0.25">
      <c r="A38" s="1"/>
      <c r="B38" s="124" t="s">
        <v>116</v>
      </c>
      <c r="C38" s="78"/>
      <c r="D38" s="271" t="s">
        <v>13</v>
      </c>
      <c r="E38" s="79"/>
      <c r="F38" s="470">
        <v>0</v>
      </c>
      <c r="G38" s="441"/>
      <c r="H38" s="126">
        <f t="shared" ref="H38:H44" si="15">G38*F38</f>
        <v>0</v>
      </c>
      <c r="I38" s="87"/>
      <c r="J38" s="337"/>
      <c r="K38" s="441"/>
      <c r="L38" s="82">
        <f t="shared" si="1"/>
        <v>0</v>
      </c>
      <c r="M38" s="91"/>
      <c r="N38" s="84">
        <f t="shared" si="2"/>
        <v>0</v>
      </c>
      <c r="O38" s="85" t="str">
        <f t="shared" si="14"/>
        <v/>
      </c>
      <c r="Q38" s="128"/>
      <c r="R38" s="129"/>
      <c r="S38" s="88"/>
      <c r="T38" s="87"/>
      <c r="U38" s="89"/>
      <c r="V38" s="90"/>
      <c r="W38" s="69"/>
      <c r="X38" s="128"/>
      <c r="Y38" s="129"/>
      <c r="Z38" s="88"/>
      <c r="AA38" s="87"/>
      <c r="AB38" s="89"/>
      <c r="AC38" s="90"/>
      <c r="AD38" s="69"/>
      <c r="AE38" s="128"/>
      <c r="AF38" s="129"/>
      <c r="AG38" s="88"/>
      <c r="AH38" s="87"/>
      <c r="AI38" s="89"/>
      <c r="AJ38" s="90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</row>
    <row r="39" spans="1:49" x14ac:dyDescent="0.25">
      <c r="A39" s="130"/>
      <c r="B39" s="271" t="str">
        <f>IF(Rates!D47=$A$37,Rates!B47," ")</f>
        <v>Rate Rider Other Fixed</v>
      </c>
      <c r="C39" s="78"/>
      <c r="D39" s="271" t="str">
        <f>IF(Rates!D47=$A$37,Rates!E47," ")</f>
        <v>customer</v>
      </c>
      <c r="E39" s="79"/>
      <c r="F39" s="470">
        <f>IF(Rates!$J$1="BRT 2018",Rates!J47," ")</f>
        <v>0</v>
      </c>
      <c r="G39" s="439">
        <f t="shared" si="12"/>
        <v>1</v>
      </c>
      <c r="H39" s="126">
        <f t="shared" si="15"/>
        <v>0</v>
      </c>
      <c r="I39" s="87"/>
      <c r="J39" s="337">
        <f>IF(Rates!$L$1="E+ 2019",Rates!L47," ")</f>
        <v>0</v>
      </c>
      <c r="K39" s="439">
        <f t="shared" si="13"/>
        <v>1</v>
      </c>
      <c r="L39" s="82">
        <f t="shared" si="1"/>
        <v>0</v>
      </c>
      <c r="M39" s="91"/>
      <c r="N39" s="84">
        <f t="shared" si="2"/>
        <v>0</v>
      </c>
      <c r="O39" s="85" t="str">
        <f t="shared" si="14"/>
        <v/>
      </c>
      <c r="Q39" s="119"/>
      <c r="R39" s="87"/>
      <c r="S39" s="88"/>
      <c r="T39" s="87"/>
      <c r="U39" s="89"/>
      <c r="V39" s="90"/>
      <c r="W39" s="69"/>
      <c r="X39" s="119"/>
      <c r="Y39" s="87"/>
      <c r="Z39" s="88"/>
      <c r="AA39" s="87"/>
      <c r="AB39" s="89"/>
      <c r="AC39" s="90"/>
      <c r="AD39" s="69"/>
      <c r="AE39" s="119"/>
      <c r="AF39" s="87"/>
      <c r="AG39" s="88"/>
      <c r="AH39" s="87"/>
      <c r="AI39" s="89"/>
      <c r="AJ39" s="90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</row>
    <row r="40" spans="1:49" x14ac:dyDescent="0.25">
      <c r="A40" s="130"/>
      <c r="B40" s="271" t="str">
        <f>IF(Rates!D48=$A$37,Rates!B48," ")</f>
        <v>Rate Rider Other Volumetric</v>
      </c>
      <c r="C40" s="78"/>
      <c r="D40" s="271" t="str">
        <f>IF(Rates!D48=$A$37,Rates!E48," ")</f>
        <v>kW</v>
      </c>
      <c r="E40" s="79"/>
      <c r="F40" s="470">
        <f>IF(Rates!$J$1="BRT 2018",Rates!J48," ")</f>
        <v>0</v>
      </c>
      <c r="G40" s="439">
        <f t="shared" si="12"/>
        <v>2340</v>
      </c>
      <c r="H40" s="126">
        <f t="shared" si="15"/>
        <v>0</v>
      </c>
      <c r="I40" s="87"/>
      <c r="J40" s="337">
        <f>IF(Rates!$L$1="E+ 2019",Rates!L48," ")</f>
        <v>2.3136336571263801E-2</v>
      </c>
      <c r="K40" s="439">
        <f t="shared" si="13"/>
        <v>2340</v>
      </c>
      <c r="L40" s="82">
        <f t="shared" si="1"/>
        <v>54.139027576757293</v>
      </c>
      <c r="M40" s="91"/>
      <c r="N40" s="84">
        <f t="shared" si="2"/>
        <v>54.139027576757293</v>
      </c>
      <c r="O40" s="85" t="str">
        <f t="shared" si="14"/>
        <v/>
      </c>
      <c r="Q40" s="119"/>
      <c r="R40" s="87"/>
      <c r="S40" s="88"/>
      <c r="T40" s="87"/>
      <c r="U40" s="89"/>
      <c r="V40" s="90"/>
      <c r="W40" s="69"/>
      <c r="X40" s="119"/>
      <c r="Y40" s="87"/>
      <c r="Z40" s="88"/>
      <c r="AA40" s="87"/>
      <c r="AB40" s="89"/>
      <c r="AC40" s="90"/>
      <c r="AD40" s="69"/>
      <c r="AE40" s="119"/>
      <c r="AF40" s="87"/>
      <c r="AG40" s="88"/>
      <c r="AH40" s="87"/>
      <c r="AI40" s="89"/>
      <c r="AJ40" s="90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</row>
    <row r="41" spans="1:49" x14ac:dyDescent="0.25">
      <c r="A41" s="130"/>
      <c r="B41" s="271" t="str">
        <f>IF(Rates!D49=$A$37,Rates!B49," ")</f>
        <v>Rate Rider Other Volumetric</v>
      </c>
      <c r="C41" s="78"/>
      <c r="D41" s="271" t="str">
        <f>IF(Rates!D49=$A$37,Rates!E49," ")</f>
        <v>kW</v>
      </c>
      <c r="E41" s="79"/>
      <c r="F41" s="470">
        <f>IF(Rates!$J$1="BRT 2018",Rates!J49," ")</f>
        <v>0</v>
      </c>
      <c r="G41" s="439">
        <f t="shared" si="12"/>
        <v>2340</v>
      </c>
      <c r="H41" s="126">
        <f t="shared" si="15"/>
        <v>0</v>
      </c>
      <c r="I41" s="87"/>
      <c r="J41" s="337">
        <f>IF(Rates!$L$1="E+ 2019",Rates!L49," ")</f>
        <v>0</v>
      </c>
      <c r="K41" s="439">
        <f t="shared" si="13"/>
        <v>2340</v>
      </c>
      <c r="L41" s="82">
        <f t="shared" si="1"/>
        <v>0</v>
      </c>
      <c r="M41" s="91"/>
      <c r="N41" s="84">
        <f t="shared" si="2"/>
        <v>0</v>
      </c>
      <c r="O41" s="85" t="str">
        <f t="shared" si="14"/>
        <v/>
      </c>
      <c r="Q41" s="119"/>
      <c r="R41" s="87"/>
      <c r="S41" s="88"/>
      <c r="T41" s="87"/>
      <c r="U41" s="89"/>
      <c r="V41" s="90"/>
      <c r="W41" s="69"/>
      <c r="X41" s="119"/>
      <c r="Y41" s="87"/>
      <c r="Z41" s="88"/>
      <c r="AA41" s="87"/>
      <c r="AB41" s="89"/>
      <c r="AC41" s="90"/>
      <c r="AD41" s="69"/>
      <c r="AE41" s="119"/>
      <c r="AF41" s="87"/>
      <c r="AG41" s="88"/>
      <c r="AH41" s="87"/>
      <c r="AI41" s="89"/>
      <c r="AJ41" s="90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</row>
    <row r="42" spans="1:49" x14ac:dyDescent="0.25">
      <c r="A42" s="1"/>
      <c r="B42" s="271" t="str">
        <f>IF(Rates!D50=$A$37,Rates!B50," ")</f>
        <v xml:space="preserve">Rate Rider for Disposition of Deferral/Variance Accounts </v>
      </c>
      <c r="C42" s="78"/>
      <c r="D42" s="271" t="str">
        <f>IF(Rates!D50=$A$37,Rates!E50," ")</f>
        <v>kW</v>
      </c>
      <c r="E42" s="79"/>
      <c r="F42" s="470">
        <f>IF(Rates!$J$1="BRT 2018",Rates!J50," ")</f>
        <v>-2.8760694640552322</v>
      </c>
      <c r="G42" s="439">
        <f t="shared" si="12"/>
        <v>2340</v>
      </c>
      <c r="H42" s="126">
        <f t="shared" si="15"/>
        <v>-6730.0025458892433</v>
      </c>
      <c r="I42" s="87"/>
      <c r="J42" s="337">
        <f>IF(Rates!$L$1="E+ 2019",Rates!L50," ")</f>
        <v>-0.6778500369058692</v>
      </c>
      <c r="K42" s="439">
        <f t="shared" si="13"/>
        <v>2340</v>
      </c>
      <c r="L42" s="82">
        <f t="shared" si="1"/>
        <v>-1586.1690863597339</v>
      </c>
      <c r="M42" s="91"/>
      <c r="N42" s="84">
        <f t="shared" si="2"/>
        <v>5143.8334595295091</v>
      </c>
      <c r="O42" s="85">
        <f t="shared" si="14"/>
        <v>-0.7643137464593408</v>
      </c>
      <c r="Q42" s="128"/>
      <c r="R42" s="129"/>
      <c r="S42" s="88"/>
      <c r="T42" s="87"/>
      <c r="U42" s="89"/>
      <c r="V42" s="90"/>
      <c r="W42" s="69"/>
      <c r="X42" s="128"/>
      <c r="Y42" s="129"/>
      <c r="Z42" s="88"/>
      <c r="AA42" s="87"/>
      <c r="AB42" s="89"/>
      <c r="AC42" s="90"/>
      <c r="AD42" s="69"/>
      <c r="AE42" s="128"/>
      <c r="AF42" s="129"/>
      <c r="AG42" s="88"/>
      <c r="AH42" s="87"/>
      <c r="AI42" s="89"/>
      <c r="AJ42" s="90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</row>
    <row r="43" spans="1:49" x14ac:dyDescent="0.25">
      <c r="A43" s="1"/>
      <c r="B43" s="271" t="str">
        <f>IF(Rates!D51=$A$37,Rates!B51," ")</f>
        <v>Rate Rider for Disposition of Deferral/Variance Accounts Non-WMP Customers</v>
      </c>
      <c r="C43" s="78"/>
      <c r="D43" s="271" t="str">
        <f>IF(Rates!D51=$A$37,Rates!E51," ")</f>
        <v>kW</v>
      </c>
      <c r="E43" s="79"/>
      <c r="F43" s="470">
        <f>IF(Rates!$J$1="BRT 2018",Rates!J51," ")</f>
        <v>0</v>
      </c>
      <c r="G43" s="439">
        <f t="shared" si="12"/>
        <v>2340</v>
      </c>
      <c r="H43" s="126">
        <f t="shared" si="15"/>
        <v>0</v>
      </c>
      <c r="I43" s="87"/>
      <c r="J43" s="337">
        <f>IF(Rates!$L$1="E+ 2019",Rates!L51," ")</f>
        <v>0</v>
      </c>
      <c r="K43" s="439">
        <f t="shared" si="13"/>
        <v>2340</v>
      </c>
      <c r="L43" s="82">
        <f t="shared" si="1"/>
        <v>0</v>
      </c>
      <c r="M43" s="91"/>
      <c r="N43" s="84">
        <f t="shared" si="2"/>
        <v>0</v>
      </c>
      <c r="O43" s="85" t="str">
        <f t="shared" si="14"/>
        <v/>
      </c>
      <c r="Q43" s="128"/>
      <c r="R43" s="129"/>
      <c r="S43" s="88"/>
      <c r="T43" s="87"/>
      <c r="U43" s="89"/>
      <c r="V43" s="90"/>
      <c r="W43" s="69"/>
      <c r="X43" s="128"/>
      <c r="Y43" s="129"/>
      <c r="Z43" s="88"/>
      <c r="AA43" s="87"/>
      <c r="AB43" s="89"/>
      <c r="AC43" s="90"/>
      <c r="AD43" s="69"/>
      <c r="AE43" s="128"/>
      <c r="AF43" s="129"/>
      <c r="AG43" s="88"/>
      <c r="AH43" s="87"/>
      <c r="AI43" s="89"/>
      <c r="AJ43" s="90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</row>
    <row r="44" spans="1:49" x14ac:dyDescent="0.25">
      <c r="A44" s="1"/>
      <c r="B44" s="271" t="str">
        <f>IF(Rates!D52=$A$37,Rates!B52," ")</f>
        <v>Rate Rider for Disposition of GA DV</v>
      </c>
      <c r="C44" s="78"/>
      <c r="D44" s="271" t="str">
        <f>IF(Rates!D52=$A$37,Rates!E52," ")</f>
        <v>kWh</v>
      </c>
      <c r="E44" s="79"/>
      <c r="F44" s="312">
        <f>IF(Rates!$J$1="BRT 2018",Rates!J52," ")</f>
        <v>1.4200000000000001E-2</v>
      </c>
      <c r="G44" s="439">
        <f t="shared" si="12"/>
        <v>1300000</v>
      </c>
      <c r="H44" s="126">
        <f t="shared" si="15"/>
        <v>18460</v>
      </c>
      <c r="I44" s="87"/>
      <c r="J44" s="337">
        <f>IF(Rates!$L$1="E+ 2019",Rates!L52," ")</f>
        <v>3.8449181889326281E-4</v>
      </c>
      <c r="K44" s="439">
        <f t="shared" si="13"/>
        <v>1300000</v>
      </c>
      <c r="L44" s="82">
        <f t="shared" si="1"/>
        <v>499.83936456124167</v>
      </c>
      <c r="M44" s="91"/>
      <c r="N44" s="84">
        <f t="shared" si="2"/>
        <v>-17960.160635438759</v>
      </c>
      <c r="O44" s="85">
        <f t="shared" si="14"/>
        <v>-0.97292311134554488</v>
      </c>
      <c r="Q44" s="128"/>
      <c r="R44" s="129"/>
      <c r="S44" s="88"/>
      <c r="T44" s="87"/>
      <c r="U44" s="89"/>
      <c r="V44" s="90"/>
      <c r="W44" s="69"/>
      <c r="X44" s="128"/>
      <c r="Y44" s="129"/>
      <c r="Z44" s="88"/>
      <c r="AA44" s="87"/>
      <c r="AB44" s="89"/>
      <c r="AC44" s="90"/>
      <c r="AD44" s="69"/>
      <c r="AE44" s="128"/>
      <c r="AF44" s="129"/>
      <c r="AG44" s="88"/>
      <c r="AH44" s="87"/>
      <c r="AI44" s="89"/>
      <c r="AJ44" s="90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</row>
    <row r="45" spans="1:49" x14ac:dyDescent="0.25">
      <c r="A45" s="1"/>
      <c r="B45" s="271" t="str">
        <f>IF(Rates!D53=$A$37,Rates!B53," ")</f>
        <v>Rate Rider for Disposition of Capacity Based Recovery Account (2018) - Applicable only for Class B Customers</v>
      </c>
      <c r="C45" s="78"/>
      <c r="D45" s="271" t="str">
        <f>IF(Rates!D53=$A$37,Rates!E53," ")</f>
        <v>kW</v>
      </c>
      <c r="E45" s="79"/>
      <c r="F45" s="470">
        <f>IF(Rates!$J$1="BRT 2018",Rates!J53," ")</f>
        <v>0</v>
      </c>
      <c r="G45" s="439">
        <f t="shared" si="12"/>
        <v>2340</v>
      </c>
      <c r="H45" s="126">
        <f t="shared" ref="H45" si="16">G45*F45</f>
        <v>0</v>
      </c>
      <c r="I45" s="87"/>
      <c r="J45" s="337">
        <f>IF(Rates!$L$1="E+ 2019",Rates!L53," ")</f>
        <v>2.0147813223232993E-3</v>
      </c>
      <c r="K45" s="439">
        <f t="shared" si="13"/>
        <v>2340</v>
      </c>
      <c r="L45" s="82">
        <f t="shared" ref="L45" si="17">K45*J45</f>
        <v>4.7145882942365205</v>
      </c>
      <c r="M45" s="91"/>
      <c r="N45" s="84">
        <f t="shared" ref="N45" si="18">L45-H45</f>
        <v>4.7145882942365205</v>
      </c>
      <c r="O45" s="85" t="str">
        <f t="shared" ref="O45" si="19">IF(OR(H45=0,L45=0),"",(N45/H45))</f>
        <v/>
      </c>
      <c r="Q45" s="128"/>
      <c r="R45" s="129"/>
      <c r="S45" s="88"/>
      <c r="T45" s="87"/>
      <c r="U45" s="89"/>
      <c r="V45" s="90"/>
      <c r="W45" s="69"/>
      <c r="X45" s="128"/>
      <c r="Y45" s="129"/>
      <c r="Z45" s="88"/>
      <c r="AA45" s="87"/>
      <c r="AB45" s="89"/>
      <c r="AC45" s="90"/>
      <c r="AD45" s="69"/>
      <c r="AE45" s="128"/>
      <c r="AF45" s="129"/>
      <c r="AG45" s="88"/>
      <c r="AH45" s="87"/>
      <c r="AI45" s="89"/>
      <c r="AJ45" s="90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</row>
    <row r="46" spans="1:49" hidden="1" x14ac:dyDescent="0.25">
      <c r="A46" s="1"/>
      <c r="B46" s="271"/>
      <c r="C46" s="78"/>
      <c r="D46" s="271"/>
      <c r="E46" s="79"/>
      <c r="F46" s="470"/>
      <c r="G46" s="439"/>
      <c r="H46" s="126"/>
      <c r="I46" s="87"/>
      <c r="J46" s="337"/>
      <c r="K46" s="439"/>
      <c r="L46" s="82"/>
      <c r="M46" s="91"/>
      <c r="N46" s="84"/>
      <c r="O46" s="85"/>
      <c r="Q46" s="128"/>
      <c r="R46" s="129"/>
      <c r="S46" s="88"/>
      <c r="T46" s="87"/>
      <c r="U46" s="89"/>
      <c r="V46" s="90"/>
      <c r="W46" s="69"/>
      <c r="X46" s="128"/>
      <c r="Y46" s="129"/>
      <c r="Z46" s="88"/>
      <c r="AA46" s="87"/>
      <c r="AB46" s="89"/>
      <c r="AC46" s="90"/>
      <c r="AD46" s="69"/>
      <c r="AE46" s="128"/>
      <c r="AF46" s="129"/>
      <c r="AG46" s="88"/>
      <c r="AH46" s="87"/>
      <c r="AI46" s="89"/>
      <c r="AJ46" s="90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</row>
    <row r="47" spans="1:49" x14ac:dyDescent="0.25">
      <c r="A47" s="1"/>
      <c r="B47" s="132" t="s">
        <v>80</v>
      </c>
      <c r="C47" s="133"/>
      <c r="D47" s="133"/>
      <c r="E47" s="133"/>
      <c r="F47" s="134"/>
      <c r="G47" s="135"/>
      <c r="H47" s="136">
        <f>SUM(H37:H46)+H36</f>
        <v>23648.423454110758</v>
      </c>
      <c r="I47" s="87"/>
      <c r="J47" s="135"/>
      <c r="K47" s="451"/>
      <c r="L47" s="136">
        <f>SUM(L37:L46)+L36</f>
        <v>1106.9186016353765</v>
      </c>
      <c r="M47" s="91"/>
      <c r="N47" s="117">
        <f t="shared" si="2"/>
        <v>-22541.50485247538</v>
      </c>
      <c r="O47" s="138">
        <f>IF(OR(H47=0,L47=0),"",(N47/H47))</f>
        <v>-0.95319271055073385</v>
      </c>
      <c r="Q47" s="87"/>
      <c r="R47" s="87"/>
      <c r="S47" s="121"/>
      <c r="T47" s="87"/>
      <c r="U47" s="121"/>
      <c r="V47" s="139"/>
      <c r="W47" s="69"/>
      <c r="X47" s="87"/>
      <c r="Y47" s="87"/>
      <c r="Z47" s="121"/>
      <c r="AA47" s="87"/>
      <c r="AB47" s="121"/>
      <c r="AC47" s="139"/>
      <c r="AD47" s="69"/>
      <c r="AE47" s="87"/>
      <c r="AF47" s="87"/>
      <c r="AG47" s="121"/>
      <c r="AH47" s="87"/>
      <c r="AI47" s="121"/>
      <c r="AJ47" s="13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</row>
    <row r="48" spans="1:49" x14ac:dyDescent="0.25">
      <c r="A48" s="38" t="s">
        <v>16</v>
      </c>
      <c r="B48" s="271" t="str">
        <f>IF(Rates!D54=$A$48,Rates!B54," ")</f>
        <v>Retail Transmission Rate – Network Service Rate</v>
      </c>
      <c r="C48" s="83"/>
      <c r="D48" s="271" t="str">
        <f>IF(Rates!D54= $A$48,Rates!E54," ")</f>
        <v>kW</v>
      </c>
      <c r="E48" s="91"/>
      <c r="F48" s="235">
        <f>IF(Rates!$J$1="BRT 2018",Rates!J54," ")</f>
        <v>2.3643999999999998</v>
      </c>
      <c r="G48" s="441">
        <f t="shared" si="12"/>
        <v>2340</v>
      </c>
      <c r="H48" s="82">
        <f>G48*F48</f>
        <v>5532.6959999999999</v>
      </c>
      <c r="I48" s="87"/>
      <c r="J48" s="235">
        <f>IF(Rates!$L$1="E+ 2019",Rates!L54," ")</f>
        <v>2.049472157469471</v>
      </c>
      <c r="K48" s="441">
        <f t="shared" si="13"/>
        <v>2340</v>
      </c>
      <c r="L48" s="82">
        <f>K48*J48</f>
        <v>4795.7648484785623</v>
      </c>
      <c r="M48" s="91"/>
      <c r="N48" s="84">
        <f t="shared" si="2"/>
        <v>-736.93115152143764</v>
      </c>
      <c r="O48" s="85">
        <f>IF(OR(H48=0,L48=0),"",(N48/H48))</f>
        <v>-0.13319567016178688</v>
      </c>
      <c r="Q48" s="119"/>
      <c r="R48" s="141"/>
      <c r="S48" s="294">
        <f>F48*K48</f>
        <v>5532.6959999999999</v>
      </c>
      <c r="T48" s="87"/>
      <c r="U48" s="89"/>
      <c r="V48" s="90"/>
      <c r="W48" s="69"/>
      <c r="X48" s="119"/>
      <c r="Y48" s="141"/>
      <c r="Z48" s="88"/>
      <c r="AA48" s="87"/>
      <c r="AB48" s="89"/>
      <c r="AC48" s="90"/>
      <c r="AD48" s="69"/>
      <c r="AE48" s="119"/>
      <c r="AF48" s="141"/>
      <c r="AG48" s="88"/>
      <c r="AH48" s="87"/>
      <c r="AI48" s="89"/>
      <c r="AJ48" s="90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</row>
    <row r="49" spans="1:49" x14ac:dyDescent="0.25">
      <c r="A49" s="1"/>
      <c r="B49" s="271" t="str">
        <f>IF(Rates!D55=$A$48,Rates!B55," ")</f>
        <v>Retail Transmission Rate – Line and Transformation Connection Service Rate</v>
      </c>
      <c r="C49" s="83"/>
      <c r="D49" s="271" t="str">
        <f>IF(Rates!D55= $A$48,Rates!E55," ")</f>
        <v>kW</v>
      </c>
      <c r="E49" s="91"/>
      <c r="F49" s="235">
        <f>IF(Rates!$J$1="BRT 2018",Rates!J55," ")</f>
        <v>1.2948999999999999</v>
      </c>
      <c r="G49" s="441">
        <f t="shared" si="12"/>
        <v>2340</v>
      </c>
      <c r="H49" s="82">
        <f t="shared" ref="H49" si="20">G49*F49</f>
        <v>3030.0659999999998</v>
      </c>
      <c r="I49" s="87"/>
      <c r="J49" s="235">
        <f>IF(Rates!$L$1="E+ 2019",Rates!L55," ")</f>
        <v>1.284043782729644</v>
      </c>
      <c r="K49" s="441">
        <f t="shared" si="13"/>
        <v>2340</v>
      </c>
      <c r="L49" s="82">
        <f t="shared" ref="L49" si="21">K49*J49</f>
        <v>3004.6624515873668</v>
      </c>
      <c r="M49" s="91"/>
      <c r="N49" s="84">
        <f t="shared" si="2"/>
        <v>-25.403548412632972</v>
      </c>
      <c r="O49" s="85">
        <f t="shared" ref="O49" si="22">IF(OR(H49=0,L49=0),"",(N49/H49))</f>
        <v>-8.3838267590979777E-3</v>
      </c>
      <c r="Q49" s="119"/>
      <c r="R49" s="141"/>
      <c r="S49" s="295">
        <f>F49*K49</f>
        <v>3030.0659999999998</v>
      </c>
      <c r="T49" s="87"/>
      <c r="U49" s="89"/>
      <c r="V49" s="90"/>
      <c r="W49" s="69"/>
      <c r="X49" s="119"/>
      <c r="Y49" s="141"/>
      <c r="Z49" s="88"/>
      <c r="AA49" s="87"/>
      <c r="AB49" s="89"/>
      <c r="AC49" s="90"/>
      <c r="AD49" s="69"/>
      <c r="AE49" s="119"/>
      <c r="AF49" s="141"/>
      <c r="AG49" s="88"/>
      <c r="AH49" s="87"/>
      <c r="AI49" s="89"/>
      <c r="AJ49" s="90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</row>
    <row r="50" spans="1:49" x14ac:dyDescent="0.25">
      <c r="A50" s="1"/>
      <c r="B50" s="132" t="s">
        <v>81</v>
      </c>
      <c r="C50" s="110"/>
      <c r="D50" s="110"/>
      <c r="E50" s="110"/>
      <c r="F50" s="142"/>
      <c r="G50" s="135"/>
      <c r="H50" s="136">
        <f>SUM(H47:H49)</f>
        <v>32211.185454110757</v>
      </c>
      <c r="I50" s="146"/>
      <c r="J50" s="144"/>
      <c r="K50" s="145"/>
      <c r="L50" s="136">
        <f>SUM(L47:L49)</f>
        <v>8907.3459017013047</v>
      </c>
      <c r="M50" s="277"/>
      <c r="N50" s="117">
        <f>L50-H50</f>
        <v>-23303.839552409452</v>
      </c>
      <c r="O50" s="138">
        <f>IF(OR(H50=0,L50=0),"",(N50/H50))</f>
        <v>-0.72347041016571589</v>
      </c>
      <c r="Q50" s="146"/>
      <c r="R50" s="146"/>
      <c r="S50" s="296">
        <f>S48+S49</f>
        <v>8562.7619999999988</v>
      </c>
      <c r="T50" s="146"/>
      <c r="U50" s="121"/>
      <c r="V50" s="139"/>
      <c r="W50" s="69"/>
      <c r="X50" s="146"/>
      <c r="Y50" s="146"/>
      <c r="Z50" s="121"/>
      <c r="AA50" s="146"/>
      <c r="AB50" s="121"/>
      <c r="AC50" s="139"/>
      <c r="AD50" s="69"/>
      <c r="AE50" s="146"/>
      <c r="AF50" s="146"/>
      <c r="AG50" s="121"/>
      <c r="AH50" s="146"/>
      <c r="AI50" s="121"/>
      <c r="AJ50" s="13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</row>
    <row r="51" spans="1:49" x14ac:dyDescent="0.25">
      <c r="A51" s="4" t="s">
        <v>17</v>
      </c>
      <c r="B51" s="271" t="str">
        <f>IF(Rates!D8=$A$51,Rates!B8," ")</f>
        <v>Standard Supply Service – Administrative Charge (if applicable)</v>
      </c>
      <c r="C51" s="78"/>
      <c r="D51" s="271" t="str">
        <f>IF(Rates!D8=$A$51,Rates!E8," ")</f>
        <v>customer</v>
      </c>
      <c r="E51" s="79"/>
      <c r="F51" s="235">
        <f>IF(Rates!$J$1="BRT 2018",Rates!J8," ")</f>
        <v>0.25</v>
      </c>
      <c r="G51" s="439">
        <f t="shared" si="12"/>
        <v>1</v>
      </c>
      <c r="H51" s="148">
        <f t="shared" ref="H51:H59" si="23">G51*F51</f>
        <v>0.25</v>
      </c>
      <c r="I51" s="87"/>
      <c r="J51" s="80">
        <f>IF(Rates!$L$1="E+ 2019",Rates!L8," ")</f>
        <v>0.25</v>
      </c>
      <c r="K51" s="439">
        <f t="shared" si="13"/>
        <v>1</v>
      </c>
      <c r="L51" s="148">
        <f t="shared" ref="L51:L60" si="24">K51*J51</f>
        <v>0.25</v>
      </c>
      <c r="M51" s="91"/>
      <c r="N51" s="84">
        <f t="shared" si="2"/>
        <v>0</v>
      </c>
      <c r="O51" s="85">
        <f>IF(OR(H51=0,L51=0),"",(N51/H51))</f>
        <v>0</v>
      </c>
      <c r="Q51" s="150"/>
      <c r="R51" s="224"/>
      <c r="S51" s="151"/>
      <c r="T51" s="87"/>
      <c r="U51" s="89"/>
      <c r="V51" s="90"/>
      <c r="W51" s="69"/>
      <c r="X51" s="150"/>
      <c r="Y51" s="224"/>
      <c r="Z51" s="151"/>
      <c r="AA51" s="87"/>
      <c r="AB51" s="89"/>
      <c r="AC51" s="90"/>
      <c r="AD51" s="69"/>
      <c r="AE51" s="150"/>
      <c r="AF51" s="224"/>
      <c r="AG51" s="151"/>
      <c r="AH51" s="87"/>
      <c r="AI51" s="89"/>
      <c r="AJ51" s="90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</row>
    <row r="52" spans="1:49" x14ac:dyDescent="0.25">
      <c r="A52" s="1"/>
      <c r="B52" s="271" t="str">
        <f>IF(Rates!D9=$A$51,Rates!B9," ")</f>
        <v xml:space="preserve">Wholesale Market Service Rate </v>
      </c>
      <c r="C52" s="78"/>
      <c r="D52" s="271" t="str">
        <f>IF(Rates!D9=$A$51,Rates!E9," ")</f>
        <v>kWh</v>
      </c>
      <c r="E52" s="79"/>
      <c r="F52" s="235">
        <f>IF(Rates!$J$1="BRT 2018",Rates!J9," ")</f>
        <v>3.2000000000000002E-3</v>
      </c>
      <c r="G52" s="225">
        <f>$F$19*(1+$F$74)</f>
        <v>1364350.0000000002</v>
      </c>
      <c r="H52" s="148">
        <f t="shared" si="23"/>
        <v>4365.920000000001</v>
      </c>
      <c r="I52" s="87"/>
      <c r="J52" s="235">
        <f>IF(Rates!$L$1="E+ 2019",Rates!L9," ")</f>
        <v>3.2000000000000002E-3</v>
      </c>
      <c r="K52" s="225">
        <f>$F$19*(1+$J$74)</f>
        <v>1326491.1444779627</v>
      </c>
      <c r="L52" s="148">
        <f t="shared" si="24"/>
        <v>4244.7716623294809</v>
      </c>
      <c r="M52" s="91"/>
      <c r="N52" s="84">
        <f t="shared" si="2"/>
        <v>-121.14833767052005</v>
      </c>
      <c r="O52" s="85">
        <f t="shared" ref="O52:O71" si="25">IF(OR(H52=0,L52=0),"",(N52/H52))</f>
        <v>-2.7748638928454947E-2</v>
      </c>
      <c r="Q52" s="150"/>
      <c r="R52" s="224"/>
      <c r="S52" s="151"/>
      <c r="T52" s="87"/>
      <c r="U52" s="89"/>
      <c r="V52" s="90"/>
      <c r="W52" s="69"/>
      <c r="X52" s="150"/>
      <c r="Y52" s="224"/>
      <c r="Z52" s="151"/>
      <c r="AA52" s="87"/>
      <c r="AB52" s="89"/>
      <c r="AC52" s="90"/>
      <c r="AD52" s="69"/>
      <c r="AE52" s="150"/>
      <c r="AF52" s="224"/>
      <c r="AG52" s="151"/>
      <c r="AH52" s="87"/>
      <c r="AI52" s="89"/>
      <c r="AJ52" s="90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</row>
    <row r="53" spans="1:49" x14ac:dyDescent="0.25">
      <c r="A53" s="1"/>
      <c r="B53" s="271" t="str">
        <f>IF(Rates!D10=$A$51,Rates!B10," ")</f>
        <v>Capacity Based Rcovery(CBR) - Class B Customers</v>
      </c>
      <c r="C53" s="78"/>
      <c r="D53" s="271" t="str">
        <f>IF(Rates!D10=$A$51,Rates!E10," ")</f>
        <v>kWh</v>
      </c>
      <c r="E53" s="79"/>
      <c r="F53" s="235">
        <f>IF(Rates!$J$1="BRT 2018",Rates!J10," ")</f>
        <v>4.0000000000000002E-4</v>
      </c>
      <c r="G53" s="225">
        <f>$F$19*(1+$F$74)</f>
        <v>1364350.0000000002</v>
      </c>
      <c r="H53" s="148">
        <f t="shared" si="23"/>
        <v>545.74000000000012</v>
      </c>
      <c r="I53" s="87"/>
      <c r="J53" s="235">
        <f>IF(Rates!$L$1="E+ 2019",Rates!L10," ")</f>
        <v>4.0000000000000002E-4</v>
      </c>
      <c r="K53" s="225">
        <f>$F$19*(1+$J$74)</f>
        <v>1326491.1444779627</v>
      </c>
      <c r="L53" s="148">
        <f t="shared" si="24"/>
        <v>530.59645779118512</v>
      </c>
      <c r="M53" s="91"/>
      <c r="N53" s="84">
        <f t="shared" si="2"/>
        <v>-15.143542208815006</v>
      </c>
      <c r="O53" s="85">
        <f t="shared" si="25"/>
        <v>-2.7748638928454947E-2</v>
      </c>
      <c r="Q53" s="150"/>
      <c r="R53" s="224"/>
      <c r="S53" s="151"/>
      <c r="T53" s="87"/>
      <c r="U53" s="89"/>
      <c r="V53" s="90"/>
      <c r="W53" s="69"/>
      <c r="X53" s="150"/>
      <c r="Y53" s="224"/>
      <c r="Z53" s="151"/>
      <c r="AA53" s="87"/>
      <c r="AB53" s="89"/>
      <c r="AC53" s="90"/>
      <c r="AD53" s="69"/>
      <c r="AE53" s="150"/>
      <c r="AF53" s="224"/>
      <c r="AG53" s="151"/>
      <c r="AH53" s="87"/>
      <c r="AI53" s="89"/>
      <c r="AJ53" s="90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</row>
    <row r="54" spans="1:49" x14ac:dyDescent="0.25">
      <c r="A54" s="1"/>
      <c r="B54" s="271" t="str">
        <f>IF(Rates!D11=$A$51,Rates!B11," ")</f>
        <v xml:space="preserve">Rural Rate Protection Charge </v>
      </c>
      <c r="C54" s="78"/>
      <c r="D54" s="271" t="str">
        <f>IF(Rates!D11=$A$51,Rates!E11," ")</f>
        <v>kWh</v>
      </c>
      <c r="E54" s="79"/>
      <c r="F54" s="235">
        <f>IF(Rates!$J$1="BRT 2018",Rates!J11," ")</f>
        <v>2.9999999999999997E-4</v>
      </c>
      <c r="G54" s="225">
        <f>$F$19*(1+$F$74)</f>
        <v>1364350.0000000002</v>
      </c>
      <c r="H54" s="148">
        <f t="shared" si="23"/>
        <v>409.30500000000001</v>
      </c>
      <c r="I54" s="87"/>
      <c r="J54" s="235">
        <f>IF(Rates!$L$1="E+ 2019",Rates!L11," ")</f>
        <v>2.9999999999999997E-4</v>
      </c>
      <c r="K54" s="225">
        <f>$F$19*(1+$J$74)</f>
        <v>1326491.1444779627</v>
      </c>
      <c r="L54" s="148">
        <f t="shared" si="24"/>
        <v>397.94734334338881</v>
      </c>
      <c r="M54" s="91"/>
      <c r="N54" s="84">
        <f t="shared" si="2"/>
        <v>-11.357656656611198</v>
      </c>
      <c r="O54" s="85">
        <f t="shared" si="25"/>
        <v>-2.7748638928454816E-2</v>
      </c>
      <c r="Q54" s="153"/>
      <c r="R54" s="87"/>
      <c r="S54" s="151"/>
      <c r="T54" s="87"/>
      <c r="U54" s="89"/>
      <c r="V54" s="90"/>
      <c r="W54" s="69"/>
      <c r="X54" s="153"/>
      <c r="Y54" s="87"/>
      <c r="Z54" s="151"/>
      <c r="AA54" s="87"/>
      <c r="AB54" s="89"/>
      <c r="AC54" s="90"/>
      <c r="AD54" s="69"/>
      <c r="AE54" s="153"/>
      <c r="AF54" s="87"/>
      <c r="AG54" s="151"/>
      <c r="AH54" s="87"/>
      <c r="AI54" s="89"/>
      <c r="AJ54" s="90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</row>
    <row r="55" spans="1:49" x14ac:dyDescent="0.25">
      <c r="A55" s="1"/>
      <c r="B55" s="271" t="str">
        <f>IF(Rates!D12=$A$51,Rates!B12," ")</f>
        <v>Debt Retirement Charge</v>
      </c>
      <c r="C55" s="78"/>
      <c r="D55" s="271" t="str">
        <f>IF(Rates!D12=$A$51,Rates!E12," ")</f>
        <v>kWh</v>
      </c>
      <c r="E55" s="79"/>
      <c r="F55" s="235">
        <f>IF(Rates!$J$1="BRT 2018",Rates!J12," ")</f>
        <v>7.0000000000000001E-3</v>
      </c>
      <c r="G55" s="225">
        <f>$F$19</f>
        <v>1300000</v>
      </c>
      <c r="H55" s="148">
        <f t="shared" si="23"/>
        <v>9100</v>
      </c>
      <c r="I55" s="87"/>
      <c r="J55" s="235">
        <f>IF(Rates!$L$1="E+ 2019",Rates!L12," ")</f>
        <v>7.0000000000000001E-3</v>
      </c>
      <c r="K55" s="225">
        <f>F19</f>
        <v>1300000</v>
      </c>
      <c r="L55" s="148">
        <f t="shared" si="24"/>
        <v>9100</v>
      </c>
      <c r="M55" s="91"/>
      <c r="N55" s="84">
        <f t="shared" si="2"/>
        <v>0</v>
      </c>
      <c r="O55" s="85">
        <f t="shared" si="25"/>
        <v>0</v>
      </c>
      <c r="Q55" s="153"/>
      <c r="R55" s="87"/>
      <c r="S55" s="151"/>
      <c r="T55" s="87"/>
      <c r="U55" s="89"/>
      <c r="V55" s="90"/>
      <c r="W55" s="69"/>
      <c r="X55" s="153"/>
      <c r="Y55" s="87"/>
      <c r="Z55" s="151"/>
      <c r="AA55" s="87"/>
      <c r="AB55" s="89"/>
      <c r="AC55" s="90"/>
      <c r="AD55" s="69"/>
      <c r="AE55" s="153"/>
      <c r="AF55" s="87"/>
      <c r="AG55" s="151"/>
      <c r="AH55" s="87"/>
      <c r="AI55" s="89"/>
      <c r="AJ55" s="90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</row>
    <row r="56" spans="1:49" x14ac:dyDescent="0.25">
      <c r="A56" s="6" t="s">
        <v>14</v>
      </c>
      <c r="B56" s="271" t="str">
        <f>IF(Rates!D2=$A$56,Rates!B2," ")</f>
        <v>TOU - Off Peak</v>
      </c>
      <c r="C56" s="78"/>
      <c r="D56" s="271" t="str">
        <f>IF(Rates!D2=$A$56,Rates!E2," ")</f>
        <v>kWh</v>
      </c>
      <c r="E56" s="79"/>
      <c r="F56" s="235">
        <f>IF(Rates!$J$1="BRT 2018",Rates!J2," ")</f>
        <v>6.5000000000000002E-2</v>
      </c>
      <c r="G56" s="226">
        <f>IF($G$59=0,0.65*($F$19*(1+$F$74)),0)</f>
        <v>0</v>
      </c>
      <c r="H56" s="148">
        <f t="shared" si="23"/>
        <v>0</v>
      </c>
      <c r="I56" s="87"/>
      <c r="J56" s="152">
        <f>IF(Rates!$L$1="E+ 2019",Rates!L2," ")</f>
        <v>6.5000000000000002E-2</v>
      </c>
      <c r="K56" s="226">
        <f>IF($K$59=0,0.65*$F$19,0)</f>
        <v>0</v>
      </c>
      <c r="L56" s="148">
        <f t="shared" si="24"/>
        <v>0</v>
      </c>
      <c r="M56" s="91"/>
      <c r="N56" s="84">
        <f t="shared" si="2"/>
        <v>0</v>
      </c>
      <c r="O56" s="85" t="str">
        <f t="shared" si="25"/>
        <v/>
      </c>
      <c r="Q56" s="150"/>
      <c r="R56" s="224"/>
      <c r="S56" s="151"/>
      <c r="T56" s="87"/>
      <c r="U56" s="89"/>
      <c r="V56" s="90"/>
      <c r="W56" s="69"/>
      <c r="X56" s="150"/>
      <c r="Y56" s="224"/>
      <c r="Z56" s="151"/>
      <c r="AA56" s="87"/>
      <c r="AB56" s="89"/>
      <c r="AC56" s="90"/>
      <c r="AD56" s="69"/>
      <c r="AE56" s="150"/>
      <c r="AF56" s="224"/>
      <c r="AG56" s="151"/>
      <c r="AH56" s="87"/>
      <c r="AI56" s="89"/>
      <c r="AJ56" s="90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</row>
    <row r="57" spans="1:49" x14ac:dyDescent="0.25">
      <c r="A57" s="1"/>
      <c r="B57" s="271" t="str">
        <f>IF(Rates!D3=$A$56,Rates!B3," ")</f>
        <v>TOU - Mid Peak</v>
      </c>
      <c r="C57" s="78"/>
      <c r="D57" s="271" t="str">
        <f>IF(Rates!D3=$A$56,Rates!E3," ")</f>
        <v>kWh</v>
      </c>
      <c r="E57" s="79"/>
      <c r="F57" s="235">
        <f>IF(Rates!$J$1="BRT 2018",Rates!J3," ")</f>
        <v>9.5000000000000001E-2</v>
      </c>
      <c r="G57" s="226">
        <f>IF($G$59=0,0.17*($F$19*(1+$F$74)),0)</f>
        <v>0</v>
      </c>
      <c r="H57" s="148">
        <f t="shared" si="23"/>
        <v>0</v>
      </c>
      <c r="I57" s="87"/>
      <c r="J57" s="147">
        <f t="shared" ref="J57:J60" si="26">+F57</f>
        <v>9.5000000000000001E-2</v>
      </c>
      <c r="K57" s="226">
        <f>IF($K$59=0,0.17*$F$19,0)</f>
        <v>0</v>
      </c>
      <c r="L57" s="148">
        <f t="shared" si="24"/>
        <v>0</v>
      </c>
      <c r="M57" s="91"/>
      <c r="N57" s="84">
        <f t="shared" si="2"/>
        <v>0</v>
      </c>
      <c r="O57" s="85" t="str">
        <f t="shared" si="25"/>
        <v/>
      </c>
      <c r="Q57" s="157"/>
      <c r="R57" s="227"/>
      <c r="S57" s="151"/>
      <c r="T57" s="87"/>
      <c r="U57" s="89"/>
      <c r="V57" s="90"/>
      <c r="W57" s="69"/>
      <c r="X57" s="157"/>
      <c r="Y57" s="227"/>
      <c r="Z57" s="151"/>
      <c r="AA57" s="87"/>
      <c r="AB57" s="89"/>
      <c r="AC57" s="90"/>
      <c r="AD57" s="69"/>
      <c r="AE57" s="157"/>
      <c r="AF57" s="227"/>
      <c r="AG57" s="151"/>
      <c r="AH57" s="87"/>
      <c r="AI57" s="89"/>
      <c r="AJ57" s="90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</row>
    <row r="58" spans="1:49" x14ac:dyDescent="0.25">
      <c r="A58" s="1"/>
      <c r="B58" s="271" t="str">
        <f>IF(Rates!D4=$A$56,Rates!B4," ")</f>
        <v>TOU - On Peak</v>
      </c>
      <c r="C58" s="78"/>
      <c r="D58" s="271" t="str">
        <f>IF(Rates!D4=$A$56,Rates!E4," ")</f>
        <v>kWh</v>
      </c>
      <c r="E58" s="79"/>
      <c r="F58" s="235">
        <f>IF(Rates!$J$1="BRT 2018",Rates!J4," ")</f>
        <v>0.13200000000000001</v>
      </c>
      <c r="G58" s="226">
        <f>IF($G$59=0,0.18*($F$19*(1+$F$74)),0)</f>
        <v>0</v>
      </c>
      <c r="H58" s="148">
        <f t="shared" si="23"/>
        <v>0</v>
      </c>
      <c r="I58" s="87"/>
      <c r="J58" s="147">
        <f t="shared" si="26"/>
        <v>0.13200000000000001</v>
      </c>
      <c r="K58" s="226">
        <f>IF($K$59=0,0.18*$F$19,0)</f>
        <v>0</v>
      </c>
      <c r="L58" s="148">
        <f t="shared" si="24"/>
        <v>0</v>
      </c>
      <c r="M58" s="91"/>
      <c r="N58" s="84">
        <f t="shared" si="2"/>
        <v>0</v>
      </c>
      <c r="O58" s="85" t="str">
        <f t="shared" si="25"/>
        <v/>
      </c>
      <c r="Q58" s="157"/>
      <c r="R58" s="227"/>
      <c r="S58" s="151"/>
      <c r="T58" s="87"/>
      <c r="U58" s="89"/>
      <c r="V58" s="90"/>
      <c r="W58" s="69"/>
      <c r="X58" s="157"/>
      <c r="Y58" s="227"/>
      <c r="Z58" s="151"/>
      <c r="AA58" s="87"/>
      <c r="AB58" s="89"/>
      <c r="AC58" s="90"/>
      <c r="AD58" s="69"/>
      <c r="AE58" s="157"/>
      <c r="AF58" s="227"/>
      <c r="AG58" s="151"/>
      <c r="AH58" s="87"/>
      <c r="AI58" s="89"/>
      <c r="AJ58" s="90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</row>
    <row r="59" spans="1:49" x14ac:dyDescent="0.25">
      <c r="A59" s="1"/>
      <c r="B59" s="271" t="str">
        <f>IF(Rates!D5=$A$56,Rates!B5," ")</f>
        <v>Commodity</v>
      </c>
      <c r="C59" s="160"/>
      <c r="D59" s="271" t="str">
        <f>IF(Rates!D5=$A$56,Rates!E5," ")</f>
        <v>kWh</v>
      </c>
      <c r="E59" s="161"/>
      <c r="F59" s="235">
        <f>IF(Rates!$J$1="BRT 2018",Rates!J5," ")</f>
        <v>1.8855833333333332E-2</v>
      </c>
      <c r="G59" s="225">
        <f>$F$19*(1+$F$74)</f>
        <v>1364350.0000000002</v>
      </c>
      <c r="H59" s="148">
        <f t="shared" si="23"/>
        <v>25725.956208333337</v>
      </c>
      <c r="I59" s="166"/>
      <c r="J59" s="147">
        <f t="shared" si="26"/>
        <v>1.8855833333333332E-2</v>
      </c>
      <c r="K59" s="225">
        <f>$F$19*(1+$J$74)</f>
        <v>1326491.1444779627</v>
      </c>
      <c r="L59" s="148">
        <f t="shared" si="24"/>
        <v>25012.09593841905</v>
      </c>
      <c r="M59" s="278"/>
      <c r="N59" s="84">
        <f t="shared" si="2"/>
        <v>-713.86026991428662</v>
      </c>
      <c r="O59" s="85">
        <f t="shared" si="25"/>
        <v>-2.7748638928454986E-2</v>
      </c>
      <c r="Q59" s="157"/>
      <c r="R59" s="227"/>
      <c r="S59" s="151"/>
      <c r="T59" s="166"/>
      <c r="U59" s="89"/>
      <c r="V59" s="90"/>
      <c r="W59" s="69"/>
      <c r="X59" s="157"/>
      <c r="Y59" s="227"/>
      <c r="Z59" s="151"/>
      <c r="AA59" s="166"/>
      <c r="AB59" s="89"/>
      <c r="AC59" s="90"/>
      <c r="AD59" s="69"/>
      <c r="AE59" s="157"/>
      <c r="AF59" s="227"/>
      <c r="AG59" s="151"/>
      <c r="AH59" s="166"/>
      <c r="AI59" s="89"/>
      <c r="AJ59" s="90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</row>
    <row r="60" spans="1:49" ht="15.75" thickBot="1" x14ac:dyDescent="0.3">
      <c r="A60" s="159"/>
      <c r="B60" s="271" t="str">
        <f>IF(Rates!D6=$A$56,Rates!B6," ")</f>
        <v>Global Adjustment</v>
      </c>
      <c r="C60" s="160"/>
      <c r="D60" s="271" t="str">
        <f>IF(Rates!D6=$A$56,Rates!E6," ")</f>
        <v>kWh</v>
      </c>
      <c r="E60" s="161"/>
      <c r="F60" s="235">
        <f>IF(Rates!$J$1="BRT 2018",Rates!J6," ")</f>
        <v>0.10303000000000001</v>
      </c>
      <c r="G60" s="225">
        <f>$F$19*(1+$F$74)</f>
        <v>1364350.0000000002</v>
      </c>
      <c r="H60" s="148">
        <f>G60*F60</f>
        <v>140568.98050000003</v>
      </c>
      <c r="I60" s="166"/>
      <c r="J60" s="169">
        <f t="shared" si="26"/>
        <v>0.10303000000000001</v>
      </c>
      <c r="K60" s="225">
        <f>$F$19*(1+$J$74)</f>
        <v>1326491.1444779627</v>
      </c>
      <c r="L60" s="148">
        <f t="shared" si="24"/>
        <v>136668.38261556451</v>
      </c>
      <c r="M60" s="278"/>
      <c r="N60" s="84">
        <f t="shared" si="2"/>
        <v>-3900.5978844355268</v>
      </c>
      <c r="O60" s="85">
        <f t="shared" si="25"/>
        <v>-2.7748638928454958E-2</v>
      </c>
      <c r="Q60" s="157"/>
      <c r="R60" s="227"/>
      <c r="S60" s="151"/>
      <c r="T60" s="166"/>
      <c r="U60" s="89"/>
      <c r="V60" s="90"/>
      <c r="W60" s="69"/>
      <c r="X60" s="157"/>
      <c r="Y60" s="227"/>
      <c r="Z60" s="151"/>
      <c r="AA60" s="166"/>
      <c r="AB60" s="89"/>
      <c r="AC60" s="90"/>
      <c r="AD60" s="69"/>
      <c r="AE60" s="157"/>
      <c r="AF60" s="227"/>
      <c r="AG60" s="151"/>
      <c r="AH60" s="166"/>
      <c r="AI60" s="89"/>
      <c r="AJ60" s="90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</row>
    <row r="61" spans="1:49" ht="15.75" thickBot="1" x14ac:dyDescent="0.3">
      <c r="A61" s="159"/>
      <c r="B61" s="211"/>
      <c r="C61" s="212"/>
      <c r="D61" s="213"/>
      <c r="E61" s="212"/>
      <c r="F61" s="266"/>
      <c r="G61" s="214"/>
      <c r="H61" s="267"/>
      <c r="I61" s="87"/>
      <c r="J61" s="266"/>
      <c r="K61" s="216"/>
      <c r="L61" s="267"/>
      <c r="M61" s="87"/>
      <c r="N61" s="402"/>
      <c r="O61" s="403"/>
      <c r="Q61" s="157"/>
      <c r="R61" s="120"/>
      <c r="S61" s="151"/>
      <c r="T61" s="87"/>
      <c r="U61" s="89"/>
      <c r="V61" s="174"/>
      <c r="W61" s="69"/>
      <c r="X61" s="157"/>
      <c r="Y61" s="120"/>
      <c r="Z61" s="151"/>
      <c r="AA61" s="87"/>
      <c r="AB61" s="89"/>
      <c r="AC61" s="174"/>
      <c r="AD61" s="69"/>
      <c r="AE61" s="157"/>
      <c r="AF61" s="120"/>
      <c r="AG61" s="151"/>
      <c r="AH61" s="87"/>
      <c r="AI61" s="89"/>
      <c r="AJ61" s="174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</row>
    <row r="62" spans="1:49" x14ac:dyDescent="0.25">
      <c r="A62" s="159"/>
      <c r="B62" s="175" t="s">
        <v>97</v>
      </c>
      <c r="C62" s="78"/>
      <c r="D62" s="78"/>
      <c r="E62" s="78"/>
      <c r="F62" s="176"/>
      <c r="G62" s="177"/>
      <c r="H62" s="179">
        <f>SUM(H51:H55,H50,H59,,H60,)</f>
        <v>212927.33716244414</v>
      </c>
      <c r="I62" s="146"/>
      <c r="J62" s="178"/>
      <c r="K62" s="178"/>
      <c r="L62" s="179">
        <f>SUM(L51:L55,L50,L59,,L60,)</f>
        <v>184861.38991914893</v>
      </c>
      <c r="M62" s="146"/>
      <c r="N62" s="179">
        <f>L62-H62</f>
        <v>-28065.947243295202</v>
      </c>
      <c r="O62" s="180">
        <f t="shared" si="25"/>
        <v>-0.1318099761980466</v>
      </c>
      <c r="Q62" s="181"/>
      <c r="R62" s="181"/>
      <c r="S62" s="121"/>
      <c r="T62" s="146"/>
      <c r="U62" s="89"/>
      <c r="V62" s="90"/>
      <c r="W62" s="69"/>
      <c r="X62" s="181"/>
      <c r="Y62" s="181"/>
      <c r="Z62" s="121"/>
      <c r="AA62" s="146"/>
      <c r="AB62" s="89"/>
      <c r="AC62" s="90"/>
      <c r="AD62" s="69"/>
      <c r="AE62" s="181"/>
      <c r="AF62" s="181"/>
      <c r="AG62" s="121"/>
      <c r="AH62" s="146"/>
      <c r="AI62" s="89"/>
      <c r="AJ62" s="90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</row>
    <row r="63" spans="1:49" x14ac:dyDescent="0.25">
      <c r="A63" s="159"/>
      <c r="B63" s="182" t="s">
        <v>9</v>
      </c>
      <c r="C63" s="78"/>
      <c r="D63" s="78"/>
      <c r="E63" s="78"/>
      <c r="F63" s="183">
        <v>0.13</v>
      </c>
      <c r="G63" s="87"/>
      <c r="H63" s="188">
        <f>H62*F63</f>
        <v>27680.553831117737</v>
      </c>
      <c r="I63" s="187"/>
      <c r="J63" s="185">
        <v>0.13</v>
      </c>
      <c r="K63" s="184"/>
      <c r="L63" s="188">
        <f>L62*J63</f>
        <v>24031.980689489363</v>
      </c>
      <c r="M63" s="187"/>
      <c r="N63" s="188">
        <f>L63-H63</f>
        <v>-3648.5731416283743</v>
      </c>
      <c r="O63" s="85">
        <f t="shared" si="25"/>
        <v>-0.13180997619804652</v>
      </c>
      <c r="Q63" s="189"/>
      <c r="R63" s="187"/>
      <c r="S63" s="190"/>
      <c r="T63" s="187"/>
      <c r="U63" s="89"/>
      <c r="V63" s="90"/>
      <c r="W63" s="69"/>
      <c r="X63" s="189"/>
      <c r="Y63" s="187"/>
      <c r="Z63" s="190"/>
      <c r="AA63" s="187"/>
      <c r="AB63" s="89"/>
      <c r="AC63" s="90"/>
      <c r="AD63" s="69"/>
      <c r="AE63" s="189"/>
      <c r="AF63" s="187"/>
      <c r="AG63" s="190"/>
      <c r="AH63" s="187"/>
      <c r="AI63" s="89"/>
      <c r="AJ63" s="90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</row>
    <row r="64" spans="1:49" ht="15.75" thickBot="1" x14ac:dyDescent="0.3">
      <c r="A64" s="1"/>
      <c r="B64" s="515" t="s">
        <v>98</v>
      </c>
      <c r="C64" s="515"/>
      <c r="D64" s="515"/>
      <c r="E64" s="192"/>
      <c r="F64" s="218"/>
      <c r="G64" s="219"/>
      <c r="H64" s="222">
        <f>SUM(H62:H63)</f>
        <v>240607.89099356189</v>
      </c>
      <c r="I64" s="146"/>
      <c r="J64" s="220"/>
      <c r="K64" s="220"/>
      <c r="L64" s="222">
        <f>SUM(L62:L63)</f>
        <v>208893.3706086383</v>
      </c>
      <c r="M64" s="146"/>
      <c r="N64" s="222">
        <f>L64-H64</f>
        <v>-31714.520384923584</v>
      </c>
      <c r="O64" s="197">
        <f t="shared" si="25"/>
        <v>-0.1318099761980466</v>
      </c>
      <c r="Q64" s="146"/>
      <c r="R64" s="146"/>
      <c r="S64" s="121"/>
      <c r="T64" s="146"/>
      <c r="U64" s="121"/>
      <c r="V64" s="223"/>
      <c r="W64" s="69"/>
      <c r="X64" s="146"/>
      <c r="Y64" s="146"/>
      <c r="Z64" s="121"/>
      <c r="AA64" s="146"/>
      <c r="AB64" s="121"/>
      <c r="AC64" s="223"/>
      <c r="AD64" s="69"/>
      <c r="AE64" s="146"/>
      <c r="AF64" s="146"/>
      <c r="AG64" s="121"/>
      <c r="AH64" s="146"/>
      <c r="AI64" s="121"/>
      <c r="AJ64" s="223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</row>
    <row r="65" spans="1:49" ht="15.75" thickBot="1" x14ac:dyDescent="0.3">
      <c r="A65" s="1"/>
      <c r="B65" s="198"/>
      <c r="C65" s="199"/>
      <c r="D65" s="200"/>
      <c r="E65" s="199"/>
      <c r="F65" s="266"/>
      <c r="G65" s="201"/>
      <c r="H65" s="267"/>
      <c r="I65" s="166"/>
      <c r="J65" s="266"/>
      <c r="K65" s="203"/>
      <c r="L65" s="267"/>
      <c r="M65" s="166"/>
      <c r="N65" s="268"/>
      <c r="O65" s="403"/>
      <c r="Q65" s="157"/>
      <c r="R65" s="206"/>
      <c r="S65" s="151"/>
      <c r="T65" s="166"/>
      <c r="U65" s="207"/>
      <c r="V65" s="174"/>
      <c r="W65" s="69"/>
      <c r="X65" s="157"/>
      <c r="Y65" s="206"/>
      <c r="Z65" s="151"/>
      <c r="AA65" s="166"/>
      <c r="AB65" s="207"/>
      <c r="AC65" s="174"/>
      <c r="AD65" s="69"/>
      <c r="AE65" s="157"/>
      <c r="AF65" s="206"/>
      <c r="AG65" s="151"/>
      <c r="AH65" s="166"/>
      <c r="AI65" s="207"/>
      <c r="AJ65" s="174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</row>
    <row r="66" spans="1:49" x14ac:dyDescent="0.25">
      <c r="A66" s="1"/>
      <c r="B66" s="236" t="s">
        <v>99</v>
      </c>
      <c r="C66" s="160"/>
      <c r="D66" s="160"/>
      <c r="E66" s="160"/>
      <c r="F66" s="237"/>
      <c r="G66" s="238"/>
      <c r="H66" s="241">
        <f>IF($G$56&gt;0,SUM(H50,H51:H58),0)</f>
        <v>0</v>
      </c>
      <c r="I66" s="240"/>
      <c r="J66" s="239"/>
      <c r="K66" s="239"/>
      <c r="L66" s="241">
        <f>IF($K$56&gt;0,SUM(L50,L51:L58),0)</f>
        <v>0</v>
      </c>
      <c r="M66" s="240"/>
      <c r="N66" s="241">
        <f t="shared" ref="N66:N71" si="27">L66-H66</f>
        <v>0</v>
      </c>
      <c r="O66" s="180" t="str">
        <f t="shared" si="25"/>
        <v/>
      </c>
      <c r="Q66" s="242"/>
      <c r="R66" s="242"/>
      <c r="S66" s="243"/>
      <c r="T66" s="240"/>
      <c r="U66" s="89"/>
      <c r="V66" s="90"/>
      <c r="W66" s="69"/>
      <c r="X66" s="242"/>
      <c r="Y66" s="242"/>
      <c r="Z66" s="243"/>
      <c r="AA66" s="240"/>
      <c r="AB66" s="89"/>
      <c r="AC66" s="90"/>
      <c r="AD66" s="69"/>
      <c r="AE66" s="242"/>
      <c r="AF66" s="242"/>
      <c r="AG66" s="243"/>
      <c r="AH66" s="240"/>
      <c r="AI66" s="89"/>
      <c r="AJ66" s="90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</row>
    <row r="67" spans="1:49" x14ac:dyDescent="0.25">
      <c r="A67" s="1"/>
      <c r="B67" s="244" t="s">
        <v>9</v>
      </c>
      <c r="C67" s="160"/>
      <c r="D67" s="160"/>
      <c r="E67" s="160"/>
      <c r="F67" s="245">
        <v>0.13</v>
      </c>
      <c r="G67" s="238"/>
      <c r="H67" s="250">
        <f>$H$66*F67</f>
        <v>0</v>
      </c>
      <c r="I67" s="249"/>
      <c r="J67" s="247">
        <v>0.13</v>
      </c>
      <c r="K67" s="248"/>
      <c r="L67" s="250">
        <f>$L$66*J67</f>
        <v>0</v>
      </c>
      <c r="M67" s="249"/>
      <c r="N67" s="250">
        <f t="shared" si="27"/>
        <v>0</v>
      </c>
      <c r="O67" s="85" t="str">
        <f t="shared" si="25"/>
        <v/>
      </c>
      <c r="Q67" s="251"/>
      <c r="R67" s="252"/>
      <c r="S67" s="253"/>
      <c r="T67" s="249"/>
      <c r="U67" s="89"/>
      <c r="V67" s="90"/>
      <c r="W67" s="69"/>
      <c r="X67" s="251"/>
      <c r="Y67" s="252"/>
      <c r="Z67" s="253"/>
      <c r="AA67" s="249"/>
      <c r="AB67" s="89"/>
      <c r="AC67" s="90"/>
      <c r="AD67" s="69"/>
      <c r="AE67" s="251"/>
      <c r="AF67" s="252"/>
      <c r="AG67" s="253"/>
      <c r="AH67" s="249"/>
      <c r="AI67" s="89"/>
      <c r="AJ67" s="90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</row>
    <row r="68" spans="1:49" x14ac:dyDescent="0.25">
      <c r="A68" s="1"/>
      <c r="B68" s="182" t="s">
        <v>106</v>
      </c>
      <c r="C68" s="78"/>
      <c r="D68" s="78"/>
      <c r="E68" s="78"/>
      <c r="F68" s="183">
        <v>-0.05</v>
      </c>
      <c r="G68" s="87"/>
      <c r="H68" s="188">
        <f>$H$66*F68</f>
        <v>0</v>
      </c>
      <c r="I68" s="187"/>
      <c r="J68" s="183">
        <v>-0.05</v>
      </c>
      <c r="K68" s="184"/>
      <c r="L68" s="188">
        <f>$L$66*J68</f>
        <v>0</v>
      </c>
      <c r="M68" s="187"/>
      <c r="N68" s="188">
        <f t="shared" si="27"/>
        <v>0</v>
      </c>
      <c r="O68" s="85" t="str">
        <f t="shared" si="25"/>
        <v/>
      </c>
      <c r="Q68" s="189"/>
      <c r="R68" s="187"/>
      <c r="S68" s="190"/>
      <c r="T68" s="187"/>
      <c r="U68" s="89"/>
      <c r="V68" s="90"/>
      <c r="W68" s="69"/>
      <c r="X68" s="189"/>
      <c r="Y68" s="187"/>
      <c r="Z68" s="253"/>
      <c r="AA68" s="249"/>
      <c r="AB68" s="89"/>
      <c r="AC68" s="90"/>
      <c r="AD68" s="69"/>
      <c r="AE68" s="251"/>
      <c r="AF68" s="252"/>
      <c r="AG68" s="253"/>
      <c r="AH68" s="249"/>
      <c r="AI68" s="89"/>
      <c r="AJ68" s="90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</row>
    <row r="69" spans="1:49" x14ac:dyDescent="0.25">
      <c r="A69" s="159"/>
      <c r="B69" s="254" t="s">
        <v>100</v>
      </c>
      <c r="C69" s="160"/>
      <c r="D69" s="160"/>
      <c r="E69" s="160"/>
      <c r="F69" s="255"/>
      <c r="G69" s="166"/>
      <c r="H69" s="250">
        <f>SUM(H66:H68)</f>
        <v>0</v>
      </c>
      <c r="I69" s="249"/>
      <c r="J69" s="246"/>
      <c r="K69" s="246"/>
      <c r="L69" s="250">
        <f>SUM(L66:L68)</f>
        <v>0</v>
      </c>
      <c r="M69" s="249"/>
      <c r="N69" s="250">
        <f t="shared" si="27"/>
        <v>0</v>
      </c>
      <c r="O69" s="85" t="str">
        <f t="shared" si="25"/>
        <v/>
      </c>
      <c r="Q69" s="249"/>
      <c r="R69" s="249"/>
      <c r="S69" s="253"/>
      <c r="T69" s="249"/>
      <c r="U69" s="89"/>
      <c r="V69" s="90"/>
      <c r="W69" s="69"/>
      <c r="X69" s="249"/>
      <c r="Y69" s="249"/>
      <c r="Z69" s="253"/>
      <c r="AA69" s="249"/>
      <c r="AB69" s="89"/>
      <c r="AC69" s="90"/>
      <c r="AD69" s="69"/>
      <c r="AE69" s="249"/>
      <c r="AF69" s="249"/>
      <c r="AG69" s="253"/>
      <c r="AH69" s="249"/>
      <c r="AI69" s="89"/>
      <c r="AJ69" s="90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</row>
    <row r="70" spans="1:49" x14ac:dyDescent="0.25">
      <c r="A70" s="159"/>
      <c r="B70" s="516" t="s">
        <v>101</v>
      </c>
      <c r="C70" s="516"/>
      <c r="D70" s="516"/>
      <c r="E70" s="160"/>
      <c r="F70" s="255"/>
      <c r="G70" s="166"/>
      <c r="H70" s="256">
        <f>ROUND(-H69*0%,2)</f>
        <v>0</v>
      </c>
      <c r="I70" s="249"/>
      <c r="J70" s="246"/>
      <c r="K70" s="246"/>
      <c r="L70" s="256">
        <f>ROUND(-L69*0%,2)</f>
        <v>0</v>
      </c>
      <c r="M70" s="249"/>
      <c r="N70" s="256">
        <f t="shared" si="27"/>
        <v>0</v>
      </c>
      <c r="O70" s="257" t="str">
        <f>IF(OR(H70=0,L70=0),"",(N70/H70))</f>
        <v/>
      </c>
      <c r="Q70" s="249"/>
      <c r="R70" s="249"/>
      <c r="S70" s="258"/>
      <c r="T70" s="249"/>
      <c r="U70" s="259"/>
      <c r="V70" s="90"/>
      <c r="W70" s="69"/>
      <c r="X70" s="249"/>
      <c r="Y70" s="249"/>
      <c r="Z70" s="258"/>
      <c r="AA70" s="249"/>
      <c r="AB70" s="259"/>
      <c r="AC70" s="90"/>
      <c r="AD70" s="69"/>
      <c r="AE70" s="249"/>
      <c r="AF70" s="249"/>
      <c r="AG70" s="258"/>
      <c r="AH70" s="249"/>
      <c r="AI70" s="259"/>
      <c r="AJ70" s="90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</row>
    <row r="71" spans="1:49" ht="15.75" thickBot="1" x14ac:dyDescent="0.3">
      <c r="A71" s="159"/>
      <c r="B71" s="513" t="s">
        <v>102</v>
      </c>
      <c r="C71" s="513"/>
      <c r="D71" s="513"/>
      <c r="E71" s="260"/>
      <c r="F71" s="261"/>
      <c r="G71" s="262"/>
      <c r="H71" s="265">
        <f>SUM(H69:H70)</f>
        <v>0</v>
      </c>
      <c r="I71" s="240"/>
      <c r="J71" s="263"/>
      <c r="K71" s="263"/>
      <c r="L71" s="265">
        <f>SUM(L69:L70)</f>
        <v>0</v>
      </c>
      <c r="M71" s="240"/>
      <c r="N71" s="265">
        <f t="shared" si="27"/>
        <v>0</v>
      </c>
      <c r="O71" s="197" t="str">
        <f t="shared" si="25"/>
        <v/>
      </c>
      <c r="Q71" s="240"/>
      <c r="R71" s="240"/>
      <c r="S71" s="243"/>
      <c r="T71" s="240"/>
      <c r="U71" s="121"/>
      <c r="V71" s="223"/>
      <c r="W71" s="69"/>
      <c r="X71" s="240"/>
      <c r="Y71" s="240"/>
      <c r="Z71" s="243"/>
      <c r="AA71" s="240"/>
      <c r="AB71" s="121"/>
      <c r="AC71" s="223"/>
      <c r="AD71" s="69"/>
      <c r="AE71" s="240"/>
      <c r="AF71" s="240"/>
      <c r="AG71" s="243"/>
      <c r="AH71" s="240"/>
      <c r="AI71" s="121"/>
      <c r="AJ71" s="223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</row>
    <row r="72" spans="1:49" ht="15.75" thickBot="1" x14ac:dyDescent="0.3">
      <c r="A72" s="159"/>
      <c r="B72" s="198"/>
      <c r="C72" s="199"/>
      <c r="D72" s="200"/>
      <c r="E72" s="199"/>
      <c r="F72" s="390"/>
      <c r="G72" s="400"/>
      <c r="H72" s="401"/>
      <c r="I72" s="166"/>
      <c r="J72" s="390"/>
      <c r="K72" s="391"/>
      <c r="L72" s="392"/>
      <c r="M72" s="166"/>
      <c r="N72" s="396"/>
      <c r="O72" s="397"/>
      <c r="Q72" s="157"/>
      <c r="R72" s="206"/>
      <c r="S72" s="151"/>
      <c r="T72" s="166"/>
      <c r="U72" s="207"/>
      <c r="V72" s="174"/>
      <c r="W72" s="69"/>
      <c r="X72" s="157"/>
      <c r="Y72" s="206"/>
      <c r="Z72" s="151"/>
      <c r="AA72" s="166"/>
      <c r="AB72" s="207"/>
      <c r="AC72" s="174"/>
      <c r="AD72" s="69"/>
      <c r="AE72" s="157"/>
      <c r="AF72" s="206"/>
      <c r="AG72" s="151"/>
      <c r="AH72" s="166"/>
      <c r="AI72" s="207"/>
      <c r="AJ72" s="174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</row>
    <row r="73" spans="1:49" x14ac:dyDescent="0.25">
      <c r="A73" s="159"/>
      <c r="B73" s="1"/>
      <c r="C73" s="1"/>
      <c r="D73" s="1"/>
      <c r="E73" s="1"/>
      <c r="F73" s="1"/>
      <c r="G73" s="1"/>
      <c r="H73" s="67"/>
      <c r="I73" s="2"/>
      <c r="J73" s="1"/>
      <c r="K73" s="1"/>
      <c r="L73" s="67"/>
      <c r="M73" s="1"/>
      <c r="N73" s="1"/>
      <c r="O73" s="1"/>
      <c r="Q73" s="2"/>
      <c r="R73" s="2"/>
      <c r="S73" s="208"/>
      <c r="T73" s="2"/>
      <c r="U73" s="2"/>
      <c r="V73" s="2"/>
      <c r="W73" s="69"/>
      <c r="X73" s="2"/>
      <c r="Y73" s="2"/>
      <c r="Z73" s="208"/>
      <c r="AA73" s="2"/>
      <c r="AB73" s="2"/>
      <c r="AC73" s="2"/>
      <c r="AD73" s="69"/>
      <c r="AE73" s="2"/>
      <c r="AF73" s="2"/>
      <c r="AG73" s="208"/>
      <c r="AH73" s="2"/>
      <c r="AI73" s="2"/>
      <c r="AJ73" s="2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</row>
    <row r="74" spans="1:49" x14ac:dyDescent="0.25">
      <c r="A74" s="159"/>
      <c r="B74" s="65" t="s">
        <v>10</v>
      </c>
      <c r="C74" s="1"/>
      <c r="D74" s="1"/>
      <c r="E74" s="1"/>
      <c r="F74" s="209">
        <f>Rates!$S$7-1</f>
        <v>4.9500000000000099E-2</v>
      </c>
      <c r="G74" s="1"/>
      <c r="H74" s="1"/>
      <c r="I74" s="1"/>
      <c r="J74" s="209">
        <f>Rates!$T$7-1</f>
        <v>2.0377803444586728E-2</v>
      </c>
      <c r="K74" s="1"/>
      <c r="L74" s="67"/>
      <c r="M74" s="1"/>
      <c r="N74" s="1"/>
      <c r="O74" s="1"/>
      <c r="Q74" s="210"/>
      <c r="R74" s="2"/>
      <c r="S74" s="2"/>
      <c r="T74" s="2"/>
      <c r="U74" s="2"/>
      <c r="V74" s="2"/>
      <c r="W74" s="69"/>
      <c r="X74" s="210"/>
      <c r="Y74" s="2"/>
      <c r="Z74" s="2"/>
      <c r="AA74" s="2"/>
      <c r="AB74" s="2"/>
      <c r="AC74" s="2"/>
      <c r="AD74" s="69"/>
      <c r="AE74" s="210"/>
      <c r="AF74" s="2"/>
      <c r="AG74" s="2"/>
      <c r="AH74" s="2"/>
      <c r="AI74" s="2"/>
      <c r="AJ74" s="2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</row>
    <row r="75" spans="1:49" x14ac:dyDescent="0.25">
      <c r="A75" s="159"/>
      <c r="B75" s="1"/>
      <c r="C75" s="1"/>
      <c r="D75" s="1"/>
      <c r="E75" s="1"/>
      <c r="F75" s="1"/>
      <c r="G75" s="1"/>
      <c r="H75" s="1"/>
      <c r="I75" s="2"/>
      <c r="J75" s="1"/>
      <c r="K75" s="1"/>
      <c r="L75" s="1"/>
      <c r="M75" s="1"/>
      <c r="N75" s="1"/>
      <c r="O75" s="1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49" x14ac:dyDescent="0.25">
      <c r="A79" s="1" t="s">
        <v>84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49" x14ac:dyDescent="0.25">
      <c r="A80" s="1" t="s">
        <v>85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25">
      <c r="A82" s="64" t="s">
        <v>86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5">
      <c r="A83" s="64" t="s">
        <v>87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25">
      <c r="A85" s="1" t="s">
        <v>88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25">
      <c r="A86" s="1" t="s">
        <v>89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25">
      <c r="A87" s="1" t="s">
        <v>90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25">
      <c r="A88" s="1" t="s">
        <v>91</v>
      </c>
      <c r="B88" s="1" t="s">
        <v>93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25">
      <c r="A89" s="1" t="s">
        <v>92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</sheetData>
  <mergeCells count="24">
    <mergeCell ref="AI20:AJ20"/>
    <mergeCell ref="A3:K3"/>
    <mergeCell ref="B10:O10"/>
    <mergeCell ref="B11:O11"/>
    <mergeCell ref="D14:O14"/>
    <mergeCell ref="F20:H20"/>
    <mergeCell ref="J20:L20"/>
    <mergeCell ref="N20:O20"/>
    <mergeCell ref="Q20:S20"/>
    <mergeCell ref="U20:V20"/>
    <mergeCell ref="X20:Z20"/>
    <mergeCell ref="AB20:AC20"/>
    <mergeCell ref="AE20:AG20"/>
    <mergeCell ref="AI21:AI22"/>
    <mergeCell ref="AJ21:AJ22"/>
    <mergeCell ref="B64:D64"/>
    <mergeCell ref="B70:D70"/>
    <mergeCell ref="B71:D71"/>
    <mergeCell ref="N21:N22"/>
    <mergeCell ref="O21:O22"/>
    <mergeCell ref="U21:U22"/>
    <mergeCell ref="V21:V22"/>
    <mergeCell ref="AB21:AB22"/>
    <mergeCell ref="AC21:AC22"/>
  </mergeCells>
  <dataValidations count="4">
    <dataValidation type="list" allowBlank="1" showInputMessage="1" showErrorMessage="1" sqref="E23:E35">
      <formula1>#REF!</formula1>
    </dataValidation>
    <dataValidation type="list" allowBlank="1" showInputMessage="1" showErrorMessage="1" sqref="E48:E49 E72 E65 E51:E61 E37:E46">
      <formula1>#REF!</formula1>
    </dataValidation>
    <dataValidation type="list" allowBlank="1" showInputMessage="1" showErrorMessage="1" prompt="Select Charge Unit - monthly, per kWh, per kW" sqref="D72 D61 D65">
      <formula1>"Monthly, per kWh, per kW"</formula1>
    </dataValidation>
    <dataValidation type="list" allowBlank="1" showInputMessage="1" showErrorMessage="1" sqref="D16">
      <formula1>"TOU, non-TOU"</formula1>
    </dataValidation>
  </dataValidations>
  <printOptions horizontalCentered="1"/>
  <pageMargins left="0.3" right="0.35" top="0.92" bottom="0.7" header="0.56999999999999995" footer="0.41"/>
  <pageSetup paperSize="256" scale="60" fitToHeight="0" orientation="landscape" r:id="rId1"/>
  <headerFooter>
    <oddFooter>&amp;C&amp;A</oddFooter>
  </headerFooter>
  <ignoredErrors>
    <ignoredError sqref="J23:J25 F37:F45 F23:F34 J39:J45 J37 J38 J35:J36 J26:J34 J46:J55 J57:J60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6979" r:id="rId4" name="Option Button 3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561975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0" r:id="rId5" name="Option Button 4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1" r:id="rId6" name="Option Button 5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561975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2" r:id="rId7" name="Option Button 6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3" r:id="rId8" name="Option Button 7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561975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4" r:id="rId9" name="Option Button 8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5" r:id="rId10" name="Option Button 9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561975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6" r:id="rId11" name="Option Button 10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7" r:id="rId12" name="Option Button 11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561975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8" r:id="rId13" name="Option Button 12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A1:AW89"/>
  <sheetViews>
    <sheetView showGridLines="0" topLeftCell="B25" zoomScale="80" zoomScaleNormal="80" workbookViewId="0">
      <selection activeCell="F23" sqref="F23"/>
    </sheetView>
  </sheetViews>
  <sheetFormatPr defaultColWidth="9.140625" defaultRowHeight="15" x14ac:dyDescent="0.25"/>
  <cols>
    <col min="1" max="1" width="48.28515625" customWidth="1"/>
    <col min="2" max="2" width="122" customWidth="1"/>
    <col min="3" max="3" width="1.5703125" customWidth="1"/>
    <col min="4" max="4" width="12.42578125" customWidth="1"/>
    <col min="5" max="5" width="1.7109375" customWidth="1"/>
    <col min="6" max="6" width="12" customWidth="1"/>
    <col min="7" max="7" width="11.7109375" customWidth="1"/>
    <col min="8" max="8" width="16.42578125" customWidth="1"/>
    <col min="9" max="9" width="1.28515625" customWidth="1"/>
    <col min="10" max="10" width="12.28515625" customWidth="1"/>
    <col min="11" max="11" width="11.28515625" bestFit="1" customWidth="1"/>
    <col min="12" max="12" width="16.28515625" customWidth="1"/>
    <col min="13" max="13" width="0.85546875" customWidth="1"/>
    <col min="14" max="14" width="14.7109375" customWidth="1"/>
    <col min="15" max="15" width="10.5703125" customWidth="1"/>
    <col min="16" max="16" width="1.42578125" customWidth="1"/>
    <col min="17" max="17" width="1.7109375" customWidth="1"/>
    <col min="18" max="18" width="9.42578125" customWidth="1"/>
    <col min="19" max="19" width="12.5703125" customWidth="1"/>
    <col min="20" max="20" width="1.28515625" customWidth="1"/>
    <col min="21" max="21" width="10.85546875" customWidth="1"/>
    <col min="22" max="22" width="10.140625" customWidth="1"/>
    <col min="23" max="23" width="1.28515625" customWidth="1"/>
    <col min="24" max="24" width="11" customWidth="1"/>
    <col min="25" max="25" width="9.5703125" customWidth="1"/>
    <col min="26" max="26" width="12.42578125" customWidth="1"/>
    <col min="27" max="27" width="1.28515625" customWidth="1"/>
    <col min="28" max="28" width="10" customWidth="1"/>
    <col min="30" max="30" width="0.85546875" customWidth="1"/>
    <col min="31" max="31" width="11.140625" customWidth="1"/>
    <col min="32" max="32" width="9.5703125" customWidth="1"/>
    <col min="33" max="33" width="12.42578125" customWidth="1"/>
    <col min="34" max="34" width="1.140625" customWidth="1"/>
    <col min="35" max="35" width="10.42578125" customWidth="1"/>
    <col min="37" max="37" width="0.85546875" customWidth="1"/>
  </cols>
  <sheetData>
    <row r="1" spans="1:21" ht="21.75" x14ac:dyDescent="0.25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0"/>
      <c r="M1" s="50"/>
      <c r="N1" s="52" t="s">
        <v>68</v>
      </c>
      <c r="O1" s="53">
        <v>0</v>
      </c>
      <c r="T1">
        <v>1</v>
      </c>
      <c r="U1">
        <v>1</v>
      </c>
    </row>
    <row r="2" spans="1:21" ht="18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0"/>
      <c r="M2" s="50"/>
      <c r="N2" s="52" t="s">
        <v>69</v>
      </c>
      <c r="O2" s="55"/>
    </row>
    <row r="3" spans="1:21" ht="18" x14ac:dyDescent="0.25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"/>
      <c r="M3" s="50"/>
      <c r="N3" s="52" t="s">
        <v>70</v>
      </c>
      <c r="O3" s="55"/>
    </row>
    <row r="4" spans="1:21" ht="18" x14ac:dyDescent="0.25">
      <c r="A4" s="54"/>
      <c r="B4" s="54"/>
      <c r="C4" s="54"/>
      <c r="D4" s="54"/>
      <c r="E4" s="54"/>
      <c r="F4" s="54"/>
      <c r="G4" s="54"/>
      <c r="H4" s="54"/>
      <c r="I4" s="56"/>
      <c r="J4" s="56"/>
      <c r="K4" s="56"/>
      <c r="L4" s="50"/>
      <c r="M4" s="50"/>
      <c r="N4" s="52" t="s">
        <v>71</v>
      </c>
      <c r="O4" s="55"/>
    </row>
    <row r="5" spans="1:21" ht="15.75" x14ac:dyDescent="0.25">
      <c r="A5" s="50"/>
      <c r="B5" s="50"/>
      <c r="C5" s="57"/>
      <c r="D5" s="57"/>
      <c r="E5" s="57"/>
      <c r="F5" s="50"/>
      <c r="G5" s="50"/>
      <c r="H5" s="50"/>
      <c r="I5" s="50"/>
      <c r="J5" s="50"/>
      <c r="K5" s="50"/>
      <c r="L5" s="50"/>
      <c r="M5" s="50"/>
      <c r="N5" s="52" t="s">
        <v>72</v>
      </c>
      <c r="O5" s="58"/>
    </row>
    <row r="6" spans="1:2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2"/>
      <c r="O6" s="53"/>
    </row>
    <row r="7" spans="1:2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2" t="s">
        <v>73</v>
      </c>
      <c r="O7" s="58"/>
    </row>
    <row r="8" spans="1:21" x14ac:dyDescent="0.25">
      <c r="A8" s="5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1" ht="18" x14ac:dyDescent="0.25">
      <c r="A10" s="1"/>
      <c r="B10" s="508" t="s">
        <v>74</v>
      </c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508"/>
      <c r="N10" s="508"/>
      <c r="O10" s="508"/>
    </row>
    <row r="11" spans="1:21" ht="18" x14ac:dyDescent="0.25">
      <c r="A11" s="1"/>
      <c r="B11" s="508" t="s">
        <v>75</v>
      </c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1" ht="15.75" x14ac:dyDescent="0.25">
      <c r="A14" s="1"/>
      <c r="B14" s="60" t="s">
        <v>0</v>
      </c>
      <c r="C14" s="1"/>
      <c r="D14" s="509" t="s">
        <v>233</v>
      </c>
      <c r="E14" s="509"/>
      <c r="F14" s="509"/>
      <c r="G14" s="509"/>
      <c r="H14" s="509"/>
      <c r="I14" s="509"/>
      <c r="J14" s="509"/>
      <c r="K14" s="509"/>
      <c r="L14" s="509"/>
      <c r="M14" s="509"/>
      <c r="N14" s="509"/>
      <c r="O14" s="509"/>
    </row>
    <row r="15" spans="1:21" ht="15.75" x14ac:dyDescent="0.25">
      <c r="A15" s="1"/>
      <c r="B15" s="61"/>
      <c r="C15" s="1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pans="1:21" ht="15.75" x14ac:dyDescent="0.25">
      <c r="A16" s="1"/>
      <c r="B16" s="60" t="s">
        <v>76</v>
      </c>
      <c r="C16" s="1"/>
      <c r="D16" s="63" t="s">
        <v>94</v>
      </c>
      <c r="E16" s="62"/>
      <c r="F16" s="228" t="s">
        <v>95</v>
      </c>
      <c r="G16" s="62"/>
      <c r="H16" s="62"/>
      <c r="I16" s="62"/>
      <c r="J16" s="62"/>
      <c r="K16" s="62"/>
      <c r="L16" s="62"/>
      <c r="M16" s="62"/>
      <c r="N16" s="62"/>
      <c r="O16" s="62"/>
    </row>
    <row r="17" spans="1:49" ht="15.75" x14ac:dyDescent="0.25">
      <c r="A17" s="1"/>
      <c r="B17" s="61"/>
      <c r="C17" s="1"/>
      <c r="D17" s="62"/>
      <c r="E17" s="62"/>
      <c r="F17" s="229">
        <f>ROUND(+F18*0.9,0)</f>
        <v>4050</v>
      </c>
      <c r="G17" s="230" t="s">
        <v>96</v>
      </c>
      <c r="H17" s="231"/>
      <c r="I17" s="62"/>
      <c r="J17" s="62"/>
      <c r="K17" s="62"/>
      <c r="L17" s="62"/>
      <c r="M17" s="62"/>
      <c r="N17" s="62"/>
      <c r="O17" s="62"/>
    </row>
    <row r="18" spans="1:49" x14ac:dyDescent="0.25">
      <c r="A18" s="1"/>
      <c r="B18" s="64"/>
      <c r="C18" s="1"/>
      <c r="D18" s="65"/>
      <c r="E18" s="65"/>
      <c r="F18" s="229">
        <v>4500</v>
      </c>
      <c r="G18" s="65" t="s">
        <v>113</v>
      </c>
      <c r="H18" s="1"/>
      <c r="I18" s="1"/>
      <c r="J18" s="1"/>
      <c r="K18" s="1"/>
      <c r="L18" s="1"/>
      <c r="M18" s="1"/>
      <c r="N18" s="1"/>
      <c r="O18" s="1"/>
    </row>
    <row r="19" spans="1:49" x14ac:dyDescent="0.25">
      <c r="A19" s="1"/>
      <c r="B19" s="64"/>
      <c r="C19" s="1"/>
      <c r="D19" s="65" t="s">
        <v>1</v>
      </c>
      <c r="E19" s="1"/>
      <c r="F19" s="232">
        <v>1990000</v>
      </c>
      <c r="G19" s="230" t="s">
        <v>78</v>
      </c>
      <c r="H19" s="67" t="s">
        <v>234</v>
      </c>
      <c r="I19" s="1"/>
      <c r="J19" s="67"/>
      <c r="K19" s="233"/>
      <c r="L19" s="67"/>
      <c r="M19" s="1"/>
      <c r="N19" s="233"/>
      <c r="O19" s="1"/>
      <c r="S19" s="234"/>
    </row>
    <row r="20" spans="1:49" x14ac:dyDescent="0.25">
      <c r="A20" s="1"/>
      <c r="B20" s="64"/>
      <c r="C20" s="1"/>
      <c r="D20" s="68"/>
      <c r="E20" s="68"/>
      <c r="F20" s="510" t="s">
        <v>105</v>
      </c>
      <c r="G20" s="511"/>
      <c r="H20" s="512"/>
      <c r="I20" s="2"/>
      <c r="J20" s="510" t="s">
        <v>104</v>
      </c>
      <c r="K20" s="511"/>
      <c r="L20" s="512"/>
      <c r="M20" s="1"/>
      <c r="N20" s="510" t="s">
        <v>61</v>
      </c>
      <c r="O20" s="512"/>
      <c r="Q20" s="506"/>
      <c r="R20" s="506"/>
      <c r="S20" s="506"/>
      <c r="T20" s="2"/>
      <c r="U20" s="506"/>
      <c r="V20" s="506"/>
      <c r="W20" s="69"/>
      <c r="X20" s="506"/>
      <c r="Y20" s="506"/>
      <c r="Z20" s="506"/>
      <c r="AA20" s="2"/>
      <c r="AB20" s="506"/>
      <c r="AC20" s="506"/>
      <c r="AD20" s="69"/>
      <c r="AE20" s="506"/>
      <c r="AF20" s="506"/>
      <c r="AG20" s="506"/>
      <c r="AH20" s="2"/>
      <c r="AI20" s="506"/>
      <c r="AJ20" s="506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</row>
    <row r="21" spans="1:49" ht="15" customHeight="1" x14ac:dyDescent="0.25">
      <c r="A21" s="1"/>
      <c r="B21" s="64"/>
      <c r="C21" s="1"/>
      <c r="D21" s="1"/>
      <c r="E21" s="70"/>
      <c r="F21" s="71" t="s">
        <v>2</v>
      </c>
      <c r="G21" s="71" t="s">
        <v>3</v>
      </c>
      <c r="H21" s="72" t="s">
        <v>4</v>
      </c>
      <c r="I21" s="2"/>
      <c r="J21" s="71" t="s">
        <v>2</v>
      </c>
      <c r="K21" s="73" t="s">
        <v>3</v>
      </c>
      <c r="L21" s="72" t="s">
        <v>4</v>
      </c>
      <c r="M21" s="1"/>
      <c r="N21" s="502" t="s">
        <v>62</v>
      </c>
      <c r="O21" s="504" t="s">
        <v>63</v>
      </c>
      <c r="Q21" s="270"/>
      <c r="R21" s="270"/>
      <c r="S21" s="270"/>
      <c r="T21" s="2"/>
      <c r="U21" s="501"/>
      <c r="V21" s="501"/>
      <c r="W21" s="69"/>
      <c r="X21" s="270"/>
      <c r="Y21" s="270"/>
      <c r="Z21" s="270"/>
      <c r="AA21" s="2"/>
      <c r="AB21" s="501"/>
      <c r="AC21" s="501"/>
      <c r="AD21" s="69"/>
      <c r="AE21" s="270"/>
      <c r="AF21" s="270"/>
      <c r="AG21" s="270"/>
      <c r="AH21" s="2"/>
      <c r="AI21" s="501"/>
      <c r="AJ21" s="501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</row>
    <row r="22" spans="1:49" x14ac:dyDescent="0.25">
      <c r="A22" s="1"/>
      <c r="B22" s="64"/>
      <c r="C22" s="1"/>
      <c r="D22" s="1"/>
      <c r="E22" s="70"/>
      <c r="F22" s="75" t="s">
        <v>79</v>
      </c>
      <c r="G22" s="75"/>
      <c r="H22" s="76" t="s">
        <v>79</v>
      </c>
      <c r="I22" s="2"/>
      <c r="J22" s="75" t="s">
        <v>79</v>
      </c>
      <c r="K22" s="76"/>
      <c r="L22" s="76" t="s">
        <v>79</v>
      </c>
      <c r="M22" s="1"/>
      <c r="N22" s="503"/>
      <c r="O22" s="505"/>
      <c r="Q22" s="77"/>
      <c r="R22" s="77"/>
      <c r="S22" s="77"/>
      <c r="T22" s="2"/>
      <c r="U22" s="514"/>
      <c r="V22" s="514"/>
      <c r="W22" s="69"/>
      <c r="X22" s="77"/>
      <c r="Y22" s="77"/>
      <c r="Z22" s="77"/>
      <c r="AA22" s="2"/>
      <c r="AB22" s="514"/>
      <c r="AC22" s="514"/>
      <c r="AD22" s="69"/>
      <c r="AE22" s="77"/>
      <c r="AF22" s="77"/>
      <c r="AG22" s="77"/>
      <c r="AH22" s="2"/>
      <c r="AI22" s="514"/>
      <c r="AJ22" s="514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</row>
    <row r="23" spans="1:49" x14ac:dyDescent="0.25">
      <c r="A23" s="7" t="s">
        <v>15</v>
      </c>
      <c r="B23" s="271" t="str">
        <f>IF(Rates!D56=$A$23,Rates!B56," ")</f>
        <v>Service Charge</v>
      </c>
      <c r="C23" s="78"/>
      <c r="D23" s="271" t="str">
        <f>IF(Rates!D56=$A$23,Rates!E56," ")</f>
        <v>customer</v>
      </c>
      <c r="E23" s="79"/>
      <c r="F23" s="80">
        <f>IF(Rates!$J$1="BRT 2018",Rates!J56," ")</f>
        <v>96.98</v>
      </c>
      <c r="G23" s="439">
        <f>IF(D23="customer",1,IF(D23="kWh",$F$19,$F$17))</f>
        <v>1</v>
      </c>
      <c r="H23" s="82">
        <f t="shared" ref="H23:H35" si="0">G23*F23</f>
        <v>96.98</v>
      </c>
      <c r="I23" s="87"/>
      <c r="J23" s="487">
        <f>IF(Rates!$L$1="E+ 2019",Rates!L56," ")</f>
        <v>59.1</v>
      </c>
      <c r="K23" s="439">
        <f>IF(D23="customer",1,IF(D23="kWh",$F$19,$F$17))</f>
        <v>1</v>
      </c>
      <c r="L23" s="82">
        <f t="shared" ref="L23:L44" si="1">K23*J23</f>
        <v>59.1</v>
      </c>
      <c r="M23" s="83"/>
      <c r="N23" s="84">
        <f t="shared" ref="N23:N60" si="2">L23-H23</f>
        <v>-37.880000000000003</v>
      </c>
      <c r="O23" s="85">
        <f>IF(OR(H23=0,L23=0),"",(N23/H23))</f>
        <v>-0.39059599917508764</v>
      </c>
      <c r="Q23" s="86"/>
      <c r="R23" s="87"/>
      <c r="S23" s="88"/>
      <c r="T23" s="87"/>
      <c r="U23" s="89"/>
      <c r="V23" s="90"/>
      <c r="W23" s="69"/>
      <c r="X23" s="86"/>
      <c r="Y23" s="87"/>
      <c r="Z23" s="88"/>
      <c r="AA23" s="87"/>
      <c r="AB23" s="89"/>
      <c r="AC23" s="90"/>
      <c r="AD23" s="69"/>
      <c r="AE23" s="86"/>
      <c r="AF23" s="87"/>
      <c r="AG23" s="88"/>
      <c r="AH23" s="87"/>
      <c r="AI23" s="89"/>
      <c r="AJ23" s="90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</row>
    <row r="24" spans="1:49" x14ac:dyDescent="0.25">
      <c r="A24" s="1"/>
      <c r="B24" s="271" t="str">
        <f>IF(Rates!D57=$A$23,Rates!B57," ")</f>
        <v>Rate Rider ACM</v>
      </c>
      <c r="C24" s="78"/>
      <c r="D24" s="271" t="str">
        <f>IF(Rates!D57=$A$23,Rates!E57," ")</f>
        <v>customer</v>
      </c>
      <c r="E24" s="79"/>
      <c r="F24" s="80">
        <f>IF(Rates!$J$1="BRT 2018",Rates!J57," ")</f>
        <v>0</v>
      </c>
      <c r="G24" s="439">
        <f t="shared" ref="G24:G51" si="3">IF(D24="customer",1,IF(D24="kWh",$F$19,$F$17))</f>
        <v>1</v>
      </c>
      <c r="H24" s="82">
        <f t="shared" si="0"/>
        <v>0</v>
      </c>
      <c r="I24" s="87"/>
      <c r="J24" s="337">
        <f>IF(Rates!$L$1="E+ 2019",Rates!L57," ")</f>
        <v>0</v>
      </c>
      <c r="K24" s="439">
        <f t="shared" ref="K24:K33" si="4">IF(D24="customer",1,IF(D24="kWh",$F$19,$F$17))</f>
        <v>1</v>
      </c>
      <c r="L24" s="82">
        <f t="shared" si="1"/>
        <v>0</v>
      </c>
      <c r="M24" s="83"/>
      <c r="N24" s="84">
        <f t="shared" si="2"/>
        <v>0</v>
      </c>
      <c r="O24" s="85" t="str">
        <f t="shared" ref="O24:O35" si="5">IF(OR(H24=0,L24=0),"",(N24/H24))</f>
        <v/>
      </c>
      <c r="Q24" s="86"/>
      <c r="R24" s="87"/>
      <c r="S24" s="88"/>
      <c r="T24" s="87"/>
      <c r="U24" s="89"/>
      <c r="V24" s="90"/>
      <c r="W24" s="69"/>
      <c r="X24" s="86"/>
      <c r="Y24" s="87"/>
      <c r="Z24" s="88"/>
      <c r="AA24" s="87"/>
      <c r="AB24" s="89"/>
      <c r="AC24" s="90"/>
      <c r="AD24" s="69"/>
      <c r="AE24" s="86"/>
      <c r="AF24" s="87"/>
      <c r="AG24" s="88"/>
      <c r="AH24" s="87"/>
      <c r="AI24" s="89"/>
      <c r="AJ24" s="90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</row>
    <row r="25" spans="1:49" s="94" customFormat="1" x14ac:dyDescent="0.25">
      <c r="A25" s="3"/>
      <c r="B25" s="271" t="str">
        <f>IF(Rates!D58=$A$23,Rates!B58," ")</f>
        <v>Distribution Volumetric Rate</v>
      </c>
      <c r="C25" s="78"/>
      <c r="D25" s="271" t="str">
        <f>IF(Rates!D58=$A$23,Rates!E58," ")</f>
        <v>kW</v>
      </c>
      <c r="E25" s="79"/>
      <c r="F25" s="80">
        <f>IF(Rates!$J$1="BRT 2018",Rates!J58," ")</f>
        <v>0</v>
      </c>
      <c r="G25" s="439">
        <f t="shared" si="3"/>
        <v>4050</v>
      </c>
      <c r="H25" s="82">
        <f t="shared" si="0"/>
        <v>0</v>
      </c>
      <c r="I25" s="87"/>
      <c r="J25" s="337">
        <f>IF(Rates!$L$1="E+ 2019",Rates!L58," ")</f>
        <v>0</v>
      </c>
      <c r="K25" s="439">
        <f t="shared" si="4"/>
        <v>4050</v>
      </c>
      <c r="L25" s="82">
        <f t="shared" si="1"/>
        <v>0</v>
      </c>
      <c r="M25" s="91"/>
      <c r="N25" s="84">
        <f t="shared" si="2"/>
        <v>0</v>
      </c>
      <c r="O25" s="85" t="str">
        <f t="shared" si="5"/>
        <v/>
      </c>
      <c r="Q25" s="95"/>
      <c r="R25" s="87"/>
      <c r="S25" s="88"/>
      <c r="T25" s="87"/>
      <c r="U25" s="89"/>
      <c r="V25" s="90"/>
      <c r="W25" s="69"/>
      <c r="X25" s="95"/>
      <c r="Y25" s="87"/>
      <c r="Z25" s="88"/>
      <c r="AA25" s="87"/>
      <c r="AB25" s="89"/>
      <c r="AC25" s="90"/>
      <c r="AD25" s="69"/>
      <c r="AE25" s="95"/>
      <c r="AF25" s="87"/>
      <c r="AG25" s="88"/>
      <c r="AH25" s="87"/>
      <c r="AI25" s="89"/>
      <c r="AJ25" s="90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</row>
    <row r="26" spans="1:49" s="94" customFormat="1" x14ac:dyDescent="0.25">
      <c r="A26" s="3"/>
      <c r="B26" s="271" t="str">
        <f>IF(Rates!D59=$A$23,Rates!B59," ")</f>
        <v>Rate Rider ACM</v>
      </c>
      <c r="C26" s="78"/>
      <c r="D26" s="271" t="str">
        <f>IF(Rates!D59=$A$23,Rates!E59," ")</f>
        <v>kW</v>
      </c>
      <c r="E26" s="79"/>
      <c r="F26" s="80">
        <f>IF(Rates!$J$1="BRT 2018",Rates!J59," ")</f>
        <v>0</v>
      </c>
      <c r="G26" s="439">
        <f t="shared" si="3"/>
        <v>4050</v>
      </c>
      <c r="H26" s="82">
        <f t="shared" si="0"/>
        <v>0</v>
      </c>
      <c r="I26" s="87"/>
      <c r="J26" s="337">
        <f>IF(Rates!$L$1="E+ 2019",Rates!L59," ")</f>
        <v>0</v>
      </c>
      <c r="K26" s="439">
        <f t="shared" si="4"/>
        <v>4050</v>
      </c>
      <c r="L26" s="82">
        <f t="shared" si="1"/>
        <v>0</v>
      </c>
      <c r="M26" s="91"/>
      <c r="N26" s="84">
        <f t="shared" si="2"/>
        <v>0</v>
      </c>
      <c r="O26" s="85" t="str">
        <f t="shared" si="5"/>
        <v/>
      </c>
      <c r="Q26" s="95"/>
      <c r="R26" s="87"/>
      <c r="S26" s="88"/>
      <c r="T26" s="87"/>
      <c r="U26" s="89"/>
      <c r="V26" s="90"/>
      <c r="W26" s="69"/>
      <c r="X26" s="95"/>
      <c r="Y26" s="87"/>
      <c r="Z26" s="88"/>
      <c r="AA26" s="87"/>
      <c r="AB26" s="89"/>
      <c r="AC26" s="90"/>
      <c r="AD26" s="69"/>
      <c r="AE26" s="95"/>
      <c r="AF26" s="87"/>
      <c r="AG26" s="88"/>
      <c r="AH26" s="87"/>
      <c r="AI26" s="89"/>
      <c r="AJ26" s="90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</row>
    <row r="27" spans="1:49" x14ac:dyDescent="0.25">
      <c r="A27" s="3"/>
      <c r="B27" s="271" t="str">
        <f>IF(Rates!D60=$A$23,Rates!B60," ")</f>
        <v>Rate Rider for Disposition of Account 1575 and 1576</v>
      </c>
      <c r="C27" s="78"/>
      <c r="D27" s="271" t="str">
        <f>IF(Rates!D60=$A$23,Rates!E60," ")</f>
        <v>customer</v>
      </c>
      <c r="E27" s="79"/>
      <c r="F27" s="80">
        <f>IF(Rates!$J$1="BRT 2018",Rates!J60," ")</f>
        <v>0</v>
      </c>
      <c r="G27" s="439">
        <f t="shared" si="3"/>
        <v>1</v>
      </c>
      <c r="H27" s="82">
        <f t="shared" si="0"/>
        <v>0</v>
      </c>
      <c r="I27" s="87"/>
      <c r="J27" s="337">
        <f>IF(Rates!$L$1="E+ 2019",Rates!L60," ")</f>
        <v>0</v>
      </c>
      <c r="K27" s="439">
        <f t="shared" si="4"/>
        <v>1</v>
      </c>
      <c r="L27" s="82">
        <f t="shared" si="1"/>
        <v>0</v>
      </c>
      <c r="M27" s="83"/>
      <c r="N27" s="84">
        <f t="shared" si="2"/>
        <v>0</v>
      </c>
      <c r="O27" s="85" t="str">
        <f t="shared" si="5"/>
        <v/>
      </c>
      <c r="Q27" s="86"/>
      <c r="R27" s="87"/>
      <c r="S27" s="88"/>
      <c r="T27" s="87"/>
      <c r="U27" s="89"/>
      <c r="V27" s="90"/>
      <c r="W27" s="69"/>
      <c r="X27" s="86"/>
      <c r="Y27" s="87"/>
      <c r="Z27" s="88"/>
      <c r="AA27" s="87"/>
      <c r="AB27" s="89"/>
      <c r="AC27" s="90"/>
      <c r="AD27" s="69"/>
      <c r="AE27" s="86"/>
      <c r="AF27" s="87"/>
      <c r="AG27" s="88"/>
      <c r="AH27" s="87"/>
      <c r="AI27" s="89"/>
      <c r="AJ27" s="90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</row>
    <row r="28" spans="1:49" x14ac:dyDescent="0.25">
      <c r="A28" s="3"/>
      <c r="B28" s="271" t="str">
        <f>IF(Rates!D61=$A$23,Rates!B61," ")</f>
        <v>Rate Rider for Disposition of Account 1575 and 1576</v>
      </c>
      <c r="C28" s="78"/>
      <c r="D28" s="271" t="str">
        <f>IF(Rates!D61=$A$23,Rates!E61," ")</f>
        <v>kW</v>
      </c>
      <c r="E28" s="79"/>
      <c r="F28" s="80">
        <f>IF(Rates!$J$1="BRT 2018",Rates!J61," ")</f>
        <v>0</v>
      </c>
      <c r="G28" s="439">
        <f t="shared" si="3"/>
        <v>4050</v>
      </c>
      <c r="H28" s="82">
        <f t="shared" si="0"/>
        <v>0</v>
      </c>
      <c r="I28" s="87"/>
      <c r="J28" s="337">
        <f>IF(Rates!$L$1="E+ 2019",Rates!L61," ")</f>
        <v>-0.13501260473657092</v>
      </c>
      <c r="K28" s="439">
        <f t="shared" si="4"/>
        <v>4050</v>
      </c>
      <c r="L28" s="82">
        <f t="shared" si="1"/>
        <v>-546.80104918311224</v>
      </c>
      <c r="M28" s="83"/>
      <c r="N28" s="84">
        <f t="shared" si="2"/>
        <v>-546.80104918311224</v>
      </c>
      <c r="O28" s="85" t="str">
        <f t="shared" si="5"/>
        <v/>
      </c>
      <c r="Q28" s="119"/>
      <c r="R28" s="87"/>
      <c r="S28" s="88"/>
      <c r="T28" s="87"/>
      <c r="U28" s="89"/>
      <c r="V28" s="90"/>
      <c r="W28" s="69"/>
      <c r="X28" s="119"/>
      <c r="Y28" s="87"/>
      <c r="Z28" s="88"/>
      <c r="AA28" s="87"/>
      <c r="AB28" s="89"/>
      <c r="AC28" s="90"/>
      <c r="AD28" s="69"/>
      <c r="AE28" s="119"/>
      <c r="AF28" s="87"/>
      <c r="AG28" s="88"/>
      <c r="AH28" s="87"/>
      <c r="AI28" s="89"/>
      <c r="AJ28" s="90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</row>
    <row r="29" spans="1:49" x14ac:dyDescent="0.25">
      <c r="A29" s="3"/>
      <c r="B29" s="271" t="str">
        <f>IF(Rates!D62=$A$23,Rates!B62," ")</f>
        <v>Rate Rider for Disposition of Account 1575 and 1576</v>
      </c>
      <c r="C29" s="78"/>
      <c r="D29" s="271" t="str">
        <f>IF(Rates!D62=$A$23,Rates!E62," ")</f>
        <v>customer</v>
      </c>
      <c r="E29" s="79"/>
      <c r="F29" s="80">
        <f>IF(Rates!$J$1="BRT 2018",Rates!J62," ")</f>
        <v>0</v>
      </c>
      <c r="G29" s="439">
        <f t="shared" si="3"/>
        <v>1</v>
      </c>
      <c r="H29" s="82">
        <f t="shared" si="0"/>
        <v>0</v>
      </c>
      <c r="I29" s="87"/>
      <c r="J29" s="337">
        <f>IF(Rates!$L$1="E+ 2019",Rates!L62," ")</f>
        <v>0</v>
      </c>
      <c r="K29" s="439">
        <f t="shared" si="4"/>
        <v>1</v>
      </c>
      <c r="L29" s="82">
        <f t="shared" si="1"/>
        <v>0</v>
      </c>
      <c r="M29" s="83"/>
      <c r="N29" s="84">
        <f t="shared" si="2"/>
        <v>0</v>
      </c>
      <c r="O29" s="85" t="str">
        <f t="shared" si="5"/>
        <v/>
      </c>
      <c r="Q29" s="119"/>
      <c r="R29" s="87"/>
      <c r="S29" s="88"/>
      <c r="T29" s="87"/>
      <c r="U29" s="89"/>
      <c r="V29" s="90"/>
      <c r="W29" s="69"/>
      <c r="X29" s="119"/>
      <c r="Y29" s="87"/>
      <c r="Z29" s="88"/>
      <c r="AA29" s="87"/>
      <c r="AB29" s="89"/>
      <c r="AC29" s="90"/>
      <c r="AD29" s="69"/>
      <c r="AE29" s="119"/>
      <c r="AF29" s="87"/>
      <c r="AG29" s="88"/>
      <c r="AH29" s="87"/>
      <c r="AI29" s="89"/>
      <c r="AJ29" s="90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</row>
    <row r="30" spans="1:49" s="94" customFormat="1" x14ac:dyDescent="0.25">
      <c r="A30" s="99"/>
      <c r="B30" s="271" t="str">
        <f>IF(Rates!D63=$A$23,Rates!B63," ")</f>
        <v>Rate Rider for Disposition of Account 1575 and 1576</v>
      </c>
      <c r="C30" s="78"/>
      <c r="D30" s="271" t="str">
        <f>IF(Rates!D63=$A$23,Rates!E63," ")</f>
        <v>kW</v>
      </c>
      <c r="E30" s="79"/>
      <c r="F30" s="80">
        <f>IF(Rates!$J$1="BRT 2018",Rates!J63," ")</f>
        <v>0</v>
      </c>
      <c r="G30" s="439">
        <f t="shared" si="3"/>
        <v>4050</v>
      </c>
      <c r="H30" s="82">
        <f t="shared" si="0"/>
        <v>0</v>
      </c>
      <c r="I30" s="87"/>
      <c r="J30" s="337">
        <f>IF(Rates!$L$1="E+ 2019",Rates!L63," ")</f>
        <v>0</v>
      </c>
      <c r="K30" s="439">
        <f t="shared" si="4"/>
        <v>4050</v>
      </c>
      <c r="L30" s="82">
        <f t="shared" si="1"/>
        <v>0</v>
      </c>
      <c r="M30" s="91"/>
      <c r="N30" s="84">
        <f t="shared" si="2"/>
        <v>0</v>
      </c>
      <c r="O30" s="85" t="str">
        <f t="shared" si="5"/>
        <v/>
      </c>
      <c r="Q30" s="119"/>
      <c r="R30" s="87"/>
      <c r="S30" s="88"/>
      <c r="T30" s="87"/>
      <c r="U30" s="89"/>
      <c r="V30" s="90"/>
      <c r="W30" s="69"/>
      <c r="X30" s="119"/>
      <c r="Y30" s="87"/>
      <c r="Z30" s="88"/>
      <c r="AA30" s="87"/>
      <c r="AB30" s="89"/>
      <c r="AC30" s="90"/>
      <c r="AD30" s="69"/>
      <c r="AE30" s="119"/>
      <c r="AF30" s="87"/>
      <c r="AG30" s="88"/>
      <c r="AH30" s="87"/>
      <c r="AI30" s="89"/>
      <c r="AJ30" s="90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</row>
    <row r="31" spans="1:49" s="94" customFormat="1" x14ac:dyDescent="0.25">
      <c r="A31" s="3"/>
      <c r="B31" s="271" t="str">
        <f>IF(Rates!D64=$A$23,Rates!B64," ")</f>
        <v>Rate Rider for LRAMVA</v>
      </c>
      <c r="C31" s="78"/>
      <c r="D31" s="271" t="str">
        <f>IF(Rates!D64=$A$23,Rates!E64," ")</f>
        <v>kW</v>
      </c>
      <c r="E31" s="79"/>
      <c r="F31" s="80">
        <f>IF(Rates!$J$1="BRT 2018",Rates!J64," ")</f>
        <v>0</v>
      </c>
      <c r="G31" s="439">
        <f t="shared" si="3"/>
        <v>4050</v>
      </c>
      <c r="H31" s="82">
        <f t="shared" si="0"/>
        <v>0</v>
      </c>
      <c r="I31" s="87"/>
      <c r="J31" s="337">
        <f>IF(Rates!$L$1="E+ 2019",Rates!L64," ")</f>
        <v>0</v>
      </c>
      <c r="K31" s="439">
        <f t="shared" si="4"/>
        <v>4050</v>
      </c>
      <c r="L31" s="82">
        <f t="shared" si="1"/>
        <v>0</v>
      </c>
      <c r="M31" s="91"/>
      <c r="N31" s="84">
        <f t="shared" si="2"/>
        <v>0</v>
      </c>
      <c r="O31" s="85" t="str">
        <f t="shared" si="5"/>
        <v/>
      </c>
      <c r="Q31" s="119"/>
      <c r="R31" s="87"/>
      <c r="S31" s="88"/>
      <c r="T31" s="87"/>
      <c r="U31" s="89"/>
      <c r="V31" s="90"/>
      <c r="W31" s="69"/>
      <c r="X31" s="119"/>
      <c r="Y31" s="87"/>
      <c r="Z31" s="88"/>
      <c r="AA31" s="87"/>
      <c r="AB31" s="89"/>
      <c r="AC31" s="90"/>
      <c r="AD31" s="69"/>
      <c r="AE31" s="119"/>
      <c r="AF31" s="87"/>
      <c r="AG31" s="88"/>
      <c r="AH31" s="87"/>
      <c r="AI31" s="89"/>
      <c r="AJ31" s="90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</row>
    <row r="32" spans="1:49" x14ac:dyDescent="0.25">
      <c r="A32" s="3"/>
      <c r="B32" s="271" t="str">
        <f>IF(Rates!D65=$A$23,Rates!B65," ")</f>
        <v>Other Fixed</v>
      </c>
      <c r="C32" s="78"/>
      <c r="D32" s="271" t="str">
        <f>IF(Rates!D65=$A$23,Rates!E65," ")</f>
        <v>customer</v>
      </c>
      <c r="E32" s="79"/>
      <c r="F32" s="80">
        <f>IF(Rates!$J$1="BRT 2018",Rates!J65," ")</f>
        <v>0</v>
      </c>
      <c r="G32" s="439">
        <f t="shared" si="3"/>
        <v>1</v>
      </c>
      <c r="H32" s="82">
        <f t="shared" si="0"/>
        <v>0</v>
      </c>
      <c r="I32" s="87"/>
      <c r="J32" s="337">
        <f>IF(Rates!$L$1="E+ 2019",Rates!L65," ")</f>
        <v>0</v>
      </c>
      <c r="K32" s="439">
        <f t="shared" si="4"/>
        <v>1</v>
      </c>
      <c r="L32" s="82">
        <f t="shared" si="1"/>
        <v>0</v>
      </c>
      <c r="M32" s="83"/>
      <c r="N32" s="84">
        <f t="shared" si="2"/>
        <v>0</v>
      </c>
      <c r="O32" s="85" t="str">
        <f t="shared" si="5"/>
        <v/>
      </c>
      <c r="Q32" s="98"/>
      <c r="R32" s="87"/>
      <c r="S32" s="88"/>
      <c r="T32" s="87"/>
      <c r="U32" s="89"/>
      <c r="V32" s="90"/>
      <c r="W32" s="69"/>
      <c r="X32" s="98"/>
      <c r="Y32" s="87"/>
      <c r="Z32" s="88"/>
      <c r="AA32" s="87"/>
      <c r="AB32" s="89"/>
      <c r="AC32" s="90"/>
      <c r="AD32" s="69"/>
      <c r="AE32" s="98"/>
      <c r="AF32" s="87"/>
      <c r="AG32" s="88"/>
      <c r="AH32" s="87"/>
      <c r="AI32" s="89"/>
      <c r="AJ32" s="90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</row>
    <row r="33" spans="1:49" x14ac:dyDescent="0.25">
      <c r="A33" s="3"/>
      <c r="B33" s="271" t="str">
        <f>IF(Rates!D66=$A$23,Rates!B66," ")</f>
        <v>Other Volumetric</v>
      </c>
      <c r="C33" s="78"/>
      <c r="D33" s="271" t="str">
        <f>IF(Rates!D66=$A$23,Rates!E66," ")</f>
        <v>kW</v>
      </c>
      <c r="E33" s="79"/>
      <c r="F33" s="80">
        <f>IF(Rates!$J$1="BRT 2018",Rates!J66," ")</f>
        <v>0</v>
      </c>
      <c r="G33" s="439">
        <f t="shared" si="3"/>
        <v>4050</v>
      </c>
      <c r="H33" s="82">
        <f t="shared" si="0"/>
        <v>0</v>
      </c>
      <c r="I33" s="87"/>
      <c r="J33" s="337">
        <f>IF(Rates!$L$1="E+ 2019",Rates!L66," ")</f>
        <v>0</v>
      </c>
      <c r="K33" s="439">
        <f t="shared" si="4"/>
        <v>4050</v>
      </c>
      <c r="L33" s="82">
        <f t="shared" si="1"/>
        <v>0</v>
      </c>
      <c r="M33" s="83"/>
      <c r="N33" s="84">
        <f t="shared" si="2"/>
        <v>0</v>
      </c>
      <c r="O33" s="85" t="str">
        <f t="shared" si="5"/>
        <v/>
      </c>
      <c r="Q33" s="98"/>
      <c r="R33" s="87"/>
      <c r="S33" s="88"/>
      <c r="T33" s="87"/>
      <c r="U33" s="89"/>
      <c r="V33" s="90"/>
      <c r="W33" s="69"/>
      <c r="X33" s="98"/>
      <c r="Y33" s="87"/>
      <c r="Z33" s="88"/>
      <c r="AA33" s="87"/>
      <c r="AB33" s="89"/>
      <c r="AC33" s="90"/>
      <c r="AD33" s="69"/>
      <c r="AE33" s="98"/>
      <c r="AF33" s="87"/>
      <c r="AG33" s="88"/>
      <c r="AH33" s="87"/>
      <c r="AI33" s="89"/>
      <c r="AJ33" s="90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</row>
    <row r="34" spans="1:49" x14ac:dyDescent="0.25">
      <c r="A34" s="3"/>
      <c r="B34" s="271" t="str">
        <f>IF(Rates!D67=$A$23,Rates!B67," ")</f>
        <v>Rate Rider for gain on Sale of Property</v>
      </c>
      <c r="C34" s="78"/>
      <c r="D34" s="271" t="str">
        <f>IF(Rates!D67=$A$23,Rates!E67," ")</f>
        <v>kW</v>
      </c>
      <c r="E34" s="79"/>
      <c r="F34" s="80">
        <f>IF(Rates!$J$1="BRT 2018",Rates!J67," ")</f>
        <v>0</v>
      </c>
      <c r="G34" s="439">
        <f t="shared" ref="G34" si="6">IF(D34="customer",1,IF(D34="kWh",$F$19,$F$17))</f>
        <v>4050</v>
      </c>
      <c r="H34" s="82">
        <f t="shared" ref="H34" si="7">G34*F34</f>
        <v>0</v>
      </c>
      <c r="I34" s="87"/>
      <c r="J34" s="337">
        <f>IF(Rates!$L$1="E+ 2019",Rates!L67," ")</f>
        <v>-0.10363815080333348</v>
      </c>
      <c r="K34" s="439">
        <f t="shared" ref="K34" si="8">IF(D34="customer",1,IF(D34="kWh",$F$19,$F$17))</f>
        <v>4050</v>
      </c>
      <c r="L34" s="82">
        <f t="shared" ref="L34" si="9">K34*J34</f>
        <v>-419.73451075350062</v>
      </c>
      <c r="M34" s="83"/>
      <c r="N34" s="84">
        <f t="shared" ref="N34" si="10">L34-H34</f>
        <v>-419.73451075350062</v>
      </c>
      <c r="O34" s="85" t="str">
        <f t="shared" ref="O34" si="11">IF(OR(H34=0,L34=0),"",(N34/H34))</f>
        <v/>
      </c>
      <c r="Q34" s="98"/>
      <c r="R34" s="87"/>
      <c r="S34" s="88"/>
      <c r="T34" s="87"/>
      <c r="U34" s="89"/>
      <c r="V34" s="90"/>
      <c r="W34" s="69"/>
      <c r="X34" s="98"/>
      <c r="Y34" s="87"/>
      <c r="Z34" s="88"/>
      <c r="AA34" s="87"/>
      <c r="AB34" s="89"/>
      <c r="AC34" s="90"/>
      <c r="AD34" s="69"/>
      <c r="AE34" s="98"/>
      <c r="AF34" s="87"/>
      <c r="AG34" s="88"/>
      <c r="AH34" s="87"/>
      <c r="AI34" s="89"/>
      <c r="AJ34" s="90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</row>
    <row r="35" spans="1:49" hidden="1" x14ac:dyDescent="0.25">
      <c r="A35" s="3"/>
      <c r="B35" s="271"/>
      <c r="C35" s="78"/>
      <c r="D35" s="271"/>
      <c r="E35" s="79"/>
      <c r="F35" s="80"/>
      <c r="G35" s="108"/>
      <c r="H35" s="82">
        <f t="shared" si="0"/>
        <v>0</v>
      </c>
      <c r="I35" s="87"/>
      <c r="J35" s="337"/>
      <c r="K35" s="108"/>
      <c r="L35" s="82">
        <f t="shared" si="1"/>
        <v>0</v>
      </c>
      <c r="M35" s="83"/>
      <c r="N35" s="84">
        <f t="shared" si="2"/>
        <v>0</v>
      </c>
      <c r="O35" s="85" t="str">
        <f t="shared" si="5"/>
        <v/>
      </c>
      <c r="Q35" s="98"/>
      <c r="R35" s="87"/>
      <c r="S35" s="88"/>
      <c r="T35" s="87"/>
      <c r="U35" s="89"/>
      <c r="V35" s="90"/>
      <c r="W35" s="69"/>
      <c r="X35" s="98"/>
      <c r="Y35" s="87"/>
      <c r="Z35" s="88"/>
      <c r="AA35" s="87"/>
      <c r="AB35" s="89"/>
      <c r="AC35" s="90"/>
      <c r="AD35" s="69"/>
      <c r="AE35" s="98"/>
      <c r="AF35" s="87"/>
      <c r="AG35" s="88"/>
      <c r="AH35" s="87"/>
      <c r="AI35" s="89"/>
      <c r="AJ35" s="90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</row>
    <row r="36" spans="1:49" x14ac:dyDescent="0.25">
      <c r="A36" s="3"/>
      <c r="B36" s="109" t="s">
        <v>64</v>
      </c>
      <c r="C36" s="110"/>
      <c r="D36" s="110"/>
      <c r="E36" s="110"/>
      <c r="F36" s="111"/>
      <c r="G36" s="112"/>
      <c r="H36" s="113">
        <f>SUM(H23:H35)</f>
        <v>96.98</v>
      </c>
      <c r="I36" s="87"/>
      <c r="J36" s="115"/>
      <c r="K36" s="116"/>
      <c r="L36" s="113">
        <f>SUM(L23:L35)</f>
        <v>-907.43555993661289</v>
      </c>
      <c r="M36" s="91"/>
      <c r="N36" s="117">
        <f t="shared" si="2"/>
        <v>-1004.4155599366129</v>
      </c>
      <c r="O36" s="118">
        <f>IF(OR(H36=0, L36=0),"",(N36/H36))</f>
        <v>-10.356935037498586</v>
      </c>
      <c r="Q36" s="119"/>
      <c r="R36" s="120"/>
      <c r="S36" s="88"/>
      <c r="T36" s="87"/>
      <c r="U36" s="121"/>
      <c r="V36" s="122"/>
      <c r="W36" s="69"/>
      <c r="X36" s="119"/>
      <c r="Y36" s="120"/>
      <c r="Z36" s="88"/>
      <c r="AA36" s="87"/>
      <c r="AB36" s="121"/>
      <c r="AC36" s="122"/>
      <c r="AD36" s="69"/>
      <c r="AE36" s="119"/>
      <c r="AF36" s="120"/>
      <c r="AG36" s="88"/>
      <c r="AH36" s="87"/>
      <c r="AI36" s="121"/>
      <c r="AJ36" s="122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</row>
    <row r="37" spans="1:49" x14ac:dyDescent="0.25">
      <c r="A37" s="5" t="s">
        <v>18</v>
      </c>
      <c r="B37" s="271" t="str">
        <f>IF(Rates!D68=$A$37,Rates!B68," ")</f>
        <v>Low Voltage Service Rate</v>
      </c>
      <c r="C37" s="78"/>
      <c r="D37" s="271" t="str">
        <f>IF(Rates!D68=$A$37,Rates!E68," ")</f>
        <v>kW</v>
      </c>
      <c r="E37" s="79"/>
      <c r="F37" s="235">
        <f>IF(Rates!$J$1="BRT 2018",Rates!J68," ")</f>
        <v>0</v>
      </c>
      <c r="G37" s="439">
        <f t="shared" si="3"/>
        <v>4050</v>
      </c>
      <c r="H37" s="126">
        <f>G37*F37</f>
        <v>0</v>
      </c>
      <c r="I37" s="87"/>
      <c r="J37" s="337">
        <f>IF(Rates!$L$1="E+ 2019",Rates!L68," ")</f>
        <v>0</v>
      </c>
      <c r="K37" s="439">
        <f t="shared" ref="K37:K51" si="12">IF(D37="customer",1,IF(D37="kWh",$F$19,$F$17))</f>
        <v>4050</v>
      </c>
      <c r="L37" s="82">
        <f t="shared" si="1"/>
        <v>0</v>
      </c>
      <c r="M37" s="81"/>
      <c r="N37" s="84">
        <f t="shared" si="2"/>
        <v>0</v>
      </c>
      <c r="O37" s="85" t="str">
        <f t="shared" ref="O37:O44" si="13">IF(OR(H37=0,L37=0),"",(N37/H37))</f>
        <v/>
      </c>
      <c r="Q37" s="119"/>
      <c r="R37" s="87"/>
      <c r="S37" s="88"/>
      <c r="T37" s="87"/>
      <c r="U37" s="89"/>
      <c r="V37" s="90"/>
      <c r="W37" s="69"/>
      <c r="X37" s="119"/>
      <c r="Y37" s="87"/>
      <c r="Z37" s="88"/>
      <c r="AA37" s="87"/>
      <c r="AB37" s="89"/>
      <c r="AC37" s="90"/>
      <c r="AD37" s="69"/>
      <c r="AE37" s="119"/>
      <c r="AF37" s="87"/>
      <c r="AG37" s="88"/>
      <c r="AH37" s="87"/>
      <c r="AI37" s="89"/>
      <c r="AJ37" s="90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</row>
    <row r="38" spans="1:49" x14ac:dyDescent="0.25">
      <c r="A38" s="1"/>
      <c r="B38" s="124" t="s">
        <v>116</v>
      </c>
      <c r="C38" s="78"/>
      <c r="D38" s="271" t="s">
        <v>13</v>
      </c>
      <c r="E38" s="79"/>
      <c r="F38" s="127">
        <v>0</v>
      </c>
      <c r="G38" s="125"/>
      <c r="H38" s="126">
        <f t="shared" ref="H38:H44" si="14">G38*F38</f>
        <v>0</v>
      </c>
      <c r="I38" s="87"/>
      <c r="J38" s="337"/>
      <c r="K38" s="441"/>
      <c r="L38" s="82">
        <f t="shared" si="1"/>
        <v>0</v>
      </c>
      <c r="M38" s="91"/>
      <c r="N38" s="84">
        <f t="shared" si="2"/>
        <v>0</v>
      </c>
      <c r="O38" s="85" t="str">
        <f t="shared" si="13"/>
        <v/>
      </c>
      <c r="Q38" s="128"/>
      <c r="R38" s="129"/>
      <c r="S38" s="88"/>
      <c r="T38" s="87"/>
      <c r="U38" s="89"/>
      <c r="V38" s="90"/>
      <c r="W38" s="69"/>
      <c r="X38" s="128"/>
      <c r="Y38" s="129"/>
      <c r="Z38" s="88"/>
      <c r="AA38" s="87"/>
      <c r="AB38" s="89"/>
      <c r="AC38" s="90"/>
      <c r="AD38" s="69"/>
      <c r="AE38" s="128"/>
      <c r="AF38" s="129"/>
      <c r="AG38" s="88"/>
      <c r="AH38" s="87"/>
      <c r="AI38" s="89"/>
      <c r="AJ38" s="90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</row>
    <row r="39" spans="1:49" x14ac:dyDescent="0.25">
      <c r="A39" s="130"/>
      <c r="B39" s="271" t="str">
        <f>IF(Rates!D69=$A$37,Rates!B69," ")</f>
        <v>Rate Rider Other Fixed</v>
      </c>
      <c r="C39" s="78"/>
      <c r="D39" s="271" t="str">
        <f>IF(Rates!D69=$A$37,Rates!E69," ")</f>
        <v>customer</v>
      </c>
      <c r="E39" s="79"/>
      <c r="F39" s="235">
        <f>IF(Rates!$J$1="BRT 2018",Rates!J69," ")</f>
        <v>0</v>
      </c>
      <c r="G39" s="439">
        <f t="shared" si="3"/>
        <v>1</v>
      </c>
      <c r="H39" s="126">
        <f t="shared" si="14"/>
        <v>0</v>
      </c>
      <c r="I39" s="87"/>
      <c r="J39" s="337">
        <f>IF(Rates!$L$1="E+ 2019",Rates!L69," ")</f>
        <v>0</v>
      </c>
      <c r="K39" s="439">
        <f t="shared" si="12"/>
        <v>1</v>
      </c>
      <c r="L39" s="82">
        <f t="shared" si="1"/>
        <v>0</v>
      </c>
      <c r="M39" s="91"/>
      <c r="N39" s="84">
        <f t="shared" si="2"/>
        <v>0</v>
      </c>
      <c r="O39" s="85" t="str">
        <f t="shared" si="13"/>
        <v/>
      </c>
      <c r="Q39" s="119"/>
      <c r="R39" s="87"/>
      <c r="S39" s="88"/>
      <c r="T39" s="87"/>
      <c r="U39" s="89"/>
      <c r="V39" s="90"/>
      <c r="W39" s="69"/>
      <c r="X39" s="119"/>
      <c r="Y39" s="87"/>
      <c r="Z39" s="88"/>
      <c r="AA39" s="87"/>
      <c r="AB39" s="89"/>
      <c r="AC39" s="90"/>
      <c r="AD39" s="69"/>
      <c r="AE39" s="119"/>
      <c r="AF39" s="87"/>
      <c r="AG39" s="88"/>
      <c r="AH39" s="87"/>
      <c r="AI39" s="89"/>
      <c r="AJ39" s="90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</row>
    <row r="40" spans="1:49" x14ac:dyDescent="0.25">
      <c r="A40" s="130"/>
      <c r="B40" s="271" t="str">
        <f>IF(Rates!D70=$A$37,Rates!B70," ")</f>
        <v>Rate Rider Other Volumetric</v>
      </c>
      <c r="C40" s="78"/>
      <c r="D40" s="271" t="str">
        <f>IF(Rates!D70=$A$37,Rates!E70," ")</f>
        <v>kW</v>
      </c>
      <c r="E40" s="79"/>
      <c r="F40" s="235">
        <f>IF(Rates!$J$1="BRT 2018",Rates!J70," ")</f>
        <v>0</v>
      </c>
      <c r="G40" s="439">
        <f t="shared" si="3"/>
        <v>4050</v>
      </c>
      <c r="H40" s="126">
        <f t="shared" si="14"/>
        <v>0</v>
      </c>
      <c r="I40" s="87"/>
      <c r="J40" s="337">
        <f>IF(Rates!$L$1="E+ 2019",Rates!L70," ")</f>
        <v>6.2493208204681002E-4</v>
      </c>
      <c r="K40" s="439">
        <f t="shared" si="12"/>
        <v>4050</v>
      </c>
      <c r="L40" s="82">
        <f t="shared" si="1"/>
        <v>2.5309749322895807</v>
      </c>
      <c r="M40" s="91"/>
      <c r="N40" s="84">
        <f t="shared" si="2"/>
        <v>2.5309749322895807</v>
      </c>
      <c r="O40" s="85" t="str">
        <f t="shared" si="13"/>
        <v/>
      </c>
      <c r="Q40" s="119"/>
      <c r="R40" s="87"/>
      <c r="S40" s="88"/>
      <c r="T40" s="87"/>
      <c r="U40" s="89"/>
      <c r="V40" s="90"/>
      <c r="W40" s="69"/>
      <c r="X40" s="119"/>
      <c r="Y40" s="87"/>
      <c r="Z40" s="88"/>
      <c r="AA40" s="87"/>
      <c r="AB40" s="89"/>
      <c r="AC40" s="90"/>
      <c r="AD40" s="69"/>
      <c r="AE40" s="119"/>
      <c r="AF40" s="87"/>
      <c r="AG40" s="88"/>
      <c r="AH40" s="87"/>
      <c r="AI40" s="89"/>
      <c r="AJ40" s="90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</row>
    <row r="41" spans="1:49" x14ac:dyDescent="0.25">
      <c r="A41" s="130"/>
      <c r="B41" s="271" t="str">
        <f>IF(Rates!D71=$A$37,Rates!B71," ")</f>
        <v>Rate Rider Other Volumetric</v>
      </c>
      <c r="C41" s="78"/>
      <c r="D41" s="271" t="str">
        <f>IF(Rates!D71=$A$37,Rates!E71," ")</f>
        <v>kW</v>
      </c>
      <c r="E41" s="79"/>
      <c r="F41" s="235">
        <f>IF(Rates!$J$1="BRT 2018",Rates!J71," ")</f>
        <v>0</v>
      </c>
      <c r="G41" s="439">
        <f t="shared" si="3"/>
        <v>4050</v>
      </c>
      <c r="H41" s="126">
        <f t="shared" si="14"/>
        <v>0</v>
      </c>
      <c r="I41" s="87"/>
      <c r="J41" s="337">
        <f>IF(Rates!$L$1="E+ 2019",Rates!L71," ")</f>
        <v>0</v>
      </c>
      <c r="K41" s="439">
        <f t="shared" si="12"/>
        <v>4050</v>
      </c>
      <c r="L41" s="82">
        <f t="shared" si="1"/>
        <v>0</v>
      </c>
      <c r="M41" s="91"/>
      <c r="N41" s="84">
        <f t="shared" si="2"/>
        <v>0</v>
      </c>
      <c r="O41" s="85" t="str">
        <f t="shared" si="13"/>
        <v/>
      </c>
      <c r="Q41" s="119"/>
      <c r="R41" s="87"/>
      <c r="S41" s="88"/>
      <c r="T41" s="87"/>
      <c r="U41" s="89"/>
      <c r="V41" s="90"/>
      <c r="W41" s="69"/>
      <c r="X41" s="119"/>
      <c r="Y41" s="87"/>
      <c r="Z41" s="88"/>
      <c r="AA41" s="87"/>
      <c r="AB41" s="89"/>
      <c r="AC41" s="90"/>
      <c r="AD41" s="69"/>
      <c r="AE41" s="119"/>
      <c r="AF41" s="87"/>
      <c r="AG41" s="88"/>
      <c r="AH41" s="87"/>
      <c r="AI41" s="89"/>
      <c r="AJ41" s="90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</row>
    <row r="42" spans="1:49" x14ac:dyDescent="0.25">
      <c r="A42" s="1"/>
      <c r="B42" s="271" t="str">
        <f>IF(Rates!D72=$A$37,Rates!B72," ")</f>
        <v xml:space="preserve">Rate Rider for Disposition of Deferral/Variance Accounts </v>
      </c>
      <c r="C42" s="78"/>
      <c r="D42" s="271" t="str">
        <f>IF(Rates!D72=$A$37,Rates!E72," ")</f>
        <v>kW</v>
      </c>
      <c r="E42" s="79"/>
      <c r="F42" s="235">
        <f>IF(Rates!$J$1="BRT 2018",Rates!J72," ")</f>
        <v>0</v>
      </c>
      <c r="G42" s="439">
        <f t="shared" si="3"/>
        <v>4050</v>
      </c>
      <c r="H42" s="126">
        <f t="shared" si="14"/>
        <v>0</v>
      </c>
      <c r="I42" s="87"/>
      <c r="J42" s="337">
        <f>IF(Rates!$L$1="E+ 2019",Rates!L72," ")</f>
        <v>-0.70083707704234655</v>
      </c>
      <c r="K42" s="439">
        <f t="shared" si="12"/>
        <v>4050</v>
      </c>
      <c r="L42" s="82">
        <f t="shared" si="1"/>
        <v>-2838.3901620215033</v>
      </c>
      <c r="M42" s="91"/>
      <c r="N42" s="84">
        <f t="shared" si="2"/>
        <v>-2838.3901620215033</v>
      </c>
      <c r="O42" s="85" t="str">
        <f t="shared" si="13"/>
        <v/>
      </c>
      <c r="Q42" s="128"/>
      <c r="R42" s="129"/>
      <c r="S42" s="88"/>
      <c r="T42" s="87"/>
      <c r="U42" s="89"/>
      <c r="V42" s="90"/>
      <c r="W42" s="69"/>
      <c r="X42" s="128"/>
      <c r="Y42" s="129"/>
      <c r="Z42" s="88"/>
      <c r="AA42" s="87"/>
      <c r="AB42" s="89"/>
      <c r="AC42" s="90"/>
      <c r="AD42" s="69"/>
      <c r="AE42" s="128"/>
      <c r="AF42" s="129"/>
      <c r="AG42" s="88"/>
      <c r="AH42" s="87"/>
      <c r="AI42" s="89"/>
      <c r="AJ42" s="90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</row>
    <row r="43" spans="1:49" x14ac:dyDescent="0.25">
      <c r="A43" s="1"/>
      <c r="B43" s="271" t="str">
        <f>IF(Rates!D73=$A$37,Rates!B73," ")</f>
        <v>Rate Rider for Disposition of Deferral/Variance Accounts Non-WMP Customers</v>
      </c>
      <c r="C43" s="78"/>
      <c r="D43" s="271" t="str">
        <f>IF(Rates!D73=$A$37,Rates!E73," ")</f>
        <v>kW</v>
      </c>
      <c r="E43" s="79"/>
      <c r="F43" s="235">
        <f>IF(Rates!$J$1="BRT 2018",Rates!J73," ")</f>
        <v>0</v>
      </c>
      <c r="G43" s="439">
        <f t="shared" si="3"/>
        <v>4050</v>
      </c>
      <c r="H43" s="126">
        <f t="shared" si="14"/>
        <v>0</v>
      </c>
      <c r="I43" s="87"/>
      <c r="J43" s="337">
        <f>IF(Rates!$L$1="E+ 2019",Rates!L73," ")</f>
        <v>0</v>
      </c>
      <c r="K43" s="439">
        <f t="shared" si="12"/>
        <v>4050</v>
      </c>
      <c r="L43" s="82">
        <f t="shared" si="1"/>
        <v>0</v>
      </c>
      <c r="M43" s="91"/>
      <c r="N43" s="84">
        <f t="shared" si="2"/>
        <v>0</v>
      </c>
      <c r="O43" s="85" t="str">
        <f t="shared" si="13"/>
        <v/>
      </c>
      <c r="Q43" s="128"/>
      <c r="R43" s="129"/>
      <c r="S43" s="88"/>
      <c r="T43" s="87"/>
      <c r="U43" s="89"/>
      <c r="V43" s="90"/>
      <c r="W43" s="69"/>
      <c r="X43" s="128"/>
      <c r="Y43" s="129"/>
      <c r="Z43" s="88"/>
      <c r="AA43" s="87"/>
      <c r="AB43" s="89"/>
      <c r="AC43" s="90"/>
      <c r="AD43" s="69"/>
      <c r="AE43" s="128"/>
      <c r="AF43" s="129"/>
      <c r="AG43" s="88"/>
      <c r="AH43" s="87"/>
      <c r="AI43" s="89"/>
      <c r="AJ43" s="90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</row>
    <row r="44" spans="1:49" x14ac:dyDescent="0.25">
      <c r="A44" s="1"/>
      <c r="B44" s="271" t="str">
        <f>IF(Rates!D74=$A$37,Rates!B74," ")</f>
        <v>Rate Rider for Disposition of GA DV</v>
      </c>
      <c r="C44" s="78"/>
      <c r="D44" s="271" t="str">
        <f>IF(Rates!D74=$A$37,Rates!E74," ")</f>
        <v>kWh</v>
      </c>
      <c r="E44" s="79"/>
      <c r="F44" s="235">
        <f>IF(Rates!$J$1="BRT 2018",Rates!J74," ")</f>
        <v>0</v>
      </c>
      <c r="G44" s="439">
        <f t="shared" si="3"/>
        <v>1990000</v>
      </c>
      <c r="H44" s="126">
        <f t="shared" si="14"/>
        <v>0</v>
      </c>
      <c r="I44" s="87"/>
      <c r="J44" s="337">
        <f>IF(Rates!$L$1="E+ 2019",Rates!L74," ")</f>
        <v>3.8449181889326287E-4</v>
      </c>
      <c r="K44" s="439">
        <f t="shared" si="12"/>
        <v>1990000</v>
      </c>
      <c r="L44" s="82">
        <f t="shared" si="1"/>
        <v>765.13871959759308</v>
      </c>
      <c r="M44" s="91"/>
      <c r="N44" s="84">
        <f t="shared" si="2"/>
        <v>765.13871959759308</v>
      </c>
      <c r="O44" s="85" t="str">
        <f t="shared" si="13"/>
        <v/>
      </c>
      <c r="Q44" s="128"/>
      <c r="R44" s="129"/>
      <c r="S44" s="88"/>
      <c r="T44" s="87"/>
      <c r="U44" s="89"/>
      <c r="V44" s="90"/>
      <c r="W44" s="69"/>
      <c r="X44" s="128"/>
      <c r="Y44" s="129"/>
      <c r="Z44" s="88"/>
      <c r="AA44" s="87"/>
      <c r="AB44" s="89"/>
      <c r="AC44" s="90"/>
      <c r="AD44" s="69"/>
      <c r="AE44" s="128"/>
      <c r="AF44" s="129"/>
      <c r="AG44" s="88"/>
      <c r="AH44" s="87"/>
      <c r="AI44" s="89"/>
      <c r="AJ44" s="90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</row>
    <row r="45" spans="1:49" x14ac:dyDescent="0.25">
      <c r="A45" s="1"/>
      <c r="B45" s="271" t="str">
        <f>IF(Rates!D75=$A$37,Rates!B75," ")</f>
        <v>Rate Rider for Disposition of Capacity Based Recovery Account (2018) - Applicable only for Class B Customers</v>
      </c>
      <c r="C45" s="78"/>
      <c r="D45" s="271" t="str">
        <f>IF(Rates!D75=$A$37,Rates!E75," ")</f>
        <v>kW</v>
      </c>
      <c r="E45" s="79"/>
      <c r="F45" s="235">
        <f>IF(Rates!$J$1="BRT 2018",Rates!J75," ")</f>
        <v>0</v>
      </c>
      <c r="G45" s="439">
        <f t="shared" si="3"/>
        <v>4050</v>
      </c>
      <c r="H45" s="126">
        <f t="shared" ref="H45" si="15">G45*F45</f>
        <v>0</v>
      </c>
      <c r="I45" s="87"/>
      <c r="J45" s="337">
        <f>IF(Rates!$L$1="E+ 2019",Rates!L75," ")</f>
        <v>2.0831059614040558E-3</v>
      </c>
      <c r="K45" s="439">
        <f t="shared" si="12"/>
        <v>4050</v>
      </c>
      <c r="L45" s="82">
        <f t="shared" ref="L45" si="16">K45*J45</f>
        <v>8.4365791436864264</v>
      </c>
      <c r="M45" s="91"/>
      <c r="N45" s="84">
        <f t="shared" ref="N45" si="17">L45-H45</f>
        <v>8.4365791436864264</v>
      </c>
      <c r="O45" s="85" t="str">
        <f t="shared" ref="O45" si="18">IF(OR(H45=0,L45=0),"",(N45/H45))</f>
        <v/>
      </c>
      <c r="Q45" s="128"/>
      <c r="R45" s="129"/>
      <c r="S45" s="88"/>
      <c r="T45" s="87"/>
      <c r="U45" s="89"/>
      <c r="V45" s="90"/>
      <c r="W45" s="69"/>
      <c r="X45" s="128"/>
      <c r="Y45" s="129"/>
      <c r="Z45" s="88"/>
      <c r="AA45" s="87"/>
      <c r="AB45" s="89"/>
      <c r="AC45" s="90"/>
      <c r="AD45" s="69"/>
      <c r="AE45" s="128"/>
      <c r="AF45" s="129"/>
      <c r="AG45" s="88"/>
      <c r="AH45" s="87"/>
      <c r="AI45" s="89"/>
      <c r="AJ45" s="90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</row>
    <row r="46" spans="1:49" hidden="1" x14ac:dyDescent="0.25">
      <c r="A46" s="1"/>
      <c r="B46" s="271"/>
      <c r="C46" s="78"/>
      <c r="D46" s="271"/>
      <c r="E46" s="79"/>
      <c r="F46" s="235"/>
      <c r="G46" s="439"/>
      <c r="H46" s="126"/>
      <c r="I46" s="87"/>
      <c r="J46" s="337"/>
      <c r="K46" s="439"/>
      <c r="L46" s="82"/>
      <c r="M46" s="91"/>
      <c r="N46" s="84"/>
      <c r="O46" s="85"/>
      <c r="Q46" s="128"/>
      <c r="R46" s="129"/>
      <c r="S46" s="88"/>
      <c r="T46" s="87"/>
      <c r="U46" s="89"/>
      <c r="V46" s="90"/>
      <c r="W46" s="69"/>
      <c r="X46" s="128"/>
      <c r="Y46" s="129"/>
      <c r="Z46" s="88"/>
      <c r="AA46" s="87"/>
      <c r="AB46" s="89"/>
      <c r="AC46" s="90"/>
      <c r="AD46" s="69"/>
      <c r="AE46" s="128"/>
      <c r="AF46" s="129"/>
      <c r="AG46" s="88"/>
      <c r="AH46" s="87"/>
      <c r="AI46" s="89"/>
      <c r="AJ46" s="90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</row>
    <row r="47" spans="1:49" x14ac:dyDescent="0.25">
      <c r="A47" s="1"/>
      <c r="B47" s="132" t="s">
        <v>80</v>
      </c>
      <c r="C47" s="133"/>
      <c r="D47" s="133"/>
      <c r="E47" s="133"/>
      <c r="F47" s="134"/>
      <c r="G47" s="135"/>
      <c r="H47" s="136">
        <f>SUM(H37:H46)+H36</f>
        <v>96.98</v>
      </c>
      <c r="I47" s="87"/>
      <c r="J47" s="135"/>
      <c r="K47" s="137"/>
      <c r="L47" s="136">
        <f>SUM(L37:L46)+L36</f>
        <v>-2969.7194482845471</v>
      </c>
      <c r="M47" s="91"/>
      <c r="N47" s="117">
        <f t="shared" si="2"/>
        <v>-3066.6994482845471</v>
      </c>
      <c r="O47" s="138">
        <f>IF(OR(H47=0,L47=0),"",(N47/H47))</f>
        <v>-31.621978225247958</v>
      </c>
      <c r="Q47" s="87"/>
      <c r="R47" s="87"/>
      <c r="S47" s="121"/>
      <c r="T47" s="87"/>
      <c r="U47" s="121"/>
      <c r="V47" s="139"/>
      <c r="W47" s="69"/>
      <c r="X47" s="87"/>
      <c r="Y47" s="87"/>
      <c r="Z47" s="121"/>
      <c r="AA47" s="87"/>
      <c r="AB47" s="121"/>
      <c r="AC47" s="139"/>
      <c r="AD47" s="69"/>
      <c r="AE47" s="87"/>
      <c r="AF47" s="87"/>
      <c r="AG47" s="121"/>
      <c r="AH47" s="87"/>
      <c r="AI47" s="121"/>
      <c r="AJ47" s="13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</row>
    <row r="48" spans="1:49" x14ac:dyDescent="0.25">
      <c r="A48" s="38" t="s">
        <v>16</v>
      </c>
      <c r="B48" s="271" t="str">
        <f>IF(Rates!D76=$A$48,Rates!B76," ")</f>
        <v>Retail Transmission Rate – Network Service Rate</v>
      </c>
      <c r="C48" s="83"/>
      <c r="D48" s="271" t="str">
        <f>IF(Rates!D76= $A$48,Rates!E76," ")</f>
        <v>kW</v>
      </c>
      <c r="E48" s="91"/>
      <c r="F48" s="235">
        <f>IF(Rates!$J$1="BRT 2018",Rates!J76," ")</f>
        <v>0</v>
      </c>
      <c r="G48" s="441">
        <f t="shared" si="3"/>
        <v>4050</v>
      </c>
      <c r="H48" s="82">
        <f>G48*F48</f>
        <v>0</v>
      </c>
      <c r="I48" s="87"/>
      <c r="J48" s="80">
        <v>0</v>
      </c>
      <c r="K48" s="441">
        <f t="shared" si="12"/>
        <v>4050</v>
      </c>
      <c r="L48" s="82">
        <f>K48*J48</f>
        <v>0</v>
      </c>
      <c r="M48" s="91"/>
      <c r="N48" s="84">
        <f t="shared" si="2"/>
        <v>0</v>
      </c>
      <c r="O48" s="85" t="str">
        <f>IF(OR(H48=0,L48=0),"",(N48/H48))</f>
        <v/>
      </c>
      <c r="Q48" s="119"/>
      <c r="R48" s="141"/>
      <c r="S48" s="88"/>
      <c r="T48" s="87"/>
      <c r="U48" s="89"/>
      <c r="V48" s="90"/>
      <c r="W48" s="69"/>
      <c r="X48" s="119"/>
      <c r="Y48" s="141"/>
      <c r="Z48" s="88"/>
      <c r="AA48" s="87"/>
      <c r="AB48" s="89"/>
      <c r="AC48" s="90"/>
      <c r="AD48" s="69"/>
      <c r="AE48" s="119"/>
      <c r="AF48" s="141"/>
      <c r="AG48" s="88"/>
      <c r="AH48" s="87"/>
      <c r="AI48" s="89"/>
      <c r="AJ48" s="90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</row>
    <row r="49" spans="1:49" x14ac:dyDescent="0.25">
      <c r="A49" s="1"/>
      <c r="B49" s="271" t="str">
        <f>IF(Rates!D77=$A$48,Rates!B77," ")</f>
        <v>Retail Transmission Rate – Line and Transformation Connection Service Rate</v>
      </c>
      <c r="C49" s="83"/>
      <c r="D49" s="271" t="str">
        <f>IF(Rates!D77= $A$48,Rates!E77," ")</f>
        <v>kW</v>
      </c>
      <c r="E49" s="91"/>
      <c r="F49" s="235">
        <f>IF(Rates!$J$1="BRT 2018",Rates!J77," ")</f>
        <v>0</v>
      </c>
      <c r="G49" s="441">
        <f t="shared" si="3"/>
        <v>4050</v>
      </c>
      <c r="H49" s="82">
        <f t="shared" ref="H49" si="19">G49*F49</f>
        <v>0</v>
      </c>
      <c r="I49" s="87"/>
      <c r="J49" s="80">
        <v>0</v>
      </c>
      <c r="K49" s="441">
        <f t="shared" si="12"/>
        <v>4050</v>
      </c>
      <c r="L49" s="82">
        <f t="shared" ref="L49" si="20">K49*J49</f>
        <v>0</v>
      </c>
      <c r="M49" s="91"/>
      <c r="N49" s="84">
        <f t="shared" si="2"/>
        <v>0</v>
      </c>
      <c r="O49" s="85" t="str">
        <f t="shared" ref="O49" si="21">IF(OR(H49=0,L49=0),"",(N49/H49))</f>
        <v/>
      </c>
      <c r="Q49" s="119"/>
      <c r="R49" s="141"/>
      <c r="S49" s="88"/>
      <c r="T49" s="87"/>
      <c r="U49" s="89"/>
      <c r="V49" s="90"/>
      <c r="W49" s="69"/>
      <c r="X49" s="119"/>
      <c r="Y49" s="141"/>
      <c r="Z49" s="88"/>
      <c r="AA49" s="87"/>
      <c r="AB49" s="89"/>
      <c r="AC49" s="90"/>
      <c r="AD49" s="69"/>
      <c r="AE49" s="119"/>
      <c r="AF49" s="141"/>
      <c r="AG49" s="88"/>
      <c r="AH49" s="87"/>
      <c r="AI49" s="89"/>
      <c r="AJ49" s="90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</row>
    <row r="50" spans="1:49" x14ac:dyDescent="0.25">
      <c r="A50" s="1"/>
      <c r="B50" s="132" t="s">
        <v>81</v>
      </c>
      <c r="C50" s="110"/>
      <c r="D50" s="110"/>
      <c r="E50" s="110"/>
      <c r="F50" s="142"/>
      <c r="G50" s="135"/>
      <c r="H50" s="136">
        <f>SUM(H47:H49)</f>
        <v>96.98</v>
      </c>
      <c r="I50" s="146"/>
      <c r="J50" s="144"/>
      <c r="K50" s="145"/>
      <c r="L50" s="136">
        <f>SUM(L47:L49)</f>
        <v>-2969.7194482845471</v>
      </c>
      <c r="M50" s="277"/>
      <c r="N50" s="117">
        <f>L50-H50</f>
        <v>-3066.6994482845471</v>
      </c>
      <c r="O50" s="138">
        <f>IF(OR(H50=0,L50=0),"",(N50/H50))</f>
        <v>-31.621978225247958</v>
      </c>
      <c r="Q50" s="146"/>
      <c r="R50" s="146"/>
      <c r="S50" s="121"/>
      <c r="T50" s="146"/>
      <c r="U50" s="121"/>
      <c r="V50" s="139"/>
      <c r="W50" s="69"/>
      <c r="X50" s="146"/>
      <c r="Y50" s="146"/>
      <c r="Z50" s="121"/>
      <c r="AA50" s="146"/>
      <c r="AB50" s="121"/>
      <c r="AC50" s="139"/>
      <c r="AD50" s="69"/>
      <c r="AE50" s="146"/>
      <c r="AF50" s="146"/>
      <c r="AG50" s="121"/>
      <c r="AH50" s="146"/>
      <c r="AI50" s="121"/>
      <c r="AJ50" s="13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</row>
    <row r="51" spans="1:49" x14ac:dyDescent="0.25">
      <c r="A51" s="4" t="s">
        <v>17</v>
      </c>
      <c r="B51" s="271" t="str">
        <f>IF(Rates!D8=$A$51,Rates!B8," ")</f>
        <v>Standard Supply Service – Administrative Charge (if applicable)</v>
      </c>
      <c r="C51" s="78"/>
      <c r="D51" s="271" t="str">
        <f>IF(Rates!D8=$A$51,Rates!E8," ")</f>
        <v>customer</v>
      </c>
      <c r="E51" s="79"/>
      <c r="F51" s="235">
        <f>IF(Rates!$J$1="BRT 2018",Rates!J8," ")</f>
        <v>0.25</v>
      </c>
      <c r="G51" s="439">
        <f t="shared" si="3"/>
        <v>1</v>
      </c>
      <c r="H51" s="148">
        <f t="shared" ref="H51:H60" si="22">G51*F51</f>
        <v>0.25</v>
      </c>
      <c r="I51" s="87"/>
      <c r="J51" s="80">
        <f>IF(Rates!$L$1="E+ 2019",Rates!L8," ")</f>
        <v>0.25</v>
      </c>
      <c r="K51" s="441">
        <f t="shared" si="12"/>
        <v>1</v>
      </c>
      <c r="L51" s="148">
        <f t="shared" ref="L51:L60" si="23">K51*J51</f>
        <v>0.25</v>
      </c>
      <c r="M51" s="91"/>
      <c r="N51" s="84">
        <f t="shared" si="2"/>
        <v>0</v>
      </c>
      <c r="O51" s="85">
        <f>IF(OR(H51=0,L51=0),"",(N51/H51))</f>
        <v>0</v>
      </c>
      <c r="Q51" s="150"/>
      <c r="R51" s="224"/>
      <c r="S51" s="151"/>
      <c r="T51" s="87"/>
      <c r="U51" s="89"/>
      <c r="V51" s="90"/>
      <c r="W51" s="69"/>
      <c r="X51" s="150"/>
      <c r="Y51" s="224"/>
      <c r="Z51" s="151"/>
      <c r="AA51" s="87"/>
      <c r="AB51" s="89"/>
      <c r="AC51" s="90"/>
      <c r="AD51" s="69"/>
      <c r="AE51" s="150"/>
      <c r="AF51" s="224"/>
      <c r="AG51" s="151"/>
      <c r="AH51" s="87"/>
      <c r="AI51" s="89"/>
      <c r="AJ51" s="90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</row>
    <row r="52" spans="1:49" x14ac:dyDescent="0.25">
      <c r="A52" s="1"/>
      <c r="B52" s="271" t="str">
        <f>IF(Rates!D9=$A$51,Rates!B9," ")</f>
        <v xml:space="preserve">Wholesale Market Service Rate </v>
      </c>
      <c r="C52" s="78"/>
      <c r="D52" s="271" t="str">
        <f>IF(Rates!D9=$A$51,Rates!E9," ")</f>
        <v>kWh</v>
      </c>
      <c r="E52" s="79"/>
      <c r="F52" s="235">
        <f>IF(Rates!$J$1="BRT 2018",Rates!J9," ")</f>
        <v>3.2000000000000002E-3</v>
      </c>
      <c r="G52" s="225">
        <f>$F$19*(1+$F$74)</f>
        <v>2088505.0000000002</v>
      </c>
      <c r="H52" s="148">
        <f t="shared" si="22"/>
        <v>6683.2160000000013</v>
      </c>
      <c r="I52" s="87"/>
      <c r="J52" s="235">
        <f>IF(Rates!$L$1="E+ 2019",Rates!L9," ")</f>
        <v>3.2000000000000002E-3</v>
      </c>
      <c r="K52" s="225">
        <f>$F$19*(1+$J$74)</f>
        <v>2030551.8288547276</v>
      </c>
      <c r="L52" s="148">
        <f t="shared" si="23"/>
        <v>6497.7658523351283</v>
      </c>
      <c r="M52" s="91"/>
      <c r="N52" s="84">
        <f t="shared" si="2"/>
        <v>-185.45014766487293</v>
      </c>
      <c r="O52" s="85">
        <f t="shared" ref="O52:O71" si="24">IF(OR(H52=0,L52=0),"",(N52/H52))</f>
        <v>-2.7748638928454937E-2</v>
      </c>
      <c r="Q52" s="150"/>
      <c r="R52" s="224"/>
      <c r="S52" s="151"/>
      <c r="T52" s="87"/>
      <c r="U52" s="89"/>
      <c r="V52" s="90"/>
      <c r="W52" s="69"/>
      <c r="X52" s="150"/>
      <c r="Y52" s="224"/>
      <c r="Z52" s="151"/>
      <c r="AA52" s="87"/>
      <c r="AB52" s="89"/>
      <c r="AC52" s="90"/>
      <c r="AD52" s="69"/>
      <c r="AE52" s="150"/>
      <c r="AF52" s="224"/>
      <c r="AG52" s="151"/>
      <c r="AH52" s="87"/>
      <c r="AI52" s="89"/>
      <c r="AJ52" s="90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</row>
    <row r="53" spans="1:49" x14ac:dyDescent="0.25">
      <c r="A53" s="1"/>
      <c r="B53" s="271" t="str">
        <f>IF(Rates!D10=$A$51,Rates!B10," ")</f>
        <v>Capacity Based Rcovery(CBR) - Class B Customers</v>
      </c>
      <c r="C53" s="78"/>
      <c r="D53" s="271" t="str">
        <f>IF(Rates!D10=$A$51,Rates!E10," ")</f>
        <v>kWh</v>
      </c>
      <c r="E53" s="79"/>
      <c r="F53" s="235">
        <f>IF(Rates!$J$1="BRT 2018",Rates!J10," ")</f>
        <v>4.0000000000000002E-4</v>
      </c>
      <c r="G53" s="225">
        <f>$F$19*(1+$F$74)</f>
        <v>2088505.0000000002</v>
      </c>
      <c r="H53" s="148">
        <f t="shared" si="22"/>
        <v>835.40200000000016</v>
      </c>
      <c r="I53" s="87"/>
      <c r="J53" s="235">
        <f>IF(Rates!$L$1="E+ 2019",Rates!L10," ")</f>
        <v>4.0000000000000002E-4</v>
      </c>
      <c r="K53" s="225">
        <f>$F$19*(1+$J$74)</f>
        <v>2030551.8288547276</v>
      </c>
      <c r="L53" s="148">
        <f t="shared" si="23"/>
        <v>812.22073154189104</v>
      </c>
      <c r="M53" s="91"/>
      <c r="N53" s="84">
        <f t="shared" si="2"/>
        <v>-23.181268458109116</v>
      </c>
      <c r="O53" s="85">
        <f t="shared" si="24"/>
        <v>-2.7748638928454937E-2</v>
      </c>
      <c r="Q53" s="150"/>
      <c r="R53" s="224"/>
      <c r="S53" s="151"/>
      <c r="T53" s="87"/>
      <c r="U53" s="89"/>
      <c r="V53" s="90"/>
      <c r="W53" s="69"/>
      <c r="X53" s="150"/>
      <c r="Y53" s="224"/>
      <c r="Z53" s="151"/>
      <c r="AA53" s="87"/>
      <c r="AB53" s="89"/>
      <c r="AC53" s="90"/>
      <c r="AD53" s="69"/>
      <c r="AE53" s="150"/>
      <c r="AF53" s="224"/>
      <c r="AG53" s="151"/>
      <c r="AH53" s="87"/>
      <c r="AI53" s="89"/>
      <c r="AJ53" s="90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</row>
    <row r="54" spans="1:49" x14ac:dyDescent="0.25">
      <c r="A54" s="1"/>
      <c r="B54" s="271" t="str">
        <f>IF(Rates!D11=$A$51,Rates!B11," ")</f>
        <v xml:space="preserve">Rural Rate Protection Charge </v>
      </c>
      <c r="C54" s="78"/>
      <c r="D54" s="271" t="str">
        <f>IF(Rates!D11=$A$51,Rates!E11," ")</f>
        <v>kWh</v>
      </c>
      <c r="E54" s="79"/>
      <c r="F54" s="235">
        <f>IF(Rates!$J$1="BRT 2018",Rates!J11," ")</f>
        <v>2.9999999999999997E-4</v>
      </c>
      <c r="G54" s="225">
        <f>$F$19*(1+$F$74)</f>
        <v>2088505.0000000002</v>
      </c>
      <c r="H54" s="148">
        <f t="shared" si="22"/>
        <v>626.55150000000003</v>
      </c>
      <c r="I54" s="87"/>
      <c r="J54" s="235">
        <f>IF(Rates!$L$1="E+ 2019",Rates!L11," ")</f>
        <v>2.9999999999999997E-4</v>
      </c>
      <c r="K54" s="225">
        <f>$F$19*(1+$J$74)</f>
        <v>2030551.8288547276</v>
      </c>
      <c r="L54" s="148">
        <f t="shared" si="23"/>
        <v>609.1655486564182</v>
      </c>
      <c r="M54" s="91"/>
      <c r="N54" s="84">
        <f t="shared" si="2"/>
        <v>-17.385951343581837</v>
      </c>
      <c r="O54" s="85">
        <f t="shared" si="24"/>
        <v>-2.774863892845494E-2</v>
      </c>
      <c r="Q54" s="153"/>
      <c r="R54" s="87"/>
      <c r="S54" s="151"/>
      <c r="T54" s="87"/>
      <c r="U54" s="89"/>
      <c r="V54" s="90"/>
      <c r="W54" s="69"/>
      <c r="X54" s="153"/>
      <c r="Y54" s="87"/>
      <c r="Z54" s="151"/>
      <c r="AA54" s="87"/>
      <c r="AB54" s="89"/>
      <c r="AC54" s="90"/>
      <c r="AD54" s="69"/>
      <c r="AE54" s="153"/>
      <c r="AF54" s="87"/>
      <c r="AG54" s="151"/>
      <c r="AH54" s="87"/>
      <c r="AI54" s="89"/>
      <c r="AJ54" s="90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</row>
    <row r="55" spans="1:49" x14ac:dyDescent="0.25">
      <c r="A55" s="1"/>
      <c r="B55" s="271" t="str">
        <f>IF(Rates!D12=$A$51,Rates!B12," ")</f>
        <v>Debt Retirement Charge</v>
      </c>
      <c r="C55" s="78"/>
      <c r="D55" s="271" t="str">
        <f>IF(Rates!D12=$A$51,Rates!E12," ")</f>
        <v>kWh</v>
      </c>
      <c r="E55" s="79"/>
      <c r="F55" s="235">
        <f>IF(Rates!$J$1="BRT 2018",Rates!J12," ")</f>
        <v>7.0000000000000001E-3</v>
      </c>
      <c r="G55" s="225">
        <f>$F$19</f>
        <v>1990000</v>
      </c>
      <c r="H55" s="148">
        <f t="shared" si="22"/>
        <v>13930</v>
      </c>
      <c r="I55" s="87"/>
      <c r="J55" s="235">
        <f>IF(Rates!$L$1="E+ 2019",Rates!L12," ")</f>
        <v>7.0000000000000001E-3</v>
      </c>
      <c r="K55" s="225">
        <f>F19</f>
        <v>1990000</v>
      </c>
      <c r="L55" s="148">
        <f t="shared" si="23"/>
        <v>13930</v>
      </c>
      <c r="M55" s="91"/>
      <c r="N55" s="84">
        <f t="shared" si="2"/>
        <v>0</v>
      </c>
      <c r="O55" s="85">
        <f t="shared" si="24"/>
        <v>0</v>
      </c>
      <c r="Q55" s="153"/>
      <c r="R55" s="87"/>
      <c r="S55" s="151"/>
      <c r="T55" s="87"/>
      <c r="U55" s="89"/>
      <c r="V55" s="90"/>
      <c r="W55" s="69"/>
      <c r="X55" s="153"/>
      <c r="Y55" s="87"/>
      <c r="Z55" s="151"/>
      <c r="AA55" s="87"/>
      <c r="AB55" s="89"/>
      <c r="AC55" s="90"/>
      <c r="AD55" s="69"/>
      <c r="AE55" s="153"/>
      <c r="AF55" s="87"/>
      <c r="AG55" s="151"/>
      <c r="AH55" s="87"/>
      <c r="AI55" s="89"/>
      <c r="AJ55" s="90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</row>
    <row r="56" spans="1:49" x14ac:dyDescent="0.25">
      <c r="A56" s="6" t="s">
        <v>14</v>
      </c>
      <c r="B56" s="271" t="str">
        <f>IF(Rates!D2=$A$56,Rates!B2," ")</f>
        <v>TOU - Off Peak</v>
      </c>
      <c r="C56" s="78"/>
      <c r="D56" s="271" t="str">
        <f>IF(Rates!D2=$A$56,Rates!E2," ")</f>
        <v>kWh</v>
      </c>
      <c r="E56" s="79"/>
      <c r="F56" s="235">
        <f>IF(Rates!$J$1="BRT 2018",Rates!J2," ")</f>
        <v>6.5000000000000002E-2</v>
      </c>
      <c r="G56" s="226">
        <f>IF($G$59=0,0.65*($F$19*(1+$F$74)),0)</f>
        <v>0</v>
      </c>
      <c r="H56" s="148">
        <f t="shared" si="22"/>
        <v>0</v>
      </c>
      <c r="I56" s="87"/>
      <c r="J56" s="152">
        <f>IF(Rates!$L$1="E+ 2019",Rates!L2," ")</f>
        <v>6.5000000000000002E-2</v>
      </c>
      <c r="K56" s="226">
        <f>IF($K$59=0,0.65*$F$19,0)</f>
        <v>0</v>
      </c>
      <c r="L56" s="148">
        <f t="shared" si="23"/>
        <v>0</v>
      </c>
      <c r="M56" s="91"/>
      <c r="N56" s="84">
        <f t="shared" si="2"/>
        <v>0</v>
      </c>
      <c r="O56" s="85" t="str">
        <f t="shared" si="24"/>
        <v/>
      </c>
      <c r="Q56" s="150"/>
      <c r="R56" s="224"/>
      <c r="S56" s="151"/>
      <c r="T56" s="87"/>
      <c r="U56" s="89"/>
      <c r="V56" s="90"/>
      <c r="W56" s="69"/>
      <c r="X56" s="150"/>
      <c r="Y56" s="224"/>
      <c r="Z56" s="151"/>
      <c r="AA56" s="87"/>
      <c r="AB56" s="89"/>
      <c r="AC56" s="90"/>
      <c r="AD56" s="69"/>
      <c r="AE56" s="150"/>
      <c r="AF56" s="224"/>
      <c r="AG56" s="151"/>
      <c r="AH56" s="87"/>
      <c r="AI56" s="89"/>
      <c r="AJ56" s="90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</row>
    <row r="57" spans="1:49" x14ac:dyDescent="0.25">
      <c r="A57" s="1"/>
      <c r="B57" s="271" t="str">
        <f>IF(Rates!D3=$A$56,Rates!B3," ")</f>
        <v>TOU - Mid Peak</v>
      </c>
      <c r="C57" s="78"/>
      <c r="D57" s="271" t="str">
        <f>IF(Rates!D3=$A$56,Rates!E3," ")</f>
        <v>kWh</v>
      </c>
      <c r="E57" s="79"/>
      <c r="F57" s="235">
        <f>IF(Rates!$J$1="BRT 2018",Rates!J3," ")</f>
        <v>9.5000000000000001E-2</v>
      </c>
      <c r="G57" s="226">
        <f>IF($G$59=0,0.17*($F$19*(1+$F$74)),0)</f>
        <v>0</v>
      </c>
      <c r="H57" s="148">
        <f t="shared" si="22"/>
        <v>0</v>
      </c>
      <c r="I57" s="87"/>
      <c r="J57" s="147">
        <f t="shared" ref="J57:J60" si="25">+F57</f>
        <v>9.5000000000000001E-2</v>
      </c>
      <c r="K57" s="226">
        <f>IF($K$59=0,0.17*$F$19,0)</f>
        <v>0</v>
      </c>
      <c r="L57" s="148">
        <f t="shared" si="23"/>
        <v>0</v>
      </c>
      <c r="M57" s="91"/>
      <c r="N57" s="84">
        <f t="shared" si="2"/>
        <v>0</v>
      </c>
      <c r="O57" s="85" t="str">
        <f t="shared" si="24"/>
        <v/>
      </c>
      <c r="Q57" s="157"/>
      <c r="R57" s="227"/>
      <c r="S57" s="151"/>
      <c r="T57" s="87"/>
      <c r="U57" s="89"/>
      <c r="V57" s="90"/>
      <c r="W57" s="69"/>
      <c r="X57" s="157"/>
      <c r="Y57" s="227"/>
      <c r="Z57" s="151"/>
      <c r="AA57" s="87"/>
      <c r="AB57" s="89"/>
      <c r="AC57" s="90"/>
      <c r="AD57" s="69"/>
      <c r="AE57" s="157"/>
      <c r="AF57" s="227"/>
      <c r="AG57" s="151"/>
      <c r="AH57" s="87"/>
      <c r="AI57" s="89"/>
      <c r="AJ57" s="90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</row>
    <row r="58" spans="1:49" x14ac:dyDescent="0.25">
      <c r="A58" s="1"/>
      <c r="B58" s="271" t="str">
        <f>IF(Rates!D4=$A$56,Rates!B4," ")</f>
        <v>TOU - On Peak</v>
      </c>
      <c r="C58" s="78"/>
      <c r="D58" s="271" t="str">
        <f>IF(Rates!D4=$A$56,Rates!E4," ")</f>
        <v>kWh</v>
      </c>
      <c r="E58" s="79"/>
      <c r="F58" s="235">
        <f>IF(Rates!$J$1="BRT 2018",Rates!J4," ")</f>
        <v>0.13200000000000001</v>
      </c>
      <c r="G58" s="226">
        <f>IF($G$59=0,0.18*($F$19*(1+$F$74)),0)</f>
        <v>0</v>
      </c>
      <c r="H58" s="148">
        <f t="shared" si="22"/>
        <v>0</v>
      </c>
      <c r="I58" s="87"/>
      <c r="J58" s="147">
        <f t="shared" si="25"/>
        <v>0.13200000000000001</v>
      </c>
      <c r="K58" s="226">
        <f>IF($K$59=0,0.18*$F$19,0)</f>
        <v>0</v>
      </c>
      <c r="L58" s="148">
        <f t="shared" si="23"/>
        <v>0</v>
      </c>
      <c r="M58" s="91"/>
      <c r="N58" s="84">
        <f t="shared" si="2"/>
        <v>0</v>
      </c>
      <c r="O58" s="85" t="str">
        <f t="shared" si="24"/>
        <v/>
      </c>
      <c r="Q58" s="157"/>
      <c r="R58" s="227"/>
      <c r="S58" s="151"/>
      <c r="T58" s="87"/>
      <c r="U58" s="89"/>
      <c r="V58" s="90"/>
      <c r="W58" s="69"/>
      <c r="X58" s="157"/>
      <c r="Y58" s="227"/>
      <c r="Z58" s="151"/>
      <c r="AA58" s="87"/>
      <c r="AB58" s="89"/>
      <c r="AC58" s="90"/>
      <c r="AD58" s="69"/>
      <c r="AE58" s="157"/>
      <c r="AF58" s="227"/>
      <c r="AG58" s="151"/>
      <c r="AH58" s="87"/>
      <c r="AI58" s="89"/>
      <c r="AJ58" s="90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</row>
    <row r="59" spans="1:49" x14ac:dyDescent="0.25">
      <c r="A59" s="1"/>
      <c r="B59" s="271" t="str">
        <f>IF(Rates!D5=$A$56,Rates!B5," ")</f>
        <v>Commodity</v>
      </c>
      <c r="C59" s="160"/>
      <c r="D59" s="271" t="str">
        <f>IF(Rates!D5=$A$56,Rates!E5," ")</f>
        <v>kWh</v>
      </c>
      <c r="E59" s="161"/>
      <c r="F59" s="235">
        <f>IF(Rates!$J$1="BRT 2018",Rates!J5," ")</f>
        <v>1.8855833333333332E-2</v>
      </c>
      <c r="G59" s="225">
        <f>$F$19*(1+$F$74)</f>
        <v>2088505.0000000002</v>
      </c>
      <c r="H59" s="148">
        <f t="shared" si="22"/>
        <v>39380.502195833338</v>
      </c>
      <c r="I59" s="166"/>
      <c r="J59" s="147">
        <f t="shared" si="25"/>
        <v>1.8855833333333332E-2</v>
      </c>
      <c r="K59" s="225">
        <f>$F$19*(1+$J$74)</f>
        <v>2030551.8288547276</v>
      </c>
      <c r="L59" s="148">
        <f t="shared" si="23"/>
        <v>38287.746859579929</v>
      </c>
      <c r="M59" s="278"/>
      <c r="N59" s="84">
        <f t="shared" si="2"/>
        <v>-1092.755336253409</v>
      </c>
      <c r="O59" s="85">
        <f t="shared" si="24"/>
        <v>-2.7748638928455013E-2</v>
      </c>
      <c r="Q59" s="157"/>
      <c r="R59" s="227"/>
      <c r="S59" s="151"/>
      <c r="T59" s="166"/>
      <c r="U59" s="89"/>
      <c r="V59" s="90"/>
      <c r="W59" s="69"/>
      <c r="X59" s="157"/>
      <c r="Y59" s="227"/>
      <c r="Z59" s="151"/>
      <c r="AA59" s="166"/>
      <c r="AB59" s="89"/>
      <c r="AC59" s="90"/>
      <c r="AD59" s="69"/>
      <c r="AE59" s="157"/>
      <c r="AF59" s="227"/>
      <c r="AG59" s="151"/>
      <c r="AH59" s="166"/>
      <c r="AI59" s="89"/>
      <c r="AJ59" s="90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</row>
    <row r="60" spans="1:49" ht="15.75" thickBot="1" x14ac:dyDescent="0.3">
      <c r="A60" s="159"/>
      <c r="B60" s="271" t="str">
        <f>IF(Rates!D6=$A$56,Rates!B6," ")</f>
        <v>Global Adjustment</v>
      </c>
      <c r="C60" s="160"/>
      <c r="D60" s="271" t="str">
        <f>IF(Rates!D6=$A$56,Rates!E6," ")</f>
        <v>kWh</v>
      </c>
      <c r="E60" s="161"/>
      <c r="F60" s="235">
        <f>IF(Rates!$J$1="BRT 2018",Rates!J6," ")</f>
        <v>0.10303000000000001</v>
      </c>
      <c r="G60" s="225">
        <f>$F$19*(1+$F$74)</f>
        <v>2088505.0000000002</v>
      </c>
      <c r="H60" s="148">
        <f t="shared" si="22"/>
        <v>215178.67015000005</v>
      </c>
      <c r="I60" s="166"/>
      <c r="J60" s="169">
        <f t="shared" si="25"/>
        <v>0.10303000000000001</v>
      </c>
      <c r="K60" s="225">
        <f>$F$19*(1+$J$74)</f>
        <v>2030551.8288547276</v>
      </c>
      <c r="L60" s="148">
        <f t="shared" si="23"/>
        <v>209207.75492690259</v>
      </c>
      <c r="M60" s="278"/>
      <c r="N60" s="84">
        <f t="shared" si="2"/>
        <v>-5970.9152230974578</v>
      </c>
      <c r="O60" s="85">
        <f t="shared" si="24"/>
        <v>-2.7748638928454947E-2</v>
      </c>
      <c r="Q60" s="157"/>
      <c r="R60" s="227"/>
      <c r="S60" s="151"/>
      <c r="T60" s="166"/>
      <c r="U60" s="89"/>
      <c r="V60" s="90"/>
      <c r="W60" s="69"/>
      <c r="X60" s="157"/>
      <c r="Y60" s="227"/>
      <c r="Z60" s="151"/>
      <c r="AA60" s="166"/>
      <c r="AB60" s="89"/>
      <c r="AC60" s="90"/>
      <c r="AD60" s="69"/>
      <c r="AE60" s="157"/>
      <c r="AF60" s="227"/>
      <c r="AG60" s="151"/>
      <c r="AH60" s="166"/>
      <c r="AI60" s="89"/>
      <c r="AJ60" s="90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</row>
    <row r="61" spans="1:49" ht="15.75" thickBot="1" x14ac:dyDescent="0.3">
      <c r="A61" s="159"/>
      <c r="B61" s="211"/>
      <c r="C61" s="212"/>
      <c r="D61" s="213"/>
      <c r="E61" s="212"/>
      <c r="F61" s="266"/>
      <c r="G61" s="214"/>
      <c r="H61" s="267"/>
      <c r="I61" s="87"/>
      <c r="J61" s="266"/>
      <c r="K61" s="216"/>
      <c r="L61" s="267"/>
      <c r="M61" s="87"/>
      <c r="N61" s="217"/>
      <c r="O61" s="205"/>
      <c r="Q61" s="157"/>
      <c r="R61" s="120"/>
      <c r="S61" s="151"/>
      <c r="T61" s="87"/>
      <c r="U61" s="89"/>
      <c r="V61" s="174"/>
      <c r="W61" s="69"/>
      <c r="X61" s="157"/>
      <c r="Y61" s="120"/>
      <c r="Z61" s="151"/>
      <c r="AA61" s="87"/>
      <c r="AB61" s="89"/>
      <c r="AC61" s="174"/>
      <c r="AD61" s="69"/>
      <c r="AE61" s="157"/>
      <c r="AF61" s="120"/>
      <c r="AG61" s="151"/>
      <c r="AH61" s="87"/>
      <c r="AI61" s="89"/>
      <c r="AJ61" s="174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</row>
    <row r="62" spans="1:49" x14ac:dyDescent="0.25">
      <c r="A62" s="159"/>
      <c r="B62" s="175" t="s">
        <v>97</v>
      </c>
      <c r="C62" s="78"/>
      <c r="D62" s="78"/>
      <c r="E62" s="78"/>
      <c r="F62" s="176"/>
      <c r="G62" s="177"/>
      <c r="H62" s="179">
        <f>SUM(H51:H55,H50,H59,,H60,)</f>
        <v>276731.57184583339</v>
      </c>
      <c r="I62" s="146"/>
      <c r="J62" s="178"/>
      <c r="K62" s="178"/>
      <c r="L62" s="179">
        <f>SUM(L51:L55,L50,L59,,L60,)</f>
        <v>266375.18447073142</v>
      </c>
      <c r="M62" s="146"/>
      <c r="N62" s="179">
        <f>L62-H62</f>
        <v>-10356.387375101971</v>
      </c>
      <c r="O62" s="180">
        <f t="shared" si="24"/>
        <v>-3.7423945905498246E-2</v>
      </c>
      <c r="Q62" s="181"/>
      <c r="R62" s="181"/>
      <c r="S62" s="121"/>
      <c r="T62" s="146"/>
      <c r="U62" s="89"/>
      <c r="V62" s="90"/>
      <c r="W62" s="69"/>
      <c r="X62" s="181"/>
      <c r="Y62" s="181"/>
      <c r="Z62" s="121"/>
      <c r="AA62" s="146"/>
      <c r="AB62" s="89"/>
      <c r="AC62" s="90"/>
      <c r="AD62" s="69"/>
      <c r="AE62" s="181"/>
      <c r="AF62" s="181"/>
      <c r="AG62" s="121"/>
      <c r="AH62" s="146"/>
      <c r="AI62" s="89"/>
      <c r="AJ62" s="90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</row>
    <row r="63" spans="1:49" x14ac:dyDescent="0.25">
      <c r="A63" s="159"/>
      <c r="B63" s="182" t="s">
        <v>9</v>
      </c>
      <c r="C63" s="78"/>
      <c r="D63" s="78"/>
      <c r="E63" s="78"/>
      <c r="F63" s="183">
        <v>0.13</v>
      </c>
      <c r="G63" s="87"/>
      <c r="H63" s="188">
        <f>H62*F63</f>
        <v>35975.104339958343</v>
      </c>
      <c r="I63" s="187"/>
      <c r="J63" s="185">
        <v>0.13</v>
      </c>
      <c r="K63" s="184"/>
      <c r="L63" s="188">
        <f>L62*J63</f>
        <v>34628.773981195089</v>
      </c>
      <c r="M63" s="187"/>
      <c r="N63" s="188">
        <f>L63-H63</f>
        <v>-1346.3303587632545</v>
      </c>
      <c r="O63" s="85">
        <f t="shared" si="24"/>
        <v>-3.7423945905498197E-2</v>
      </c>
      <c r="Q63" s="189"/>
      <c r="R63" s="187"/>
      <c r="S63" s="190"/>
      <c r="T63" s="187"/>
      <c r="U63" s="89"/>
      <c r="V63" s="90"/>
      <c r="W63" s="69"/>
      <c r="X63" s="189"/>
      <c r="Y63" s="187"/>
      <c r="Z63" s="190"/>
      <c r="AA63" s="187"/>
      <c r="AB63" s="89"/>
      <c r="AC63" s="90"/>
      <c r="AD63" s="69"/>
      <c r="AE63" s="189"/>
      <c r="AF63" s="187"/>
      <c r="AG63" s="190"/>
      <c r="AH63" s="187"/>
      <c r="AI63" s="89"/>
      <c r="AJ63" s="90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</row>
    <row r="64" spans="1:49" ht="15.75" thickBot="1" x14ac:dyDescent="0.3">
      <c r="A64" s="1"/>
      <c r="B64" s="515" t="s">
        <v>98</v>
      </c>
      <c r="C64" s="515"/>
      <c r="D64" s="515"/>
      <c r="E64" s="192"/>
      <c r="F64" s="218"/>
      <c r="G64" s="219"/>
      <c r="H64" s="222">
        <f>SUM(H62:H63)</f>
        <v>312706.67618579173</v>
      </c>
      <c r="I64" s="146"/>
      <c r="J64" s="220"/>
      <c r="K64" s="220"/>
      <c r="L64" s="222">
        <f>SUM(L62:L63)</f>
        <v>301003.95845192648</v>
      </c>
      <c r="M64" s="146"/>
      <c r="N64" s="222">
        <f>L64-H64</f>
        <v>-11702.717733865255</v>
      </c>
      <c r="O64" s="197">
        <f t="shared" si="24"/>
        <v>-3.7423945905498336E-2</v>
      </c>
      <c r="Q64" s="146"/>
      <c r="R64" s="146"/>
      <c r="S64" s="121"/>
      <c r="T64" s="146"/>
      <c r="U64" s="121"/>
      <c r="V64" s="223"/>
      <c r="W64" s="69"/>
      <c r="X64" s="146"/>
      <c r="Y64" s="146"/>
      <c r="Z64" s="121"/>
      <c r="AA64" s="146"/>
      <c r="AB64" s="121"/>
      <c r="AC64" s="223"/>
      <c r="AD64" s="69"/>
      <c r="AE64" s="146"/>
      <c r="AF64" s="146"/>
      <c r="AG64" s="121"/>
      <c r="AH64" s="146"/>
      <c r="AI64" s="121"/>
      <c r="AJ64" s="223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</row>
    <row r="65" spans="1:49" ht="15.75" thickBot="1" x14ac:dyDescent="0.3">
      <c r="A65" s="1"/>
      <c r="B65" s="198"/>
      <c r="C65" s="199"/>
      <c r="D65" s="200"/>
      <c r="E65" s="199"/>
      <c r="F65" s="266"/>
      <c r="G65" s="201"/>
      <c r="H65" s="267"/>
      <c r="I65" s="166"/>
      <c r="J65" s="266"/>
      <c r="K65" s="203"/>
      <c r="L65" s="267"/>
      <c r="M65" s="166"/>
      <c r="N65" s="204"/>
      <c r="O65" s="205"/>
      <c r="Q65" s="157"/>
      <c r="R65" s="206"/>
      <c r="S65" s="151"/>
      <c r="T65" s="166"/>
      <c r="U65" s="207"/>
      <c r="V65" s="174"/>
      <c r="W65" s="69"/>
      <c r="X65" s="157"/>
      <c r="Y65" s="206"/>
      <c r="Z65" s="151"/>
      <c r="AA65" s="166"/>
      <c r="AB65" s="207"/>
      <c r="AC65" s="174"/>
      <c r="AD65" s="69"/>
      <c r="AE65" s="157"/>
      <c r="AF65" s="206"/>
      <c r="AG65" s="151"/>
      <c r="AH65" s="166"/>
      <c r="AI65" s="207"/>
      <c r="AJ65" s="174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</row>
    <row r="66" spans="1:49" x14ac:dyDescent="0.25">
      <c r="A66" s="1"/>
      <c r="B66" s="236" t="s">
        <v>99</v>
      </c>
      <c r="C66" s="160"/>
      <c r="D66" s="160"/>
      <c r="E66" s="160"/>
      <c r="F66" s="237"/>
      <c r="G66" s="238"/>
      <c r="H66" s="241">
        <f>IF($G$56&gt;0,SUM(H50,H51:H58),0)</f>
        <v>0</v>
      </c>
      <c r="I66" s="240"/>
      <c r="J66" s="239"/>
      <c r="K66" s="239"/>
      <c r="L66" s="241">
        <f>IF($K$56&gt;0,SUM(L50,L51:L58),0)</f>
        <v>0</v>
      </c>
      <c r="M66" s="240"/>
      <c r="N66" s="241">
        <f t="shared" ref="N66:N71" si="26">L66-H66</f>
        <v>0</v>
      </c>
      <c r="O66" s="180" t="str">
        <f t="shared" si="24"/>
        <v/>
      </c>
      <c r="Q66" s="242"/>
      <c r="R66" s="242"/>
      <c r="S66" s="243"/>
      <c r="T66" s="240"/>
      <c r="U66" s="89"/>
      <c r="V66" s="90"/>
      <c r="W66" s="69"/>
      <c r="X66" s="242"/>
      <c r="Y66" s="242"/>
      <c r="Z66" s="243"/>
      <c r="AA66" s="240"/>
      <c r="AB66" s="89"/>
      <c r="AC66" s="90"/>
      <c r="AD66" s="69"/>
      <c r="AE66" s="242"/>
      <c r="AF66" s="242"/>
      <c r="AG66" s="243"/>
      <c r="AH66" s="240"/>
      <c r="AI66" s="89"/>
      <c r="AJ66" s="90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</row>
    <row r="67" spans="1:49" x14ac:dyDescent="0.25">
      <c r="A67" s="1"/>
      <c r="B67" s="244" t="s">
        <v>9</v>
      </c>
      <c r="C67" s="160"/>
      <c r="D67" s="160"/>
      <c r="E67" s="160"/>
      <c r="F67" s="245">
        <v>0.13</v>
      </c>
      <c r="G67" s="238"/>
      <c r="H67" s="250">
        <f>$H$66*F67</f>
        <v>0</v>
      </c>
      <c r="I67" s="249"/>
      <c r="J67" s="247">
        <v>0.13</v>
      </c>
      <c r="K67" s="248"/>
      <c r="L67" s="250">
        <f>$L$66*J67</f>
        <v>0</v>
      </c>
      <c r="M67" s="249"/>
      <c r="N67" s="250">
        <f t="shared" si="26"/>
        <v>0</v>
      </c>
      <c r="O67" s="85" t="str">
        <f t="shared" si="24"/>
        <v/>
      </c>
      <c r="Q67" s="251"/>
      <c r="R67" s="252"/>
      <c r="S67" s="253"/>
      <c r="T67" s="249"/>
      <c r="U67" s="89"/>
      <c r="V67" s="90"/>
      <c r="W67" s="69"/>
      <c r="X67" s="251"/>
      <c r="Y67" s="252"/>
      <c r="Z67" s="253"/>
      <c r="AA67" s="249"/>
      <c r="AB67" s="89"/>
      <c r="AC67" s="90"/>
      <c r="AD67" s="69"/>
      <c r="AE67" s="251"/>
      <c r="AF67" s="252"/>
      <c r="AG67" s="253"/>
      <c r="AH67" s="249"/>
      <c r="AI67" s="89"/>
      <c r="AJ67" s="90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</row>
    <row r="68" spans="1:49" x14ac:dyDescent="0.25">
      <c r="A68" s="1"/>
      <c r="B68" s="182" t="s">
        <v>106</v>
      </c>
      <c r="C68" s="78"/>
      <c r="D68" s="78"/>
      <c r="E68" s="78"/>
      <c r="F68" s="183">
        <v>-0.05</v>
      </c>
      <c r="G68" s="87"/>
      <c r="H68" s="188">
        <f>$H$66*F68</f>
        <v>0</v>
      </c>
      <c r="I68" s="187"/>
      <c r="J68" s="183">
        <v>-0.05</v>
      </c>
      <c r="K68" s="184"/>
      <c r="L68" s="188">
        <f>$L$66*J68</f>
        <v>0</v>
      </c>
      <c r="M68" s="187"/>
      <c r="N68" s="188">
        <f t="shared" si="26"/>
        <v>0</v>
      </c>
      <c r="O68" s="85" t="str">
        <f t="shared" si="24"/>
        <v/>
      </c>
      <c r="Q68" s="189"/>
      <c r="R68" s="187"/>
      <c r="S68" s="190"/>
      <c r="T68" s="187"/>
      <c r="U68" s="89"/>
      <c r="V68" s="90"/>
      <c r="W68" s="69"/>
      <c r="X68" s="189"/>
      <c r="Y68" s="187"/>
      <c r="Z68" s="253"/>
      <c r="AA68" s="249"/>
      <c r="AB68" s="89"/>
      <c r="AC68" s="90"/>
      <c r="AD68" s="69"/>
      <c r="AE68" s="251"/>
      <c r="AF68" s="252"/>
      <c r="AG68" s="253"/>
      <c r="AH68" s="249"/>
      <c r="AI68" s="89"/>
      <c r="AJ68" s="90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</row>
    <row r="69" spans="1:49" x14ac:dyDescent="0.25">
      <c r="A69" s="159"/>
      <c r="B69" s="254" t="s">
        <v>100</v>
      </c>
      <c r="C69" s="160"/>
      <c r="D69" s="160"/>
      <c r="E69" s="160"/>
      <c r="F69" s="255"/>
      <c r="G69" s="166"/>
      <c r="H69" s="250">
        <f>SUM(H66:H68)</f>
        <v>0</v>
      </c>
      <c r="I69" s="249"/>
      <c r="J69" s="246"/>
      <c r="K69" s="246"/>
      <c r="L69" s="250">
        <f>SUM(L66:L68)</f>
        <v>0</v>
      </c>
      <c r="M69" s="249"/>
      <c r="N69" s="250">
        <f t="shared" si="26"/>
        <v>0</v>
      </c>
      <c r="O69" s="85" t="str">
        <f t="shared" si="24"/>
        <v/>
      </c>
      <c r="Q69" s="249"/>
      <c r="R69" s="249"/>
      <c r="S69" s="253"/>
      <c r="T69" s="249"/>
      <c r="U69" s="89"/>
      <c r="V69" s="90"/>
      <c r="W69" s="69"/>
      <c r="X69" s="249"/>
      <c r="Y69" s="249"/>
      <c r="Z69" s="253"/>
      <c r="AA69" s="249"/>
      <c r="AB69" s="89"/>
      <c r="AC69" s="90"/>
      <c r="AD69" s="69"/>
      <c r="AE69" s="249"/>
      <c r="AF69" s="249"/>
      <c r="AG69" s="253"/>
      <c r="AH69" s="249"/>
      <c r="AI69" s="89"/>
      <c r="AJ69" s="90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</row>
    <row r="70" spans="1:49" x14ac:dyDescent="0.25">
      <c r="A70" s="159"/>
      <c r="B70" s="516" t="s">
        <v>101</v>
      </c>
      <c r="C70" s="516"/>
      <c r="D70" s="516"/>
      <c r="E70" s="160"/>
      <c r="F70" s="255"/>
      <c r="G70" s="166"/>
      <c r="H70" s="256">
        <f>ROUND(-H69*0%,2)</f>
        <v>0</v>
      </c>
      <c r="I70" s="249"/>
      <c r="J70" s="246"/>
      <c r="K70" s="246"/>
      <c r="L70" s="256">
        <f>ROUND(-L69*0%,2)</f>
        <v>0</v>
      </c>
      <c r="M70" s="249"/>
      <c r="N70" s="256">
        <f t="shared" si="26"/>
        <v>0</v>
      </c>
      <c r="O70" s="257" t="str">
        <f>IF(OR(H70=0,L70=0),"",(N70/H70))</f>
        <v/>
      </c>
      <c r="Q70" s="249"/>
      <c r="R70" s="249"/>
      <c r="S70" s="258"/>
      <c r="T70" s="249"/>
      <c r="U70" s="259"/>
      <c r="V70" s="90"/>
      <c r="W70" s="69"/>
      <c r="X70" s="249"/>
      <c r="Y70" s="249"/>
      <c r="Z70" s="258"/>
      <c r="AA70" s="249"/>
      <c r="AB70" s="259"/>
      <c r="AC70" s="90"/>
      <c r="AD70" s="69"/>
      <c r="AE70" s="249"/>
      <c r="AF70" s="249"/>
      <c r="AG70" s="258"/>
      <c r="AH70" s="249"/>
      <c r="AI70" s="259"/>
      <c r="AJ70" s="90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</row>
    <row r="71" spans="1:49" ht="15.75" thickBot="1" x14ac:dyDescent="0.3">
      <c r="A71" s="159"/>
      <c r="B71" s="513" t="s">
        <v>102</v>
      </c>
      <c r="C71" s="513"/>
      <c r="D71" s="513"/>
      <c r="E71" s="260"/>
      <c r="F71" s="261"/>
      <c r="G71" s="262"/>
      <c r="H71" s="265">
        <f>SUM(H69:H70)</f>
        <v>0</v>
      </c>
      <c r="I71" s="240"/>
      <c r="J71" s="263"/>
      <c r="K71" s="263"/>
      <c r="L71" s="265">
        <f>SUM(L69:L70)</f>
        <v>0</v>
      </c>
      <c r="M71" s="240"/>
      <c r="N71" s="265">
        <f t="shared" si="26"/>
        <v>0</v>
      </c>
      <c r="O71" s="197" t="str">
        <f t="shared" si="24"/>
        <v/>
      </c>
      <c r="Q71" s="240"/>
      <c r="R71" s="240"/>
      <c r="S71" s="243"/>
      <c r="T71" s="240"/>
      <c r="U71" s="121"/>
      <c r="V71" s="223"/>
      <c r="W71" s="69"/>
      <c r="X71" s="240"/>
      <c r="Y71" s="240"/>
      <c r="Z71" s="243"/>
      <c r="AA71" s="240"/>
      <c r="AB71" s="121"/>
      <c r="AC71" s="223"/>
      <c r="AD71" s="69"/>
      <c r="AE71" s="240"/>
      <c r="AF71" s="240"/>
      <c r="AG71" s="243"/>
      <c r="AH71" s="240"/>
      <c r="AI71" s="121"/>
      <c r="AJ71" s="223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</row>
    <row r="72" spans="1:49" ht="15.75" thickBot="1" x14ac:dyDescent="0.3">
      <c r="A72" s="159"/>
      <c r="B72" s="198"/>
      <c r="C72" s="199"/>
      <c r="D72" s="200"/>
      <c r="E72" s="199"/>
      <c r="F72" s="390"/>
      <c r="G72" s="400"/>
      <c r="H72" s="401"/>
      <c r="I72" s="166"/>
      <c r="J72" s="390"/>
      <c r="K72" s="391"/>
      <c r="L72" s="392"/>
      <c r="M72" s="166"/>
      <c r="N72" s="268"/>
      <c r="O72" s="205"/>
      <c r="Q72" s="157"/>
      <c r="R72" s="206"/>
      <c r="S72" s="151"/>
      <c r="T72" s="166"/>
      <c r="U72" s="207"/>
      <c r="V72" s="174"/>
      <c r="W72" s="69"/>
      <c r="X72" s="157"/>
      <c r="Y72" s="206"/>
      <c r="Z72" s="151"/>
      <c r="AA72" s="166"/>
      <c r="AB72" s="207"/>
      <c r="AC72" s="174"/>
      <c r="AD72" s="69"/>
      <c r="AE72" s="157"/>
      <c r="AF72" s="206"/>
      <c r="AG72" s="151"/>
      <c r="AH72" s="166"/>
      <c r="AI72" s="207"/>
      <c r="AJ72" s="174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</row>
    <row r="73" spans="1:49" x14ac:dyDescent="0.25">
      <c r="A73" s="159"/>
      <c r="B73" s="1"/>
      <c r="C73" s="1"/>
      <c r="D73" s="1"/>
      <c r="E73" s="1"/>
      <c r="F73" s="1"/>
      <c r="G73" s="1"/>
      <c r="H73" s="67"/>
      <c r="I73" s="2"/>
      <c r="J73" s="1"/>
      <c r="K73" s="1"/>
      <c r="L73" s="67"/>
      <c r="M73" s="3"/>
      <c r="N73" s="1"/>
      <c r="O73" s="1"/>
      <c r="Q73" s="2"/>
      <c r="R73" s="2"/>
      <c r="S73" s="208"/>
      <c r="T73" s="2"/>
      <c r="U73" s="2"/>
      <c r="V73" s="2"/>
      <c r="W73" s="69"/>
      <c r="X73" s="2"/>
      <c r="Y73" s="2"/>
      <c r="Z73" s="208"/>
      <c r="AA73" s="2"/>
      <c r="AB73" s="2"/>
      <c r="AC73" s="2"/>
      <c r="AD73" s="69"/>
      <c r="AE73" s="2"/>
      <c r="AF73" s="2"/>
      <c r="AG73" s="208"/>
      <c r="AH73" s="2"/>
      <c r="AI73" s="2"/>
      <c r="AJ73" s="2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</row>
    <row r="74" spans="1:49" x14ac:dyDescent="0.25">
      <c r="A74" s="159"/>
      <c r="B74" s="65" t="s">
        <v>10</v>
      </c>
      <c r="C74" s="1"/>
      <c r="D74" s="1"/>
      <c r="E74" s="1"/>
      <c r="F74" s="209">
        <f>Rates!$S$8-1</f>
        <v>4.9500000000000099E-2</v>
      </c>
      <c r="G74" s="1"/>
      <c r="H74" s="1"/>
      <c r="I74" s="1"/>
      <c r="J74" s="209">
        <f>Rates!$T$8-1</f>
        <v>2.0377803444586728E-2</v>
      </c>
      <c r="K74" s="1"/>
      <c r="L74" s="67"/>
      <c r="M74" s="3"/>
      <c r="N74" s="1"/>
      <c r="O74" s="1"/>
      <c r="Q74" s="210"/>
      <c r="R74" s="2"/>
      <c r="S74" s="2"/>
      <c r="T74" s="2"/>
      <c r="U74" s="2"/>
      <c r="V74" s="2"/>
      <c r="W74" s="69"/>
      <c r="X74" s="210"/>
      <c r="Y74" s="2"/>
      <c r="Z74" s="2"/>
      <c r="AA74" s="2"/>
      <c r="AB74" s="2"/>
      <c r="AC74" s="2"/>
      <c r="AD74" s="69"/>
      <c r="AE74" s="210"/>
      <c r="AF74" s="2"/>
      <c r="AG74" s="2"/>
      <c r="AH74" s="2"/>
      <c r="AI74" s="2"/>
      <c r="AJ74" s="2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</row>
    <row r="75" spans="1:49" x14ac:dyDescent="0.25">
      <c r="A75" s="159"/>
      <c r="B75" s="1"/>
      <c r="C75" s="1"/>
      <c r="D75" s="1"/>
      <c r="E75" s="1"/>
      <c r="F75" s="1"/>
      <c r="G75" s="1"/>
      <c r="H75" s="1"/>
      <c r="I75" s="2"/>
      <c r="J75" s="1"/>
      <c r="K75" s="1"/>
      <c r="L75" s="1"/>
      <c r="M75" s="1"/>
      <c r="N75" s="1"/>
      <c r="O75" s="1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49" x14ac:dyDescent="0.25">
      <c r="A79" s="1" t="s">
        <v>84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49" x14ac:dyDescent="0.25">
      <c r="A80" s="1" t="s">
        <v>85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25">
      <c r="A82" s="64" t="s">
        <v>86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5">
      <c r="A83" s="64" t="s">
        <v>87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25">
      <c r="A85" s="1" t="s">
        <v>88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25">
      <c r="A86" s="1" t="s">
        <v>89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25">
      <c r="A87" s="1" t="s">
        <v>90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25">
      <c r="A88" s="1" t="s">
        <v>91</v>
      </c>
      <c r="B88" s="1" t="s">
        <v>93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25">
      <c r="A89" s="1" t="s">
        <v>92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</sheetData>
  <mergeCells count="24">
    <mergeCell ref="AI20:AJ20"/>
    <mergeCell ref="A3:K3"/>
    <mergeCell ref="B10:O10"/>
    <mergeCell ref="B11:O11"/>
    <mergeCell ref="D14:O14"/>
    <mergeCell ref="F20:H20"/>
    <mergeCell ref="J20:L20"/>
    <mergeCell ref="N20:O20"/>
    <mergeCell ref="Q20:S20"/>
    <mergeCell ref="U20:V20"/>
    <mergeCell ref="X20:Z20"/>
    <mergeCell ref="AB20:AC20"/>
    <mergeCell ref="AE20:AG20"/>
    <mergeCell ref="AI21:AI22"/>
    <mergeCell ref="AJ21:AJ22"/>
    <mergeCell ref="B64:D64"/>
    <mergeCell ref="B70:D70"/>
    <mergeCell ref="B71:D71"/>
    <mergeCell ref="N21:N22"/>
    <mergeCell ref="O21:O22"/>
    <mergeCell ref="U21:U22"/>
    <mergeCell ref="V21:V22"/>
    <mergeCell ref="AB21:AB22"/>
    <mergeCell ref="AC21:AC22"/>
  </mergeCells>
  <dataValidations count="3">
    <dataValidation type="list" allowBlank="1" showInputMessage="1" showErrorMessage="1" sqref="D16">
      <formula1>"TOU, non-TOU"</formula1>
    </dataValidation>
    <dataValidation type="list" allowBlank="1" showInputMessage="1" showErrorMessage="1" prompt="Select Charge Unit - monthly, per kWh, per kW" sqref="D72 D61 D65">
      <formula1>"Monthly, per kWh, per kW"</formula1>
    </dataValidation>
    <dataValidation type="list" allowBlank="1" showInputMessage="1" showErrorMessage="1" sqref="E48:E49 E72 E65 E51:E61 E37:E46 E23:E35">
      <formula1>#REF!</formula1>
    </dataValidation>
  </dataValidations>
  <printOptions horizontalCentered="1"/>
  <pageMargins left="0.3" right="0.35" top="0.92" bottom="0.7" header="0.56999999999999995" footer="0.41"/>
  <pageSetup paperSize="256" scale="60" fitToHeight="0" orientation="landscape" r:id="rId1"/>
  <headerFooter>
    <oddFooter>&amp;C&amp;A</oddFooter>
  </headerFooter>
  <ignoredErrors>
    <ignoredError sqref="J23:J34 J37:J45 F23:F34 F37:F45 J51:J55 J57:J60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8003" r:id="rId4" name="Option Button 3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600075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4" r:id="rId5" name="Option Button 4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5" r:id="rId6" name="Option Button 5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600075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6" r:id="rId7" name="Option Button 6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7" r:id="rId8" name="Option Button 7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600075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8" r:id="rId9" name="Option Button 8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9" r:id="rId10" name="Option Button 9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600075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0" r:id="rId11" name="Option Button 10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1" r:id="rId12" name="Option Button 11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600075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2" r:id="rId13" name="Option Button 12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A1:AW89"/>
  <sheetViews>
    <sheetView showGridLines="0" topLeftCell="B19" zoomScale="80" zoomScaleNormal="80" workbookViewId="0">
      <selection activeCell="B62" sqref="B62:D64"/>
    </sheetView>
  </sheetViews>
  <sheetFormatPr defaultColWidth="9.140625" defaultRowHeight="15" x14ac:dyDescent="0.25"/>
  <cols>
    <col min="1" max="1" width="48.28515625" customWidth="1"/>
    <col min="2" max="2" width="122" customWidth="1"/>
    <col min="3" max="3" width="1.5703125" customWidth="1"/>
    <col min="4" max="4" width="12.42578125" customWidth="1"/>
    <col min="5" max="5" width="1.7109375" customWidth="1"/>
    <col min="6" max="6" width="12" customWidth="1"/>
    <col min="7" max="7" width="11.7109375" customWidth="1"/>
    <col min="8" max="8" width="16.42578125" customWidth="1"/>
    <col min="9" max="9" width="1.28515625" customWidth="1"/>
    <col min="10" max="10" width="12.28515625" customWidth="1"/>
    <col min="11" max="11" width="10.5703125" customWidth="1"/>
    <col min="12" max="12" width="16.28515625" customWidth="1"/>
    <col min="13" max="13" width="1.42578125" customWidth="1"/>
    <col min="14" max="14" width="14.7109375" customWidth="1"/>
    <col min="15" max="15" width="10.5703125" customWidth="1"/>
    <col min="16" max="16" width="1.42578125" customWidth="1"/>
    <col min="17" max="17" width="1.7109375" customWidth="1"/>
    <col min="18" max="18" width="9.42578125" customWidth="1"/>
    <col min="19" max="19" width="12.5703125" customWidth="1"/>
    <col min="20" max="20" width="1.28515625" customWidth="1"/>
    <col min="21" max="21" width="10.85546875" customWidth="1"/>
    <col min="22" max="22" width="10.140625" customWidth="1"/>
    <col min="23" max="23" width="1.28515625" customWidth="1"/>
    <col min="24" max="24" width="11" customWidth="1"/>
    <col min="25" max="25" width="9.5703125" customWidth="1"/>
    <col min="26" max="26" width="12.42578125" customWidth="1"/>
    <col min="27" max="27" width="1.28515625" customWidth="1"/>
    <col min="28" max="28" width="10" customWidth="1"/>
    <col min="30" max="30" width="0.85546875" customWidth="1"/>
    <col min="31" max="31" width="11.140625" customWidth="1"/>
    <col min="32" max="32" width="9.5703125" customWidth="1"/>
    <col min="33" max="33" width="12.42578125" customWidth="1"/>
    <col min="34" max="34" width="1.140625" customWidth="1"/>
    <col min="35" max="35" width="10.42578125" customWidth="1"/>
    <col min="37" max="37" width="0.85546875" customWidth="1"/>
  </cols>
  <sheetData>
    <row r="1" spans="1:21" ht="21.75" x14ac:dyDescent="0.25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0"/>
      <c r="M1" s="50"/>
      <c r="N1" s="52" t="s">
        <v>68</v>
      </c>
      <c r="O1" s="53">
        <v>0</v>
      </c>
      <c r="T1">
        <v>1</v>
      </c>
      <c r="U1">
        <v>2</v>
      </c>
    </row>
    <row r="2" spans="1:21" ht="18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0"/>
      <c r="M2" s="50"/>
      <c r="N2" s="52" t="s">
        <v>69</v>
      </c>
      <c r="O2" s="55"/>
    </row>
    <row r="3" spans="1:21" ht="18" x14ac:dyDescent="0.25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"/>
      <c r="M3" s="50"/>
      <c r="N3" s="52" t="s">
        <v>70</v>
      </c>
      <c r="O3" s="55"/>
    </row>
    <row r="4" spans="1:21" ht="18" x14ac:dyDescent="0.25">
      <c r="A4" s="54"/>
      <c r="B4" s="54"/>
      <c r="C4" s="54"/>
      <c r="D4" s="54"/>
      <c r="E4" s="54"/>
      <c r="F4" s="54"/>
      <c r="G4" s="54"/>
      <c r="H4" s="54"/>
      <c r="I4" s="56"/>
      <c r="J4" s="56"/>
      <c r="K4" s="56"/>
      <c r="L4" s="50"/>
      <c r="M4" s="50"/>
      <c r="N4" s="52" t="s">
        <v>71</v>
      </c>
      <c r="O4" s="55"/>
    </row>
    <row r="5" spans="1:21" ht="15.75" x14ac:dyDescent="0.25">
      <c r="A5" s="50"/>
      <c r="B5" s="50"/>
      <c r="C5" s="57"/>
      <c r="D5" s="57"/>
      <c r="E5" s="57"/>
      <c r="F5" s="50"/>
      <c r="G5" s="50"/>
      <c r="H5" s="50"/>
      <c r="I5" s="50"/>
      <c r="J5" s="50"/>
      <c r="K5" s="50"/>
      <c r="L5" s="50"/>
      <c r="M5" s="50"/>
      <c r="N5" s="52" t="s">
        <v>72</v>
      </c>
      <c r="O5" s="58"/>
    </row>
    <row r="6" spans="1:2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2"/>
      <c r="O6" s="53"/>
    </row>
    <row r="7" spans="1:2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2" t="s">
        <v>73</v>
      </c>
      <c r="O7" s="58"/>
    </row>
    <row r="8" spans="1:21" x14ac:dyDescent="0.25">
      <c r="A8" s="5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1" ht="18" x14ac:dyDescent="0.25">
      <c r="A10" s="1"/>
      <c r="B10" s="508" t="s">
        <v>74</v>
      </c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508"/>
      <c r="N10" s="508"/>
      <c r="O10" s="508"/>
    </row>
    <row r="11" spans="1:21" ht="18" x14ac:dyDescent="0.25">
      <c r="A11" s="1"/>
      <c r="B11" s="508" t="s">
        <v>75</v>
      </c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1" ht="15.75" x14ac:dyDescent="0.25">
      <c r="A14" s="1"/>
      <c r="B14" s="60" t="s">
        <v>0</v>
      </c>
      <c r="C14" s="1"/>
      <c r="D14" s="509" t="s">
        <v>124</v>
      </c>
      <c r="E14" s="509"/>
      <c r="F14" s="509"/>
      <c r="G14" s="509"/>
      <c r="H14" s="509"/>
      <c r="I14" s="509"/>
      <c r="J14" s="509"/>
      <c r="K14" s="509"/>
      <c r="L14" s="509"/>
      <c r="M14" s="509"/>
      <c r="N14" s="509"/>
      <c r="O14" s="509"/>
    </row>
    <row r="15" spans="1:21" ht="15.75" x14ac:dyDescent="0.25">
      <c r="A15" s="1"/>
      <c r="B15" s="61"/>
      <c r="C15" s="1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pans="1:21" ht="15.75" x14ac:dyDescent="0.25">
      <c r="A16" s="1"/>
      <c r="B16" s="60" t="s">
        <v>76</v>
      </c>
      <c r="C16" s="1"/>
      <c r="D16" s="63" t="s">
        <v>94</v>
      </c>
      <c r="E16" s="62"/>
      <c r="F16" s="228" t="s">
        <v>95</v>
      </c>
      <c r="G16" s="62"/>
      <c r="H16" s="62"/>
      <c r="I16" s="62"/>
      <c r="J16" s="62"/>
      <c r="K16" s="62"/>
      <c r="L16" s="62"/>
      <c r="M16" s="62"/>
      <c r="N16" s="62"/>
      <c r="O16" s="62"/>
    </row>
    <row r="17" spans="1:49" ht="15.75" x14ac:dyDescent="0.25">
      <c r="A17" s="1"/>
      <c r="B17" s="61"/>
      <c r="C17" s="1"/>
      <c r="D17" s="62"/>
      <c r="E17" s="62"/>
      <c r="F17" s="229">
        <f>ROUND(+F18*1,0)</f>
        <v>176</v>
      </c>
      <c r="G17" s="230" t="s">
        <v>96</v>
      </c>
      <c r="H17" s="231"/>
      <c r="I17" s="62"/>
      <c r="J17" s="62"/>
      <c r="K17" s="62"/>
      <c r="L17" s="62"/>
      <c r="M17" s="62"/>
      <c r="N17" s="62"/>
      <c r="O17" s="62"/>
    </row>
    <row r="18" spans="1:49" x14ac:dyDescent="0.25">
      <c r="A18" s="1"/>
      <c r="B18" s="64"/>
      <c r="C18" s="1"/>
      <c r="D18" s="65"/>
      <c r="E18" s="65"/>
      <c r="F18" s="229">
        <v>176</v>
      </c>
      <c r="G18" s="65"/>
      <c r="H18" s="1"/>
      <c r="I18" s="1"/>
      <c r="J18" s="1"/>
      <c r="K18" s="1"/>
      <c r="L18" s="1"/>
      <c r="M18" s="1"/>
      <c r="N18" s="1"/>
      <c r="O18" s="1"/>
    </row>
    <row r="19" spans="1:49" x14ac:dyDescent="0.25">
      <c r="A19" s="1"/>
      <c r="B19" s="64"/>
      <c r="C19" s="1"/>
      <c r="D19" s="65" t="s">
        <v>1</v>
      </c>
      <c r="E19" s="1"/>
      <c r="F19" s="232">
        <v>600000</v>
      </c>
      <c r="G19" s="230" t="s">
        <v>78</v>
      </c>
      <c r="H19" s="67"/>
      <c r="I19" s="1"/>
      <c r="J19" s="67"/>
      <c r="K19" s="233"/>
      <c r="L19" s="67"/>
      <c r="M19" s="1"/>
      <c r="N19" s="233"/>
      <c r="O19" s="1"/>
      <c r="S19" s="234"/>
    </row>
    <row r="20" spans="1:49" x14ac:dyDescent="0.25">
      <c r="A20" s="1"/>
      <c r="B20" s="64"/>
      <c r="C20" s="1"/>
      <c r="D20" s="68"/>
      <c r="E20" s="68"/>
      <c r="F20" s="510" t="s">
        <v>105</v>
      </c>
      <c r="G20" s="511"/>
      <c r="H20" s="512"/>
      <c r="I20" s="1"/>
      <c r="J20" s="510" t="s">
        <v>104</v>
      </c>
      <c r="K20" s="511"/>
      <c r="L20" s="512"/>
      <c r="M20" s="1"/>
      <c r="N20" s="510" t="s">
        <v>61</v>
      </c>
      <c r="O20" s="512"/>
      <c r="Q20" s="506"/>
      <c r="R20" s="506"/>
      <c r="S20" s="506"/>
      <c r="T20" s="2"/>
      <c r="U20" s="506"/>
      <c r="V20" s="506"/>
      <c r="W20" s="69"/>
      <c r="X20" s="506"/>
      <c r="Y20" s="506"/>
      <c r="Z20" s="506"/>
      <c r="AA20" s="2"/>
      <c r="AB20" s="506"/>
      <c r="AC20" s="506"/>
      <c r="AD20" s="69"/>
      <c r="AE20" s="506"/>
      <c r="AF20" s="506"/>
      <c r="AG20" s="506"/>
      <c r="AH20" s="2"/>
      <c r="AI20" s="506"/>
      <c r="AJ20" s="506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</row>
    <row r="21" spans="1:49" ht="15" customHeight="1" x14ac:dyDescent="0.25">
      <c r="A21" s="1"/>
      <c r="B21" s="64"/>
      <c r="C21" s="1"/>
      <c r="D21" s="1"/>
      <c r="E21" s="70"/>
      <c r="F21" s="71" t="s">
        <v>2</v>
      </c>
      <c r="G21" s="71" t="s">
        <v>3</v>
      </c>
      <c r="H21" s="72" t="s">
        <v>4</v>
      </c>
      <c r="I21" s="1"/>
      <c r="J21" s="71" t="s">
        <v>2</v>
      </c>
      <c r="K21" s="73" t="s">
        <v>3</v>
      </c>
      <c r="L21" s="72" t="s">
        <v>4</v>
      </c>
      <c r="M21" s="1"/>
      <c r="N21" s="502" t="s">
        <v>62</v>
      </c>
      <c r="O21" s="504" t="s">
        <v>63</v>
      </c>
      <c r="Q21" s="270"/>
      <c r="R21" s="270"/>
      <c r="S21" s="270"/>
      <c r="T21" s="2"/>
      <c r="U21" s="501"/>
      <c r="V21" s="501"/>
      <c r="W21" s="69"/>
      <c r="X21" s="270"/>
      <c r="Y21" s="270"/>
      <c r="Z21" s="270"/>
      <c r="AA21" s="2"/>
      <c r="AB21" s="501"/>
      <c r="AC21" s="501"/>
      <c r="AD21" s="69"/>
      <c r="AE21" s="270"/>
      <c r="AF21" s="270"/>
      <c r="AG21" s="270"/>
      <c r="AH21" s="2"/>
      <c r="AI21" s="501"/>
      <c r="AJ21" s="501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</row>
    <row r="22" spans="1:49" x14ac:dyDescent="0.25">
      <c r="A22" s="1"/>
      <c r="B22" s="64"/>
      <c r="C22" s="1"/>
      <c r="D22" s="1"/>
      <c r="E22" s="70"/>
      <c r="F22" s="75" t="s">
        <v>79</v>
      </c>
      <c r="G22" s="75"/>
      <c r="H22" s="76" t="s">
        <v>79</v>
      </c>
      <c r="I22" s="1"/>
      <c r="J22" s="75" t="s">
        <v>79</v>
      </c>
      <c r="K22" s="76"/>
      <c r="L22" s="76" t="s">
        <v>79</v>
      </c>
      <c r="M22" s="1"/>
      <c r="N22" s="503"/>
      <c r="O22" s="505"/>
      <c r="Q22" s="77"/>
      <c r="R22" s="77"/>
      <c r="S22" s="77"/>
      <c r="T22" s="2"/>
      <c r="U22" s="514"/>
      <c r="V22" s="514"/>
      <c r="W22" s="69"/>
      <c r="X22" s="77"/>
      <c r="Y22" s="77"/>
      <c r="Z22" s="77"/>
      <c r="AA22" s="2"/>
      <c r="AB22" s="514"/>
      <c r="AC22" s="514"/>
      <c r="AD22" s="69"/>
      <c r="AE22" s="77"/>
      <c r="AF22" s="77"/>
      <c r="AG22" s="77"/>
      <c r="AH22" s="2"/>
      <c r="AI22" s="514"/>
      <c r="AJ22" s="514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</row>
    <row r="23" spans="1:49" x14ac:dyDescent="0.25">
      <c r="A23" s="7" t="s">
        <v>15</v>
      </c>
      <c r="B23" s="271" t="str">
        <f>IF(Rates!D261=$A$23,Rates!B261," ")</f>
        <v>Service Charge</v>
      </c>
      <c r="C23" s="78"/>
      <c r="D23" s="271" t="str">
        <f>IF(Rates!D261=$A$23,Rates!E261," ")</f>
        <v>connection</v>
      </c>
      <c r="E23" s="79"/>
      <c r="F23" s="80">
        <f>IF(Rates!$J$1="BRT 2018",Rates!J261," ")</f>
        <v>1.53</v>
      </c>
      <c r="G23" s="452">
        <v>2923</v>
      </c>
      <c r="H23" s="82">
        <f t="shared" ref="H23:H35" si="0">G23*F23</f>
        <v>4472.1900000000005</v>
      </c>
      <c r="I23" s="83"/>
      <c r="J23" s="487">
        <f>IF(Rates!$L$1="E+ 2019",Rates!L261," ")</f>
        <v>1.6541999999999999</v>
      </c>
      <c r="K23" s="452">
        <f>G23</f>
        <v>2923</v>
      </c>
      <c r="L23" s="82">
        <f t="shared" ref="L23:L44" si="1">K23*J23</f>
        <v>4835.2266</v>
      </c>
      <c r="M23" s="83"/>
      <c r="N23" s="84">
        <f t="shared" ref="N23:N60" si="2">L23-H23</f>
        <v>363.03659999999945</v>
      </c>
      <c r="O23" s="85">
        <f>IF(OR(H23=0,L23=0),"",(N23/H23))</f>
        <v>8.1176470588235156E-2</v>
      </c>
      <c r="Q23" s="86"/>
      <c r="R23" s="87"/>
      <c r="S23" s="88"/>
      <c r="T23" s="87"/>
      <c r="U23" s="89"/>
      <c r="V23" s="90"/>
      <c r="W23" s="69"/>
      <c r="X23" s="86"/>
      <c r="Y23" s="87"/>
      <c r="Z23" s="88"/>
      <c r="AA23" s="87"/>
      <c r="AB23" s="89"/>
      <c r="AC23" s="90"/>
      <c r="AD23" s="69"/>
      <c r="AE23" s="86"/>
      <c r="AF23" s="87"/>
      <c r="AG23" s="88"/>
      <c r="AH23" s="87"/>
      <c r="AI23" s="89"/>
      <c r="AJ23" s="90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</row>
    <row r="24" spans="1:49" x14ac:dyDescent="0.25">
      <c r="A24" s="1"/>
      <c r="B24" s="271" t="str">
        <f>IF(Rates!D262=$A$23,Rates!B262," ")</f>
        <v>Rate Rider ACM</v>
      </c>
      <c r="C24" s="78"/>
      <c r="D24" s="271" t="str">
        <f>IF(Rates!D262=$A$23,Rates!E262," ")</f>
        <v>connection</v>
      </c>
      <c r="E24" s="79"/>
      <c r="F24" s="80">
        <f>IF(Rates!$J$1="BRT 2018",Rates!J262," ")</f>
        <v>0</v>
      </c>
      <c r="G24" s="439">
        <f>IF(D24="customer",1,IF(D24="kWh",$F$19,IF(D24="kW",$F$17,$G$23)))</f>
        <v>2923</v>
      </c>
      <c r="H24" s="82">
        <f t="shared" si="0"/>
        <v>0</v>
      </c>
      <c r="I24" s="83"/>
      <c r="J24" s="337">
        <f>IF(Rates!$L$1="E+ 2019",Rates!L262," ")</f>
        <v>0</v>
      </c>
      <c r="K24" s="439">
        <f>IF(D24="customer",1,IF(D24="kWh",$F$19,IF(D24="kW",$F$17,$G$23)))</f>
        <v>2923</v>
      </c>
      <c r="L24" s="82">
        <f t="shared" si="1"/>
        <v>0</v>
      </c>
      <c r="M24" s="83"/>
      <c r="N24" s="84">
        <f t="shared" si="2"/>
        <v>0</v>
      </c>
      <c r="O24" s="85" t="str">
        <f t="shared" ref="O24:O35" si="3">IF(OR(H24=0,L24=0),"",(N24/H24))</f>
        <v/>
      </c>
      <c r="Q24" s="86"/>
      <c r="R24" s="87"/>
      <c r="S24" s="88"/>
      <c r="T24" s="87"/>
      <c r="U24" s="89"/>
      <c r="V24" s="90"/>
      <c r="W24" s="69"/>
      <c r="X24" s="86"/>
      <c r="Y24" s="87"/>
      <c r="Z24" s="88"/>
      <c r="AA24" s="87"/>
      <c r="AB24" s="89"/>
      <c r="AC24" s="90"/>
      <c r="AD24" s="69"/>
      <c r="AE24" s="86"/>
      <c r="AF24" s="87"/>
      <c r="AG24" s="88"/>
      <c r="AH24" s="87"/>
      <c r="AI24" s="89"/>
      <c r="AJ24" s="90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</row>
    <row r="25" spans="1:49" s="94" customFormat="1" x14ac:dyDescent="0.25">
      <c r="A25" s="3"/>
      <c r="B25" s="271" t="str">
        <f>IF(Rates!D263=$A$23,Rates!B263," ")</f>
        <v>Distribution Volumetric Rate</v>
      </c>
      <c r="C25" s="78"/>
      <c r="D25" s="271" t="str">
        <f>IF(Rates!D263=$A$23,Rates!E263," ")</f>
        <v>kW</v>
      </c>
      <c r="E25" s="79"/>
      <c r="F25" s="235">
        <f>IF(Rates!$J$1="BRT 2018",Rates!J263," ")</f>
        <v>44.8917</v>
      </c>
      <c r="G25" s="439">
        <f t="shared" ref="G25:G33" si="4">IF(D25="customer",1,IF(D25="kWh",$F$19,IF(D25="kW",$F$17,$G$23)))</f>
        <v>176</v>
      </c>
      <c r="H25" s="82">
        <f t="shared" si="0"/>
        <v>7900.9391999999998</v>
      </c>
      <c r="I25" s="91"/>
      <c r="J25" s="337">
        <f>IF(Rates!$L$1="E+ 2019",Rates!L263," ")</f>
        <v>13.3222</v>
      </c>
      <c r="K25" s="439">
        <f t="shared" ref="K25:K33" si="5">IF(D25="customer",1,IF(D25="kWh",$F$19,IF(D25="kW",$F$17,$G$23)))</f>
        <v>176</v>
      </c>
      <c r="L25" s="82">
        <f t="shared" si="1"/>
        <v>2344.7072000000003</v>
      </c>
      <c r="M25" s="91"/>
      <c r="N25" s="84">
        <f t="shared" si="2"/>
        <v>-5556.232</v>
      </c>
      <c r="O25" s="338">
        <f t="shared" si="3"/>
        <v>-0.70323690125346117</v>
      </c>
      <c r="Q25" s="95"/>
      <c r="R25" s="87"/>
      <c r="S25" s="88"/>
      <c r="T25" s="87"/>
      <c r="U25" s="89"/>
      <c r="V25" s="90"/>
      <c r="W25" s="69"/>
      <c r="X25" s="95"/>
      <c r="Y25" s="87"/>
      <c r="Z25" s="88"/>
      <c r="AA25" s="87"/>
      <c r="AB25" s="89"/>
      <c r="AC25" s="90"/>
      <c r="AD25" s="69"/>
      <c r="AE25" s="95"/>
      <c r="AF25" s="87"/>
      <c r="AG25" s="88"/>
      <c r="AH25" s="87"/>
      <c r="AI25" s="89"/>
      <c r="AJ25" s="90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</row>
    <row r="26" spans="1:49" s="94" customFormat="1" x14ac:dyDescent="0.25">
      <c r="A26" s="3"/>
      <c r="B26" s="271" t="str">
        <f>IF(Rates!D264=$A$23,Rates!B264," ")</f>
        <v>Rate Rider ACM</v>
      </c>
      <c r="C26" s="78"/>
      <c r="D26" s="271" t="str">
        <f>IF(Rates!D264=$A$23,Rates!E264," ")</f>
        <v>kW</v>
      </c>
      <c r="E26" s="79"/>
      <c r="F26" s="80">
        <f>IF(Rates!$J$1="BRT 2018",Rates!J264," ")</f>
        <v>0</v>
      </c>
      <c r="G26" s="439">
        <f t="shared" si="4"/>
        <v>176</v>
      </c>
      <c r="H26" s="82">
        <f t="shared" si="0"/>
        <v>0</v>
      </c>
      <c r="I26" s="91"/>
      <c r="J26" s="337">
        <f>IF(Rates!$L$1="E+ 2019",Rates!L264," ")</f>
        <v>0</v>
      </c>
      <c r="K26" s="439">
        <f t="shared" si="5"/>
        <v>176</v>
      </c>
      <c r="L26" s="82">
        <f t="shared" si="1"/>
        <v>0</v>
      </c>
      <c r="M26" s="91"/>
      <c r="N26" s="84">
        <f t="shared" si="2"/>
        <v>0</v>
      </c>
      <c r="O26" s="85" t="str">
        <f t="shared" si="3"/>
        <v/>
      </c>
      <c r="Q26" s="95"/>
      <c r="R26" s="87"/>
      <c r="S26" s="88"/>
      <c r="T26" s="87"/>
      <c r="U26" s="89"/>
      <c r="V26" s="90"/>
      <c r="W26" s="69"/>
      <c r="X26" s="95"/>
      <c r="Y26" s="87"/>
      <c r="Z26" s="88"/>
      <c r="AA26" s="87"/>
      <c r="AB26" s="89"/>
      <c r="AC26" s="90"/>
      <c r="AD26" s="69"/>
      <c r="AE26" s="95"/>
      <c r="AF26" s="87"/>
      <c r="AG26" s="88"/>
      <c r="AH26" s="87"/>
      <c r="AI26" s="89"/>
      <c r="AJ26" s="90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</row>
    <row r="27" spans="1:49" x14ac:dyDescent="0.25">
      <c r="A27" s="3"/>
      <c r="B27" s="271" t="str">
        <f>IF(Rates!D265=$A$23,Rates!B265," ")</f>
        <v>Rate Rider for Disposition of Account 1575 and 1576</v>
      </c>
      <c r="C27" s="78"/>
      <c r="D27" s="271" t="str">
        <f>IF(Rates!D265=$A$23,Rates!E265," ")</f>
        <v>connection</v>
      </c>
      <c r="E27" s="79"/>
      <c r="F27" s="80">
        <f>IF(Rates!$J$1="BRT 2018",Rates!J265," ")</f>
        <v>0</v>
      </c>
      <c r="G27" s="439">
        <f t="shared" si="4"/>
        <v>2923</v>
      </c>
      <c r="H27" s="82">
        <f t="shared" si="0"/>
        <v>0</v>
      </c>
      <c r="I27" s="83"/>
      <c r="J27" s="337">
        <f>IF(Rates!$L$1="E+ 2019",Rates!L265," ")</f>
        <v>0</v>
      </c>
      <c r="K27" s="439">
        <f t="shared" si="5"/>
        <v>2923</v>
      </c>
      <c r="L27" s="82">
        <f t="shared" si="1"/>
        <v>0</v>
      </c>
      <c r="M27" s="83"/>
      <c r="N27" s="84">
        <f t="shared" si="2"/>
        <v>0</v>
      </c>
      <c r="O27" s="85" t="str">
        <f t="shared" si="3"/>
        <v/>
      </c>
      <c r="Q27" s="86"/>
      <c r="R27" s="87"/>
      <c r="S27" s="88"/>
      <c r="T27" s="87"/>
      <c r="U27" s="89"/>
      <c r="V27" s="90"/>
      <c r="W27" s="69"/>
      <c r="X27" s="86"/>
      <c r="Y27" s="87"/>
      <c r="Z27" s="88"/>
      <c r="AA27" s="87"/>
      <c r="AB27" s="89"/>
      <c r="AC27" s="90"/>
      <c r="AD27" s="69"/>
      <c r="AE27" s="86"/>
      <c r="AF27" s="87"/>
      <c r="AG27" s="88"/>
      <c r="AH27" s="87"/>
      <c r="AI27" s="89"/>
      <c r="AJ27" s="90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</row>
    <row r="28" spans="1:49" x14ac:dyDescent="0.25">
      <c r="A28" s="3"/>
      <c r="B28" s="271" t="str">
        <f>IF(Rates!D266=$A$23,Rates!B266," ")</f>
        <v>Rate Rider for Disposition of Account 1575 and 1576</v>
      </c>
      <c r="C28" s="78"/>
      <c r="D28" s="271" t="str">
        <f>IF(Rates!D266=$A$23,Rates!E266," ")</f>
        <v>kW</v>
      </c>
      <c r="E28" s="79"/>
      <c r="F28" s="80">
        <f>IF(Rates!$J$1="BRT 2018",Rates!J266," ")</f>
        <v>0</v>
      </c>
      <c r="G28" s="439">
        <f t="shared" si="4"/>
        <v>176</v>
      </c>
      <c r="H28" s="82">
        <f t="shared" si="0"/>
        <v>0</v>
      </c>
      <c r="I28" s="83"/>
      <c r="J28" s="337">
        <f>IF(Rates!$L$1="E+ 2019",Rates!L266," ")</f>
        <v>-0.11148641488901773</v>
      </c>
      <c r="K28" s="439">
        <f t="shared" si="5"/>
        <v>176</v>
      </c>
      <c r="L28" s="82">
        <f t="shared" si="1"/>
        <v>-19.621609020467119</v>
      </c>
      <c r="M28" s="83"/>
      <c r="N28" s="84">
        <f t="shared" si="2"/>
        <v>-19.621609020467119</v>
      </c>
      <c r="O28" s="85" t="str">
        <f t="shared" si="3"/>
        <v/>
      </c>
      <c r="Q28" s="119"/>
      <c r="R28" s="87"/>
      <c r="S28" s="88"/>
      <c r="T28" s="87"/>
      <c r="U28" s="89"/>
      <c r="V28" s="90"/>
      <c r="W28" s="69"/>
      <c r="X28" s="119"/>
      <c r="Y28" s="87"/>
      <c r="Z28" s="88"/>
      <c r="AA28" s="87"/>
      <c r="AB28" s="89"/>
      <c r="AC28" s="90"/>
      <c r="AD28" s="69"/>
      <c r="AE28" s="119"/>
      <c r="AF28" s="87"/>
      <c r="AG28" s="88"/>
      <c r="AH28" s="87"/>
      <c r="AI28" s="89"/>
      <c r="AJ28" s="90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</row>
    <row r="29" spans="1:49" x14ac:dyDescent="0.25">
      <c r="A29" s="3"/>
      <c r="B29" s="271" t="str">
        <f>IF(Rates!D267=$A$23,Rates!B267," ")</f>
        <v>Rate Rider for Disposition of Account 1575 and 1576</v>
      </c>
      <c r="C29" s="78"/>
      <c r="D29" s="271" t="str">
        <f>IF(Rates!D267=$A$23,Rates!E267," ")</f>
        <v>connection</v>
      </c>
      <c r="E29" s="79"/>
      <c r="F29" s="80">
        <f>IF(Rates!$J$1="BRT 2018",Rates!J267," ")</f>
        <v>0</v>
      </c>
      <c r="G29" s="439">
        <f t="shared" si="4"/>
        <v>2923</v>
      </c>
      <c r="H29" s="82">
        <f t="shared" si="0"/>
        <v>0</v>
      </c>
      <c r="I29" s="83"/>
      <c r="J29" s="337">
        <f>IF(Rates!$L$1="E+ 2019",Rates!L267," ")</f>
        <v>0</v>
      </c>
      <c r="K29" s="439">
        <f t="shared" si="5"/>
        <v>2923</v>
      </c>
      <c r="L29" s="82">
        <f t="shared" si="1"/>
        <v>0</v>
      </c>
      <c r="M29" s="83"/>
      <c r="N29" s="84">
        <f t="shared" si="2"/>
        <v>0</v>
      </c>
      <c r="O29" s="85" t="str">
        <f t="shared" si="3"/>
        <v/>
      </c>
      <c r="Q29" s="119"/>
      <c r="R29" s="87"/>
      <c r="S29" s="88"/>
      <c r="T29" s="87"/>
      <c r="U29" s="89"/>
      <c r="V29" s="90"/>
      <c r="W29" s="69"/>
      <c r="X29" s="119"/>
      <c r="Y29" s="87"/>
      <c r="Z29" s="88"/>
      <c r="AA29" s="87"/>
      <c r="AB29" s="89"/>
      <c r="AC29" s="90"/>
      <c r="AD29" s="69"/>
      <c r="AE29" s="119"/>
      <c r="AF29" s="87"/>
      <c r="AG29" s="88"/>
      <c r="AH29" s="87"/>
      <c r="AI29" s="89"/>
      <c r="AJ29" s="90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</row>
    <row r="30" spans="1:49" s="94" customFormat="1" x14ac:dyDescent="0.25">
      <c r="A30" s="99"/>
      <c r="B30" s="271" t="str">
        <f>IF(Rates!D268=$A$23,Rates!B268," ")</f>
        <v>Rate Rider for Disposition of Account 1575 and 1576</v>
      </c>
      <c r="C30" s="78"/>
      <c r="D30" s="271" t="str">
        <f>IF(Rates!D268=$A$23,Rates!E268," ")</f>
        <v>kW</v>
      </c>
      <c r="E30" s="79"/>
      <c r="F30" s="80">
        <f>IF(Rates!$J$1="BRT 2018",Rates!J268," ")</f>
        <v>0</v>
      </c>
      <c r="G30" s="439">
        <f t="shared" si="4"/>
        <v>176</v>
      </c>
      <c r="H30" s="82">
        <f t="shared" si="0"/>
        <v>0</v>
      </c>
      <c r="I30" s="91"/>
      <c r="J30" s="337">
        <f>IF(Rates!$L$1="E+ 2019",Rates!L268," ")</f>
        <v>0</v>
      </c>
      <c r="K30" s="439">
        <f t="shared" si="5"/>
        <v>176</v>
      </c>
      <c r="L30" s="82">
        <f t="shared" si="1"/>
        <v>0</v>
      </c>
      <c r="M30" s="91"/>
      <c r="N30" s="84">
        <f t="shared" si="2"/>
        <v>0</v>
      </c>
      <c r="O30" s="85" t="str">
        <f t="shared" si="3"/>
        <v/>
      </c>
      <c r="Q30" s="119"/>
      <c r="R30" s="87"/>
      <c r="S30" s="88"/>
      <c r="T30" s="87"/>
      <c r="U30" s="89"/>
      <c r="V30" s="90"/>
      <c r="W30" s="69"/>
      <c r="X30" s="119"/>
      <c r="Y30" s="87"/>
      <c r="Z30" s="88"/>
      <c r="AA30" s="87"/>
      <c r="AB30" s="89"/>
      <c r="AC30" s="90"/>
      <c r="AD30" s="69"/>
      <c r="AE30" s="119"/>
      <c r="AF30" s="87"/>
      <c r="AG30" s="88"/>
      <c r="AH30" s="87"/>
      <c r="AI30" s="89"/>
      <c r="AJ30" s="90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</row>
    <row r="31" spans="1:49" s="94" customFormat="1" x14ac:dyDescent="0.25">
      <c r="A31" s="3"/>
      <c r="B31" s="271" t="str">
        <f>IF(Rates!D269=$A$23,Rates!B269," ")</f>
        <v>Rate Rider for LRAMVA</v>
      </c>
      <c r="C31" s="78"/>
      <c r="D31" s="271" t="str">
        <f>IF(Rates!D269=$A$23,Rates!E269," ")</f>
        <v>kW</v>
      </c>
      <c r="E31" s="79"/>
      <c r="F31" s="80">
        <f>IF(Rates!$J$1="BRT 2018",Rates!J269," ")</f>
        <v>0</v>
      </c>
      <c r="G31" s="439">
        <f t="shared" si="4"/>
        <v>176</v>
      </c>
      <c r="H31" s="82">
        <f t="shared" si="0"/>
        <v>0</v>
      </c>
      <c r="I31" s="91"/>
      <c r="J31" s="337">
        <f>IF(Rates!$L$1="E+ 2019",Rates!L269," ")</f>
        <v>3.7322156582669548</v>
      </c>
      <c r="K31" s="439">
        <f t="shared" si="5"/>
        <v>176</v>
      </c>
      <c r="L31" s="82">
        <f t="shared" si="1"/>
        <v>656.86995585498403</v>
      </c>
      <c r="M31" s="91"/>
      <c r="N31" s="84">
        <f t="shared" si="2"/>
        <v>656.86995585498403</v>
      </c>
      <c r="O31" s="85" t="str">
        <f t="shared" si="3"/>
        <v/>
      </c>
      <c r="Q31" s="119"/>
      <c r="R31" s="87"/>
      <c r="S31" s="88"/>
      <c r="T31" s="87"/>
      <c r="U31" s="89"/>
      <c r="V31" s="90"/>
      <c r="W31" s="69"/>
      <c r="X31" s="119"/>
      <c r="Y31" s="87"/>
      <c r="Z31" s="88"/>
      <c r="AA31" s="87"/>
      <c r="AB31" s="89"/>
      <c r="AC31" s="90"/>
      <c r="AD31" s="69"/>
      <c r="AE31" s="119"/>
      <c r="AF31" s="87"/>
      <c r="AG31" s="88"/>
      <c r="AH31" s="87"/>
      <c r="AI31" s="89"/>
      <c r="AJ31" s="90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</row>
    <row r="32" spans="1:49" x14ac:dyDescent="0.25">
      <c r="A32" s="3"/>
      <c r="B32" s="271" t="str">
        <f>IF(Rates!D270=$A$23,Rates!B270," ")</f>
        <v>Other Fixed</v>
      </c>
      <c r="C32" s="78"/>
      <c r="D32" s="271" t="str">
        <f>IF(Rates!D270=$A$23,Rates!E270," ")</f>
        <v>connection</v>
      </c>
      <c r="E32" s="79"/>
      <c r="F32" s="80">
        <f>IF(Rates!$J$1="BRT 2018",Rates!J270," ")</f>
        <v>0</v>
      </c>
      <c r="G32" s="439">
        <f t="shared" si="4"/>
        <v>2923</v>
      </c>
      <c r="H32" s="82">
        <f t="shared" si="0"/>
        <v>0</v>
      </c>
      <c r="I32" s="83"/>
      <c r="J32" s="337">
        <f>IF(Rates!$L$1="E+ 2019",Rates!L270," ")</f>
        <v>0</v>
      </c>
      <c r="K32" s="439">
        <f t="shared" si="5"/>
        <v>2923</v>
      </c>
      <c r="L32" s="82">
        <f t="shared" si="1"/>
        <v>0</v>
      </c>
      <c r="M32" s="83"/>
      <c r="N32" s="84">
        <f t="shared" si="2"/>
        <v>0</v>
      </c>
      <c r="O32" s="85" t="str">
        <f t="shared" si="3"/>
        <v/>
      </c>
      <c r="Q32" s="98"/>
      <c r="R32" s="87"/>
      <c r="S32" s="88"/>
      <c r="T32" s="87"/>
      <c r="U32" s="89"/>
      <c r="V32" s="90"/>
      <c r="W32" s="69"/>
      <c r="X32" s="98"/>
      <c r="Y32" s="87"/>
      <c r="Z32" s="88"/>
      <c r="AA32" s="87"/>
      <c r="AB32" s="89"/>
      <c r="AC32" s="90"/>
      <c r="AD32" s="69"/>
      <c r="AE32" s="98"/>
      <c r="AF32" s="87"/>
      <c r="AG32" s="88"/>
      <c r="AH32" s="87"/>
      <c r="AI32" s="89"/>
      <c r="AJ32" s="90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</row>
    <row r="33" spans="1:49" x14ac:dyDescent="0.25">
      <c r="A33" s="3"/>
      <c r="B33" s="271" t="str">
        <f>IF(Rates!D271=$A$23,Rates!B271," ")</f>
        <v>Other Volumetric</v>
      </c>
      <c r="C33" s="78"/>
      <c r="D33" s="271" t="str">
        <f>IF(Rates!D271=$A$23,Rates!E271," ")</f>
        <v>kW</v>
      </c>
      <c r="E33" s="79"/>
      <c r="F33" s="80">
        <f>IF(Rates!$J$1="BRT 2018",Rates!J271," ")</f>
        <v>0</v>
      </c>
      <c r="G33" s="439">
        <f t="shared" si="4"/>
        <v>176</v>
      </c>
      <c r="H33" s="82">
        <f t="shared" si="0"/>
        <v>0</v>
      </c>
      <c r="I33" s="83"/>
      <c r="J33" s="337">
        <f>IF(Rates!$L$1="E+ 2019",Rates!L271," ")</f>
        <v>0</v>
      </c>
      <c r="K33" s="439">
        <f t="shared" si="5"/>
        <v>176</v>
      </c>
      <c r="L33" s="82">
        <f t="shared" si="1"/>
        <v>0</v>
      </c>
      <c r="M33" s="83"/>
      <c r="N33" s="84">
        <f t="shared" si="2"/>
        <v>0</v>
      </c>
      <c r="O33" s="85" t="str">
        <f t="shared" si="3"/>
        <v/>
      </c>
      <c r="Q33" s="98"/>
      <c r="R33" s="87"/>
      <c r="S33" s="88"/>
      <c r="T33" s="87"/>
      <c r="U33" s="89"/>
      <c r="V33" s="90"/>
      <c r="W33" s="69"/>
      <c r="X33" s="98"/>
      <c r="Y33" s="87"/>
      <c r="Z33" s="88"/>
      <c r="AA33" s="87"/>
      <c r="AB33" s="89"/>
      <c r="AC33" s="90"/>
      <c r="AD33" s="69"/>
      <c r="AE33" s="98"/>
      <c r="AF33" s="87"/>
      <c r="AG33" s="88"/>
      <c r="AH33" s="87"/>
      <c r="AI33" s="89"/>
      <c r="AJ33" s="90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</row>
    <row r="34" spans="1:49" x14ac:dyDescent="0.25">
      <c r="A34" s="3"/>
      <c r="B34" s="271" t="str">
        <f>IF(Rates!D272=$A$23,Rates!B272," ")</f>
        <v>Rate Rider for gain on Sale of Property</v>
      </c>
      <c r="C34" s="78"/>
      <c r="D34" s="271" t="str">
        <f>IF(Rates!D272=$A$23,Rates!E272," ")</f>
        <v>kW</v>
      </c>
      <c r="E34" s="79"/>
      <c r="F34" s="80">
        <f>IF(Rates!$J$1="BRT 2018",Rates!J272," ")</f>
        <v>0</v>
      </c>
      <c r="G34" s="439">
        <f t="shared" ref="G34" si="6">IF(D34="customer",1,IF(D34="kWh",$F$19,IF(D34="kW",$F$17,$G$23)))</f>
        <v>176</v>
      </c>
      <c r="H34" s="82">
        <f t="shared" ref="H34" si="7">G34*F34</f>
        <v>0</v>
      </c>
      <c r="I34" s="83"/>
      <c r="J34" s="337">
        <f>IF(Rates!$L$1="E+ 2019",Rates!L272," ")</f>
        <v>-8.5581089409800692E-2</v>
      </c>
      <c r="K34" s="439">
        <f t="shared" ref="K34" si="8">IF(D34="customer",1,IF(D34="kWh",$F$19,IF(D34="kW",$F$17,$G$23)))</f>
        <v>176</v>
      </c>
      <c r="L34" s="82">
        <f t="shared" ref="L34" si="9">K34*J34</f>
        <v>-15.062271736124922</v>
      </c>
      <c r="M34" s="83"/>
      <c r="N34" s="84">
        <f t="shared" ref="N34" si="10">L34-H34</f>
        <v>-15.062271736124922</v>
      </c>
      <c r="O34" s="85" t="str">
        <f t="shared" ref="O34" si="11">IF(OR(H34=0,L34=0),"",(N34/H34))</f>
        <v/>
      </c>
      <c r="Q34" s="98"/>
      <c r="R34" s="87"/>
      <c r="S34" s="88"/>
      <c r="T34" s="87"/>
      <c r="U34" s="89"/>
      <c r="V34" s="90"/>
      <c r="W34" s="69"/>
      <c r="X34" s="98"/>
      <c r="Y34" s="87"/>
      <c r="Z34" s="88"/>
      <c r="AA34" s="87"/>
      <c r="AB34" s="89"/>
      <c r="AC34" s="90"/>
      <c r="AD34" s="69"/>
      <c r="AE34" s="98"/>
      <c r="AF34" s="87"/>
      <c r="AG34" s="88"/>
      <c r="AH34" s="87"/>
      <c r="AI34" s="89"/>
      <c r="AJ34" s="90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</row>
    <row r="35" spans="1:49" hidden="1" x14ac:dyDescent="0.25">
      <c r="A35" s="3"/>
      <c r="B35" s="271"/>
      <c r="C35" s="78"/>
      <c r="D35" s="271"/>
      <c r="E35" s="79"/>
      <c r="F35" s="80"/>
      <c r="G35" s="108"/>
      <c r="H35" s="82">
        <f t="shared" si="0"/>
        <v>0</v>
      </c>
      <c r="I35" s="91"/>
      <c r="J35" s="337"/>
      <c r="K35" s="108"/>
      <c r="L35" s="82">
        <f t="shared" si="1"/>
        <v>0</v>
      </c>
      <c r="M35" s="91"/>
      <c r="N35" s="84">
        <f t="shared" si="2"/>
        <v>0</v>
      </c>
      <c r="O35" s="85" t="str">
        <f t="shared" si="3"/>
        <v/>
      </c>
      <c r="Q35" s="98"/>
      <c r="R35" s="87"/>
      <c r="S35" s="88"/>
      <c r="T35" s="87"/>
      <c r="U35" s="89"/>
      <c r="V35" s="90"/>
      <c r="W35" s="69"/>
      <c r="X35" s="98"/>
      <c r="Y35" s="87"/>
      <c r="Z35" s="88"/>
      <c r="AA35" s="87"/>
      <c r="AB35" s="89"/>
      <c r="AC35" s="90"/>
      <c r="AD35" s="69"/>
      <c r="AE35" s="98"/>
      <c r="AF35" s="87"/>
      <c r="AG35" s="88"/>
      <c r="AH35" s="87"/>
      <c r="AI35" s="89"/>
      <c r="AJ35" s="90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</row>
    <row r="36" spans="1:49" x14ac:dyDescent="0.25">
      <c r="A36" s="3"/>
      <c r="B36" s="109" t="s">
        <v>64</v>
      </c>
      <c r="C36" s="110"/>
      <c r="D36" s="110"/>
      <c r="E36" s="110"/>
      <c r="F36" s="111"/>
      <c r="G36" s="112"/>
      <c r="H36" s="113">
        <f>SUM(H23:H35)</f>
        <v>12373.129199999999</v>
      </c>
      <c r="I36" s="91"/>
      <c r="J36" s="115"/>
      <c r="K36" s="116"/>
      <c r="L36" s="113">
        <f>SUM(L23:L35)</f>
        <v>7802.1198750983931</v>
      </c>
      <c r="M36" s="91"/>
      <c r="N36" s="117">
        <f t="shared" si="2"/>
        <v>-4571.0093249016063</v>
      </c>
      <c r="O36" s="118">
        <f>IF(OR(H36=0, L36=0),"",(N36/H36))</f>
        <v>-0.36943033981263257</v>
      </c>
      <c r="Q36" s="119"/>
      <c r="R36" s="120"/>
      <c r="S36" s="88"/>
      <c r="T36" s="87"/>
      <c r="U36" s="121"/>
      <c r="V36" s="122"/>
      <c r="W36" s="69"/>
      <c r="X36" s="119"/>
      <c r="Y36" s="120"/>
      <c r="Z36" s="88"/>
      <c r="AA36" s="87"/>
      <c r="AB36" s="121"/>
      <c r="AC36" s="122"/>
      <c r="AD36" s="69"/>
      <c r="AE36" s="119"/>
      <c r="AF36" s="120"/>
      <c r="AG36" s="88"/>
      <c r="AH36" s="87"/>
      <c r="AI36" s="121"/>
      <c r="AJ36" s="122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</row>
    <row r="37" spans="1:49" x14ac:dyDescent="0.25">
      <c r="A37" s="5" t="s">
        <v>18</v>
      </c>
      <c r="B37" s="271" t="str">
        <f>IF(Rates!D273=$A$37,Rates!B273," ")</f>
        <v>Low Voltage Service Rate</v>
      </c>
      <c r="C37" s="78"/>
      <c r="D37" s="271" t="str">
        <f>IF(Rates!D273=$A$37,Rates!E273," ")</f>
        <v>kW</v>
      </c>
      <c r="E37" s="79"/>
      <c r="F37" s="337">
        <f>IF(Rates!$J$1="BRT 2018",Rates!J273," ")</f>
        <v>0.84060000000000001</v>
      </c>
      <c r="G37" s="439">
        <f t="shared" ref="G37:G51" si="12">IF(D37="customer",1,IF(D37="kWh",$F$19,IF(D37="kW",$F$17,$G$23)))</f>
        <v>176</v>
      </c>
      <c r="H37" s="126">
        <f>G37*F37</f>
        <v>147.94560000000001</v>
      </c>
      <c r="I37" s="87"/>
      <c r="J37" s="337">
        <f>IF(Rates!$L$1="E+ 2019",Rates!L273," ")</f>
        <v>0.1158</v>
      </c>
      <c r="K37" s="439">
        <f t="shared" ref="K37:K51" si="13">IF(D37="customer",1,IF(D37="kWh",$F$19,IF(D37="kW",$F$17,$G$23)))</f>
        <v>176</v>
      </c>
      <c r="L37" s="82">
        <f t="shared" si="1"/>
        <v>20.380800000000001</v>
      </c>
      <c r="M37" s="87"/>
      <c r="N37" s="84">
        <f t="shared" si="2"/>
        <v>-127.56480000000002</v>
      </c>
      <c r="O37" s="85">
        <f t="shared" ref="O37:O45" si="14">IF(OR(H37=0,L37=0),"",(N37/H37))</f>
        <v>-0.86224125624553893</v>
      </c>
      <c r="Q37" s="119"/>
      <c r="R37" s="87"/>
      <c r="S37" s="88"/>
      <c r="T37" s="87"/>
      <c r="U37" s="89"/>
      <c r="V37" s="90"/>
      <c r="W37" s="69"/>
      <c r="X37" s="119"/>
      <c r="Y37" s="87"/>
      <c r="Z37" s="88"/>
      <c r="AA37" s="87"/>
      <c r="AB37" s="89"/>
      <c r="AC37" s="90"/>
      <c r="AD37" s="69"/>
      <c r="AE37" s="119"/>
      <c r="AF37" s="87"/>
      <c r="AG37" s="88"/>
      <c r="AH37" s="87"/>
      <c r="AI37" s="89"/>
      <c r="AJ37" s="90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</row>
    <row r="38" spans="1:49" x14ac:dyDescent="0.25">
      <c r="A38" s="1"/>
      <c r="B38" s="124" t="s">
        <v>116</v>
      </c>
      <c r="C38" s="78"/>
      <c r="D38" s="271" t="s">
        <v>13</v>
      </c>
      <c r="E38" s="79"/>
      <c r="F38" s="337">
        <v>0</v>
      </c>
      <c r="G38" s="441"/>
      <c r="H38" s="126">
        <f t="shared" ref="H38:H44" si="15">G38*F38</f>
        <v>0</v>
      </c>
      <c r="I38" s="91"/>
      <c r="J38" s="337"/>
      <c r="K38" s="439"/>
      <c r="L38" s="82">
        <f t="shared" si="1"/>
        <v>0</v>
      </c>
      <c r="M38" s="91"/>
      <c r="N38" s="84">
        <f t="shared" si="2"/>
        <v>0</v>
      </c>
      <c r="O38" s="85" t="str">
        <f t="shared" si="14"/>
        <v/>
      </c>
      <c r="Q38" s="128"/>
      <c r="R38" s="129"/>
      <c r="S38" s="88"/>
      <c r="T38" s="87"/>
      <c r="U38" s="89"/>
      <c r="V38" s="90"/>
      <c r="W38" s="69"/>
      <c r="X38" s="128"/>
      <c r="Y38" s="129"/>
      <c r="Z38" s="88"/>
      <c r="AA38" s="87"/>
      <c r="AB38" s="89"/>
      <c r="AC38" s="90"/>
      <c r="AD38" s="69"/>
      <c r="AE38" s="128"/>
      <c r="AF38" s="129"/>
      <c r="AG38" s="88"/>
      <c r="AH38" s="87"/>
      <c r="AI38" s="89"/>
      <c r="AJ38" s="90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</row>
    <row r="39" spans="1:49" x14ac:dyDescent="0.25">
      <c r="A39" s="130"/>
      <c r="B39" s="271" t="str">
        <f>IF(Rates!D274=$A$37,Rates!B274," ")</f>
        <v>Rate Rider Other Fixed</v>
      </c>
      <c r="C39" s="78"/>
      <c r="D39" s="271" t="str">
        <f>IF(Rates!D274=$A$37,Rates!E274," ")</f>
        <v>connection</v>
      </c>
      <c r="E39" s="79"/>
      <c r="F39" s="337">
        <f>IF(Rates!$J$1="BRT 2018",Rates!J274," ")</f>
        <v>0</v>
      </c>
      <c r="G39" s="439">
        <f t="shared" si="12"/>
        <v>2923</v>
      </c>
      <c r="H39" s="126">
        <f t="shared" si="15"/>
        <v>0</v>
      </c>
      <c r="I39" s="91"/>
      <c r="J39" s="337">
        <f>IF(Rates!$L$1="E+ 2019",Rates!L274," ")</f>
        <v>0</v>
      </c>
      <c r="K39" s="439">
        <f t="shared" si="13"/>
        <v>2923</v>
      </c>
      <c r="L39" s="82">
        <f t="shared" si="1"/>
        <v>0</v>
      </c>
      <c r="M39" s="91"/>
      <c r="N39" s="84">
        <f t="shared" si="2"/>
        <v>0</v>
      </c>
      <c r="O39" s="85" t="str">
        <f t="shared" si="14"/>
        <v/>
      </c>
      <c r="Q39" s="119"/>
      <c r="R39" s="87"/>
      <c r="S39" s="88"/>
      <c r="T39" s="87"/>
      <c r="U39" s="89"/>
      <c r="V39" s="90"/>
      <c r="W39" s="69"/>
      <c r="X39" s="119"/>
      <c r="Y39" s="87"/>
      <c r="Z39" s="88"/>
      <c r="AA39" s="87"/>
      <c r="AB39" s="89"/>
      <c r="AC39" s="90"/>
      <c r="AD39" s="69"/>
      <c r="AE39" s="119"/>
      <c r="AF39" s="87"/>
      <c r="AG39" s="88"/>
      <c r="AH39" s="87"/>
      <c r="AI39" s="89"/>
      <c r="AJ39" s="90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</row>
    <row r="40" spans="1:49" x14ac:dyDescent="0.25">
      <c r="A40" s="130"/>
      <c r="B40" s="271" t="str">
        <f>IF(Rates!D275=$A$37,Rates!B275," ")</f>
        <v>Rate Rider Other Volumetric</v>
      </c>
      <c r="C40" s="78"/>
      <c r="D40" s="271" t="str">
        <f>IF(Rates!D275=$A$37,Rates!E275," ")</f>
        <v>kW</v>
      </c>
      <c r="E40" s="79"/>
      <c r="F40" s="337">
        <f>IF(Rates!$J$1="BRT 2018",Rates!J275," ")</f>
        <v>0</v>
      </c>
      <c r="G40" s="439">
        <f t="shared" si="12"/>
        <v>176</v>
      </c>
      <c r="H40" s="126">
        <f t="shared" si="15"/>
        <v>0</v>
      </c>
      <c r="I40" s="91"/>
      <c r="J40" s="337">
        <f>IF(Rates!$L$1="E+ 2019",Rates!L275," ")</f>
        <v>2.5290505024030185</v>
      </c>
      <c r="K40" s="439">
        <f t="shared" si="13"/>
        <v>176</v>
      </c>
      <c r="L40" s="82">
        <f t="shared" si="1"/>
        <v>445.11288842293129</v>
      </c>
      <c r="M40" s="91"/>
      <c r="N40" s="84">
        <f t="shared" si="2"/>
        <v>445.11288842293129</v>
      </c>
      <c r="O40" s="85" t="str">
        <f t="shared" si="14"/>
        <v/>
      </c>
      <c r="Q40" s="119"/>
      <c r="R40" s="87"/>
      <c r="S40" s="88"/>
      <c r="T40" s="87"/>
      <c r="U40" s="89"/>
      <c r="V40" s="90"/>
      <c r="W40" s="69"/>
      <c r="X40" s="119"/>
      <c r="Y40" s="87"/>
      <c r="Z40" s="88"/>
      <c r="AA40" s="87"/>
      <c r="AB40" s="89"/>
      <c r="AC40" s="90"/>
      <c r="AD40" s="69"/>
      <c r="AE40" s="119"/>
      <c r="AF40" s="87"/>
      <c r="AG40" s="88"/>
      <c r="AH40" s="87"/>
      <c r="AI40" s="89"/>
      <c r="AJ40" s="90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</row>
    <row r="41" spans="1:49" x14ac:dyDescent="0.25">
      <c r="A41" s="130"/>
      <c r="B41" s="271" t="str">
        <f>IF(Rates!D276=$A$37,Rates!B276," ")</f>
        <v>Rate Rider Other Volumetric</v>
      </c>
      <c r="C41" s="78"/>
      <c r="D41" s="271" t="str">
        <f>IF(Rates!D276=$A$37,Rates!E276," ")</f>
        <v>kW</v>
      </c>
      <c r="E41" s="79"/>
      <c r="F41" s="337">
        <f>IF(Rates!$J$1="BRT 2018",Rates!J276," ")</f>
        <v>0</v>
      </c>
      <c r="G41" s="439">
        <f t="shared" si="12"/>
        <v>176</v>
      </c>
      <c r="H41" s="126">
        <f t="shared" si="15"/>
        <v>0</v>
      </c>
      <c r="I41" s="91"/>
      <c r="J41" s="337">
        <f>IF(Rates!$L$1="E+ 2019",Rates!L276," ")</f>
        <v>0</v>
      </c>
      <c r="K41" s="439">
        <f t="shared" si="13"/>
        <v>176</v>
      </c>
      <c r="L41" s="82">
        <f t="shared" si="1"/>
        <v>0</v>
      </c>
      <c r="M41" s="91"/>
      <c r="N41" s="84">
        <f t="shared" si="2"/>
        <v>0</v>
      </c>
      <c r="O41" s="85" t="str">
        <f t="shared" si="14"/>
        <v/>
      </c>
      <c r="Q41" s="119"/>
      <c r="R41" s="87"/>
      <c r="S41" s="88"/>
      <c r="T41" s="87"/>
      <c r="U41" s="89"/>
      <c r="V41" s="90"/>
      <c r="W41" s="69"/>
      <c r="X41" s="119"/>
      <c r="Y41" s="87"/>
      <c r="Z41" s="88"/>
      <c r="AA41" s="87"/>
      <c r="AB41" s="89"/>
      <c r="AC41" s="90"/>
      <c r="AD41" s="69"/>
      <c r="AE41" s="119"/>
      <c r="AF41" s="87"/>
      <c r="AG41" s="88"/>
      <c r="AH41" s="87"/>
      <c r="AI41" s="89"/>
      <c r="AJ41" s="90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</row>
    <row r="42" spans="1:49" x14ac:dyDescent="0.25">
      <c r="A42" s="1"/>
      <c r="B42" s="271" t="str">
        <f>IF(Rates!D277=$A$37,Rates!B277," ")</f>
        <v xml:space="preserve">Rate Rider for Disposition of Deferral/Variance Accounts </v>
      </c>
      <c r="C42" s="78"/>
      <c r="D42" s="271" t="str">
        <f>IF(Rates!D277=$A$37,Rates!E277," ")</f>
        <v>kW</v>
      </c>
      <c r="E42" s="79"/>
      <c r="F42" s="337">
        <f>IF(Rates!$J$1="BRT 2018",Rates!J277," ")</f>
        <v>-2.1186153084440291</v>
      </c>
      <c r="G42" s="439">
        <f t="shared" si="12"/>
        <v>176</v>
      </c>
      <c r="H42" s="126">
        <f t="shared" si="15"/>
        <v>-372.87629428614912</v>
      </c>
      <c r="I42" s="91"/>
      <c r="J42" s="337">
        <f>IF(Rates!$L$1="E+ 2019",Rates!L277," ")</f>
        <v>-0.5787149525275801</v>
      </c>
      <c r="K42" s="439">
        <f t="shared" si="13"/>
        <v>176</v>
      </c>
      <c r="L42" s="82">
        <f t="shared" si="1"/>
        <v>-101.8538316448541</v>
      </c>
      <c r="M42" s="91"/>
      <c r="N42" s="84">
        <f t="shared" si="2"/>
        <v>271.02246264129502</v>
      </c>
      <c r="O42" s="85">
        <f t="shared" si="14"/>
        <v>-0.7268428344584158</v>
      </c>
      <c r="Q42" s="128"/>
      <c r="R42" s="129"/>
      <c r="S42" s="88"/>
      <c r="T42" s="87"/>
      <c r="U42" s="89"/>
      <c r="V42" s="90"/>
      <c r="W42" s="69"/>
      <c r="X42" s="128"/>
      <c r="Y42" s="129"/>
      <c r="Z42" s="88"/>
      <c r="AA42" s="87"/>
      <c r="AB42" s="89"/>
      <c r="AC42" s="90"/>
      <c r="AD42" s="69"/>
      <c r="AE42" s="128"/>
      <c r="AF42" s="129"/>
      <c r="AG42" s="88"/>
      <c r="AH42" s="87"/>
      <c r="AI42" s="89"/>
      <c r="AJ42" s="90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</row>
    <row r="43" spans="1:49" x14ac:dyDescent="0.25">
      <c r="A43" s="1"/>
      <c r="B43" s="271" t="str">
        <f>IF(Rates!D278=$A$37,Rates!B278," ")</f>
        <v>Rate Rider for Disposition of Deferral/Variance Accounts Non-WMP Customers</v>
      </c>
      <c r="C43" s="78"/>
      <c r="D43" s="271" t="str">
        <f>IF(Rates!D278=$A$37,Rates!E278," ")</f>
        <v>kW</v>
      </c>
      <c r="E43" s="79"/>
      <c r="F43" s="337">
        <f>IF(Rates!$J$1="BRT 2018",Rates!J278," ")</f>
        <v>0</v>
      </c>
      <c r="G43" s="439">
        <f t="shared" si="12"/>
        <v>176</v>
      </c>
      <c r="H43" s="126">
        <f t="shared" si="15"/>
        <v>0</v>
      </c>
      <c r="I43" s="91"/>
      <c r="J43" s="337">
        <f>IF(Rates!$L$1="E+ 2019",Rates!L278," ")</f>
        <v>0</v>
      </c>
      <c r="K43" s="439">
        <f t="shared" si="13"/>
        <v>176</v>
      </c>
      <c r="L43" s="82">
        <f t="shared" si="1"/>
        <v>0</v>
      </c>
      <c r="M43" s="91"/>
      <c r="N43" s="84">
        <f t="shared" si="2"/>
        <v>0</v>
      </c>
      <c r="O43" s="85" t="str">
        <f t="shared" si="14"/>
        <v/>
      </c>
      <c r="Q43" s="128"/>
      <c r="R43" s="129"/>
      <c r="S43" s="88"/>
      <c r="T43" s="87"/>
      <c r="U43" s="89"/>
      <c r="V43" s="90"/>
      <c r="W43" s="69"/>
      <c r="X43" s="128"/>
      <c r="Y43" s="129"/>
      <c r="Z43" s="88"/>
      <c r="AA43" s="87"/>
      <c r="AB43" s="89"/>
      <c r="AC43" s="90"/>
      <c r="AD43" s="69"/>
      <c r="AE43" s="128"/>
      <c r="AF43" s="129"/>
      <c r="AG43" s="88"/>
      <c r="AH43" s="87"/>
      <c r="AI43" s="89"/>
      <c r="AJ43" s="90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</row>
    <row r="44" spans="1:49" x14ac:dyDescent="0.25">
      <c r="A44" s="1"/>
      <c r="B44" s="271" t="str">
        <f>IF(Rates!D279=$A$37,Rates!B279," ")</f>
        <v>Rate Rider for Disposition of GA DV</v>
      </c>
      <c r="C44" s="78"/>
      <c r="D44" s="271" t="str">
        <f>IF(Rates!D279=$A$37,Rates!E279," ")</f>
        <v>kWh</v>
      </c>
      <c r="E44" s="79"/>
      <c r="F44" s="337">
        <f>IF(Rates!$J$1="BRT 2018",Rates!J279," ")</f>
        <v>1.4200000000000001E-2</v>
      </c>
      <c r="G44" s="441">
        <f t="shared" si="12"/>
        <v>600000</v>
      </c>
      <c r="H44" s="126">
        <f t="shared" si="15"/>
        <v>8520</v>
      </c>
      <c r="I44" s="91"/>
      <c r="J44" s="337">
        <f>IF(Rates!$L$1="E+ 2019",Rates!L279," ")</f>
        <v>3.8449181889326281E-4</v>
      </c>
      <c r="K44" s="441">
        <f t="shared" si="13"/>
        <v>600000</v>
      </c>
      <c r="L44" s="82">
        <f t="shared" si="1"/>
        <v>230.6950913359577</v>
      </c>
      <c r="M44" s="91"/>
      <c r="N44" s="84">
        <f t="shared" si="2"/>
        <v>-8289.3049086640422</v>
      </c>
      <c r="O44" s="85">
        <f t="shared" si="14"/>
        <v>-0.97292311134554488</v>
      </c>
      <c r="Q44" s="128"/>
      <c r="R44" s="129"/>
      <c r="S44" s="88"/>
      <c r="T44" s="87"/>
      <c r="U44" s="89"/>
      <c r="V44" s="90"/>
      <c r="W44" s="69"/>
      <c r="X44" s="128"/>
      <c r="Y44" s="129"/>
      <c r="Z44" s="88"/>
      <c r="AA44" s="87"/>
      <c r="AB44" s="89"/>
      <c r="AC44" s="90"/>
      <c r="AD44" s="69"/>
      <c r="AE44" s="128"/>
      <c r="AF44" s="129"/>
      <c r="AG44" s="88"/>
      <c r="AH44" s="87"/>
      <c r="AI44" s="89"/>
      <c r="AJ44" s="90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</row>
    <row r="45" spans="1:49" x14ac:dyDescent="0.25">
      <c r="A45" s="1"/>
      <c r="B45" s="271" t="str">
        <f>IF(Rates!D280=$A$37,Rates!B280," ")</f>
        <v>Rate Rider for Disposition of Capacity Based Recovery Account (2018) - Applicable only for Class B Customers</v>
      </c>
      <c r="C45" s="78"/>
      <c r="D45" s="271" t="str">
        <f>IF(Rates!D280=$A$37,Rates!E280," ")</f>
        <v>kW</v>
      </c>
      <c r="E45" s="79"/>
      <c r="F45" s="337">
        <f>IF(Rates!$J$1="BRT 2018",Rates!J280," ")</f>
        <v>0</v>
      </c>
      <c r="G45" s="439">
        <f t="shared" si="12"/>
        <v>176</v>
      </c>
      <c r="H45" s="126">
        <f t="shared" ref="H45" si="16">G45*F45</f>
        <v>0</v>
      </c>
      <c r="I45" s="91"/>
      <c r="J45" s="337">
        <f>IF(Rates!$L$1="E+ 2019",Rates!L280," ")</f>
        <v>1.7201209911030804E-3</v>
      </c>
      <c r="K45" s="439">
        <f t="shared" si="13"/>
        <v>176</v>
      </c>
      <c r="L45" s="82">
        <f t="shared" ref="L45" si="17">K45*J45</f>
        <v>0.30274129443414216</v>
      </c>
      <c r="M45" s="91"/>
      <c r="N45" s="84">
        <f t="shared" ref="N45" si="18">L45-H45</f>
        <v>0.30274129443414216</v>
      </c>
      <c r="O45" s="85" t="str">
        <f t="shared" si="14"/>
        <v/>
      </c>
      <c r="Q45" s="128"/>
      <c r="R45" s="129"/>
      <c r="S45" s="88"/>
      <c r="T45" s="87"/>
      <c r="U45" s="89"/>
      <c r="V45" s="90"/>
      <c r="W45" s="69"/>
      <c r="X45" s="128"/>
      <c r="Y45" s="129"/>
      <c r="Z45" s="88"/>
      <c r="AA45" s="87"/>
      <c r="AB45" s="89"/>
      <c r="AC45" s="90"/>
      <c r="AD45" s="69"/>
      <c r="AE45" s="128"/>
      <c r="AF45" s="129"/>
      <c r="AG45" s="88"/>
      <c r="AH45" s="87"/>
      <c r="AI45" s="89"/>
      <c r="AJ45" s="90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</row>
    <row r="46" spans="1:49" hidden="1" x14ac:dyDescent="0.25">
      <c r="A46" s="1"/>
      <c r="B46" s="271"/>
      <c r="C46" s="78"/>
      <c r="D46" s="271"/>
      <c r="E46" s="79"/>
      <c r="F46" s="337"/>
      <c r="G46" s="439"/>
      <c r="H46" s="126"/>
      <c r="I46" s="91"/>
      <c r="J46" s="337"/>
      <c r="K46" s="439"/>
      <c r="L46" s="82"/>
      <c r="M46" s="91"/>
      <c r="N46" s="84"/>
      <c r="O46" s="85"/>
      <c r="Q46" s="128"/>
      <c r="R46" s="129"/>
      <c r="S46" s="88"/>
      <c r="T46" s="87"/>
      <c r="U46" s="89"/>
      <c r="V46" s="90"/>
      <c r="W46" s="69"/>
      <c r="X46" s="128"/>
      <c r="Y46" s="129"/>
      <c r="Z46" s="88"/>
      <c r="AA46" s="87"/>
      <c r="AB46" s="89"/>
      <c r="AC46" s="90"/>
      <c r="AD46" s="69"/>
      <c r="AE46" s="128"/>
      <c r="AF46" s="129"/>
      <c r="AG46" s="88"/>
      <c r="AH46" s="87"/>
      <c r="AI46" s="89"/>
      <c r="AJ46" s="90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</row>
    <row r="47" spans="1:49" x14ac:dyDescent="0.25">
      <c r="A47" s="1"/>
      <c r="B47" s="132" t="s">
        <v>80</v>
      </c>
      <c r="C47" s="133"/>
      <c r="D47" s="133"/>
      <c r="E47" s="133"/>
      <c r="F47" s="134"/>
      <c r="G47" s="135"/>
      <c r="H47" s="136">
        <f>SUM(H37:H46)+H36</f>
        <v>20668.198505713852</v>
      </c>
      <c r="I47" s="91"/>
      <c r="J47" s="135"/>
      <c r="K47" s="137"/>
      <c r="L47" s="136">
        <f>SUM(L37:L46)+L36</f>
        <v>8396.7575645068628</v>
      </c>
      <c r="M47" s="87"/>
      <c r="N47" s="117">
        <f t="shared" si="2"/>
        <v>-12271.440941206989</v>
      </c>
      <c r="O47" s="138">
        <f>IF(OR(H47=0,L47=0),"",(N47/H47))</f>
        <v>-0.59373539197499348</v>
      </c>
      <c r="Q47" s="87"/>
      <c r="R47" s="87"/>
      <c r="S47" s="121"/>
      <c r="T47" s="87"/>
      <c r="U47" s="121"/>
      <c r="V47" s="139"/>
      <c r="W47" s="69"/>
      <c r="X47" s="87"/>
      <c r="Y47" s="87"/>
      <c r="Z47" s="121"/>
      <c r="AA47" s="87"/>
      <c r="AB47" s="121"/>
      <c r="AC47" s="139"/>
      <c r="AD47" s="69"/>
      <c r="AE47" s="87"/>
      <c r="AF47" s="87"/>
      <c r="AG47" s="121"/>
      <c r="AH47" s="87"/>
      <c r="AI47" s="121"/>
      <c r="AJ47" s="13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</row>
    <row r="48" spans="1:49" x14ac:dyDescent="0.25">
      <c r="A48" s="38" t="s">
        <v>16</v>
      </c>
      <c r="B48" s="271" t="str">
        <f>IF(Rates!D281=$A$48,Rates!B281," ")</f>
        <v>Retail Transmission Rate – Network Service Rate</v>
      </c>
      <c r="C48" s="83"/>
      <c r="D48" s="271" t="str">
        <f>IF(Rates!D281= $A$48,Rates!E281," ")</f>
        <v>kW</v>
      </c>
      <c r="E48" s="91"/>
      <c r="F48" s="235">
        <f>IF(Rates!$J$1="BRT 2018",Rates!J281," ")</f>
        <v>1.6793</v>
      </c>
      <c r="G48" s="441">
        <f t="shared" si="12"/>
        <v>176</v>
      </c>
      <c r="H48" s="82">
        <f>G48*F48</f>
        <v>295.55680000000001</v>
      </c>
      <c r="I48" s="91"/>
      <c r="J48" s="235">
        <f>IF(Rates!$L$1="E+ 2019",Rates!L281," ")</f>
        <v>1.5981031044204883</v>
      </c>
      <c r="K48" s="441">
        <f t="shared" si="13"/>
        <v>176</v>
      </c>
      <c r="L48" s="82">
        <f>K48*J48</f>
        <v>281.26614637800594</v>
      </c>
      <c r="M48" s="87"/>
      <c r="N48" s="84">
        <f t="shared" si="2"/>
        <v>-14.290653621994068</v>
      </c>
      <c r="O48" s="85">
        <f>IF(OR(H48=0,L48=0),"",(N48/H48))</f>
        <v>-4.8351631977318968E-2</v>
      </c>
      <c r="Q48" s="119"/>
      <c r="R48" s="141"/>
      <c r="S48" s="294">
        <f>F48*K48</f>
        <v>295.55680000000001</v>
      </c>
      <c r="T48" s="87"/>
      <c r="U48" s="89"/>
      <c r="V48" s="90"/>
      <c r="W48" s="69"/>
      <c r="X48" s="119"/>
      <c r="Y48" s="141"/>
      <c r="Z48" s="88"/>
      <c r="AA48" s="87"/>
      <c r="AB48" s="89"/>
      <c r="AC48" s="90"/>
      <c r="AD48" s="69"/>
      <c r="AE48" s="119"/>
      <c r="AF48" s="141"/>
      <c r="AG48" s="88"/>
      <c r="AH48" s="87"/>
      <c r="AI48" s="89"/>
      <c r="AJ48" s="90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</row>
    <row r="49" spans="1:49" x14ac:dyDescent="0.25">
      <c r="A49" s="1"/>
      <c r="B49" s="271" t="str">
        <f>IF(Rates!D282=$A$48,Rates!B282," ")</f>
        <v>Retail Transmission Rate – Line and Transformation Connection Service Rate</v>
      </c>
      <c r="C49" s="83"/>
      <c r="D49" s="271" t="str">
        <f>IF(Rates!D282= $A$48,Rates!E282," ")</f>
        <v>kW</v>
      </c>
      <c r="E49" s="91"/>
      <c r="F49" s="235">
        <f>IF(Rates!$J$1="BRT 2018",Rates!J282," ")</f>
        <v>0.91300000000000003</v>
      </c>
      <c r="G49" s="441">
        <f t="shared" si="12"/>
        <v>176</v>
      </c>
      <c r="H49" s="82">
        <f t="shared" ref="H49" si="19">G49*F49</f>
        <v>160.68800000000002</v>
      </c>
      <c r="I49" s="87"/>
      <c r="J49" s="235">
        <f>IF(Rates!$L$1="E+ 2019",Rates!L282," ")</f>
        <v>1.200006056470766</v>
      </c>
      <c r="K49" s="441">
        <f t="shared" si="13"/>
        <v>176</v>
      </c>
      <c r="L49" s="82">
        <f t="shared" ref="L49" si="20">K49*J49</f>
        <v>211.20106593885481</v>
      </c>
      <c r="M49" s="87"/>
      <c r="N49" s="84">
        <f t="shared" si="2"/>
        <v>50.513065938854794</v>
      </c>
      <c r="O49" s="85">
        <f t="shared" ref="O49" si="21">IF(OR(H49=0,L49=0),"",(N49/H49))</f>
        <v>0.31435493589350039</v>
      </c>
      <c r="Q49" s="119"/>
      <c r="R49" s="141"/>
      <c r="S49" s="295">
        <f>F49*K49</f>
        <v>160.68800000000002</v>
      </c>
      <c r="T49" s="87"/>
      <c r="U49" s="89"/>
      <c r="V49" s="90"/>
      <c r="W49" s="69"/>
      <c r="X49" s="119"/>
      <c r="Y49" s="141"/>
      <c r="Z49" s="88"/>
      <c r="AA49" s="87"/>
      <c r="AB49" s="89"/>
      <c r="AC49" s="90"/>
      <c r="AD49" s="69"/>
      <c r="AE49" s="119"/>
      <c r="AF49" s="141"/>
      <c r="AG49" s="88"/>
      <c r="AH49" s="87"/>
      <c r="AI49" s="89"/>
      <c r="AJ49" s="90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</row>
    <row r="50" spans="1:49" x14ac:dyDescent="0.25">
      <c r="A50" s="1"/>
      <c r="B50" s="132" t="s">
        <v>81</v>
      </c>
      <c r="C50" s="110"/>
      <c r="D50" s="110"/>
      <c r="E50" s="110"/>
      <c r="F50" s="142"/>
      <c r="G50" s="135"/>
      <c r="H50" s="136">
        <f>SUM(H47:H49)</f>
        <v>21124.443305713849</v>
      </c>
      <c r="I50" s="146"/>
      <c r="J50" s="144"/>
      <c r="K50" s="145"/>
      <c r="L50" s="136">
        <f>SUM(L47:L49)</f>
        <v>8889.224776823723</v>
      </c>
      <c r="M50" s="146"/>
      <c r="N50" s="117">
        <f>L50-H50</f>
        <v>-12235.218528890126</v>
      </c>
      <c r="O50" s="138">
        <f>IF(OR(H50=0,L50=0),"",(N50/H50))</f>
        <v>-0.5791972054279263</v>
      </c>
      <c r="Q50" s="146"/>
      <c r="R50" s="146"/>
      <c r="S50" s="296">
        <f>S48+S49</f>
        <v>456.24480000000005</v>
      </c>
      <c r="T50" s="146"/>
      <c r="U50" s="121"/>
      <c r="V50" s="139"/>
      <c r="W50" s="69"/>
      <c r="X50" s="146"/>
      <c r="Y50" s="146"/>
      <c r="Z50" s="121"/>
      <c r="AA50" s="146"/>
      <c r="AB50" s="121"/>
      <c r="AC50" s="139"/>
      <c r="AD50" s="69"/>
      <c r="AE50" s="146"/>
      <c r="AF50" s="146"/>
      <c r="AG50" s="121"/>
      <c r="AH50" s="146"/>
      <c r="AI50" s="121"/>
      <c r="AJ50" s="13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</row>
    <row r="51" spans="1:49" x14ac:dyDescent="0.25">
      <c r="A51" s="4" t="s">
        <v>17</v>
      </c>
      <c r="B51" s="271" t="str">
        <f>IF(Rates!D8=$A$51,Rates!B8," ")</f>
        <v>Standard Supply Service – Administrative Charge (if applicable)</v>
      </c>
      <c r="C51" s="78"/>
      <c r="D51" s="271" t="str">
        <f>IF(Rates!D8=$A$51,Rates!E8," ")</f>
        <v>customer</v>
      </c>
      <c r="E51" s="79"/>
      <c r="F51" s="235">
        <f>IF(Rates!$J$1="BRT 2018",Rates!J8," ")</f>
        <v>0.25</v>
      </c>
      <c r="G51" s="439">
        <f t="shared" si="12"/>
        <v>1</v>
      </c>
      <c r="H51" s="148">
        <f t="shared" ref="H51:H60" si="22">G51*F51</f>
        <v>0.25</v>
      </c>
      <c r="I51" s="87"/>
      <c r="J51" s="80">
        <f>IF(Rates!$L$1="E+ 2019",Rates!L8," ")</f>
        <v>0.25</v>
      </c>
      <c r="K51" s="439">
        <f t="shared" si="13"/>
        <v>1</v>
      </c>
      <c r="L51" s="148">
        <f t="shared" ref="L51:L60" si="23">K51*J51</f>
        <v>0.25</v>
      </c>
      <c r="M51" s="87"/>
      <c r="N51" s="84">
        <f t="shared" si="2"/>
        <v>0</v>
      </c>
      <c r="O51" s="85">
        <f>IF(OR(H51=0,L51=0),"",(N51/H51))</f>
        <v>0</v>
      </c>
      <c r="Q51" s="150"/>
      <c r="R51" s="224"/>
      <c r="S51" s="151"/>
      <c r="T51" s="87"/>
      <c r="U51" s="89"/>
      <c r="V51" s="90"/>
      <c r="W51" s="69"/>
      <c r="X51" s="150"/>
      <c r="Y51" s="224"/>
      <c r="Z51" s="151"/>
      <c r="AA51" s="87"/>
      <c r="AB51" s="89"/>
      <c r="AC51" s="90"/>
      <c r="AD51" s="69"/>
      <c r="AE51" s="150"/>
      <c r="AF51" s="224"/>
      <c r="AG51" s="151"/>
      <c r="AH51" s="87"/>
      <c r="AI51" s="89"/>
      <c r="AJ51" s="90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</row>
    <row r="52" spans="1:49" x14ac:dyDescent="0.25">
      <c r="A52" s="1"/>
      <c r="B52" s="271" t="str">
        <f>IF(Rates!D9=$A$51,Rates!B9," ")</f>
        <v xml:space="preserve">Wholesale Market Service Rate </v>
      </c>
      <c r="C52" s="78"/>
      <c r="D52" s="271" t="str">
        <f>IF(Rates!D9=$A$51,Rates!E9," ")</f>
        <v>kWh</v>
      </c>
      <c r="E52" s="79"/>
      <c r="F52" s="235">
        <f>IF(Rates!$J$1="BRT 2018",Rates!J9," ")</f>
        <v>3.2000000000000002E-3</v>
      </c>
      <c r="G52" s="225">
        <f>$F$19*(1+$F$74)</f>
        <v>629700.00000000012</v>
      </c>
      <c r="H52" s="148">
        <f t="shared" si="22"/>
        <v>2015.0400000000004</v>
      </c>
      <c r="I52" s="87"/>
      <c r="J52" s="235">
        <f>IF(Rates!$L$1="E+ 2019",Rates!L9," ")</f>
        <v>3.2000000000000002E-3</v>
      </c>
      <c r="K52" s="225">
        <f>$F$19*(1+$J$74)</f>
        <v>618410.7899664162</v>
      </c>
      <c r="L52" s="148">
        <f t="shared" si="23"/>
        <v>1978.9145278925319</v>
      </c>
      <c r="M52" s="87"/>
      <c r="N52" s="84">
        <f t="shared" si="2"/>
        <v>-36.125472107468568</v>
      </c>
      <c r="O52" s="85">
        <f t="shared" ref="O52:O71" si="24">IF(OR(H52=0,L52=0),"",(N52/H52))</f>
        <v>-1.792791810955046E-2</v>
      </c>
      <c r="Q52" s="150"/>
      <c r="R52" s="224"/>
      <c r="S52" s="151"/>
      <c r="T52" s="87"/>
      <c r="U52" s="89"/>
      <c r="V52" s="90"/>
      <c r="W52" s="69"/>
      <c r="X52" s="150"/>
      <c r="Y52" s="224"/>
      <c r="Z52" s="151"/>
      <c r="AA52" s="87"/>
      <c r="AB52" s="89"/>
      <c r="AC52" s="90"/>
      <c r="AD52" s="69"/>
      <c r="AE52" s="150"/>
      <c r="AF52" s="224"/>
      <c r="AG52" s="151"/>
      <c r="AH52" s="87"/>
      <c r="AI52" s="89"/>
      <c r="AJ52" s="90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</row>
    <row r="53" spans="1:49" x14ac:dyDescent="0.25">
      <c r="A53" s="1"/>
      <c r="B53" s="271" t="str">
        <f>IF(Rates!D10=$A$51,Rates!B10," ")</f>
        <v>Capacity Based Rcovery(CBR) - Class B Customers</v>
      </c>
      <c r="C53" s="78"/>
      <c r="D53" s="271" t="str">
        <f>IF(Rates!D10=$A$51,Rates!E10," ")</f>
        <v>kWh</v>
      </c>
      <c r="E53" s="79"/>
      <c r="F53" s="235">
        <f>IF(Rates!$J$1="BRT 2018",Rates!J10," ")</f>
        <v>4.0000000000000002E-4</v>
      </c>
      <c r="G53" s="225">
        <f>$F$19*(1+$F$74)</f>
        <v>629700.00000000012</v>
      </c>
      <c r="H53" s="148">
        <f t="shared" si="22"/>
        <v>251.88000000000005</v>
      </c>
      <c r="I53" s="87"/>
      <c r="J53" s="235">
        <f>IF(Rates!$L$1="E+ 2019",Rates!L10," ")</f>
        <v>4.0000000000000002E-4</v>
      </c>
      <c r="K53" s="225">
        <f>$F$19*(1+$J$74)</f>
        <v>618410.7899664162</v>
      </c>
      <c r="L53" s="148">
        <f t="shared" si="23"/>
        <v>247.36431598656648</v>
      </c>
      <c r="M53" s="87"/>
      <c r="N53" s="84">
        <f t="shared" si="2"/>
        <v>-4.515684013433571</v>
      </c>
      <c r="O53" s="85">
        <f t="shared" si="24"/>
        <v>-1.792791810955046E-2</v>
      </c>
      <c r="Q53" s="150"/>
      <c r="R53" s="224"/>
      <c r="S53" s="151"/>
      <c r="T53" s="87"/>
      <c r="U53" s="89"/>
      <c r="V53" s="90"/>
      <c r="W53" s="69"/>
      <c r="X53" s="150"/>
      <c r="Y53" s="224"/>
      <c r="Z53" s="151"/>
      <c r="AA53" s="87"/>
      <c r="AB53" s="89"/>
      <c r="AC53" s="90"/>
      <c r="AD53" s="69"/>
      <c r="AE53" s="150"/>
      <c r="AF53" s="224"/>
      <c r="AG53" s="151"/>
      <c r="AH53" s="87"/>
      <c r="AI53" s="89"/>
      <c r="AJ53" s="90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</row>
    <row r="54" spans="1:49" x14ac:dyDescent="0.25">
      <c r="A54" s="1"/>
      <c r="B54" s="271" t="str">
        <f>IF(Rates!D11=$A$51,Rates!B11," ")</f>
        <v xml:space="preserve">Rural Rate Protection Charge </v>
      </c>
      <c r="C54" s="78"/>
      <c r="D54" s="271" t="str">
        <f>IF(Rates!D11=$A$51,Rates!E11," ")</f>
        <v>kWh</v>
      </c>
      <c r="E54" s="79"/>
      <c r="F54" s="235">
        <f>IF(Rates!$J$1="BRT 2018",Rates!J11," ")</f>
        <v>2.9999999999999997E-4</v>
      </c>
      <c r="G54" s="225">
        <f>$F$19*(1+$F$74)</f>
        <v>629700.00000000012</v>
      </c>
      <c r="H54" s="148">
        <f t="shared" si="22"/>
        <v>188.91000000000003</v>
      </c>
      <c r="I54" s="87"/>
      <c r="J54" s="235">
        <f>IF(Rates!$L$1="E+ 2019",Rates!L11," ")</f>
        <v>2.9999999999999997E-4</v>
      </c>
      <c r="K54" s="225">
        <f>$F$19*(1+$J$74)</f>
        <v>618410.7899664162</v>
      </c>
      <c r="L54" s="148">
        <f t="shared" si="23"/>
        <v>185.52323698992484</v>
      </c>
      <c r="M54" s="87"/>
      <c r="N54" s="84">
        <f t="shared" si="2"/>
        <v>-3.3867630100751853</v>
      </c>
      <c r="O54" s="85">
        <f t="shared" si="24"/>
        <v>-1.7927918109550498E-2</v>
      </c>
      <c r="Q54" s="153"/>
      <c r="R54" s="87"/>
      <c r="S54" s="151"/>
      <c r="T54" s="87"/>
      <c r="U54" s="89"/>
      <c r="V54" s="90"/>
      <c r="W54" s="69"/>
      <c r="X54" s="153"/>
      <c r="Y54" s="87"/>
      <c r="Z54" s="151"/>
      <c r="AA54" s="87"/>
      <c r="AB54" s="89"/>
      <c r="AC54" s="90"/>
      <c r="AD54" s="69"/>
      <c r="AE54" s="153"/>
      <c r="AF54" s="87"/>
      <c r="AG54" s="151"/>
      <c r="AH54" s="87"/>
      <c r="AI54" s="89"/>
      <c r="AJ54" s="90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</row>
    <row r="55" spans="1:49" x14ac:dyDescent="0.25">
      <c r="A55" s="1"/>
      <c r="B55" s="271" t="str">
        <f>IF(Rates!D12=$A$51,Rates!B12," ")</f>
        <v>Debt Retirement Charge</v>
      </c>
      <c r="C55" s="78"/>
      <c r="D55" s="271" t="str">
        <f>IF(Rates!D12=$A$51,Rates!E12," ")</f>
        <v>kWh</v>
      </c>
      <c r="E55" s="79"/>
      <c r="F55" s="235">
        <f>IF(Rates!$J$1="BRT 2018",Rates!J12," ")</f>
        <v>7.0000000000000001E-3</v>
      </c>
      <c r="G55" s="441">
        <f t="shared" ref="G55" si="25">IF(D55="customer",1,IF(D55="kWh",$F$19,IF(D55="kW",$F$17,$G$23)))</f>
        <v>600000</v>
      </c>
      <c r="H55" s="148">
        <f t="shared" si="22"/>
        <v>4200</v>
      </c>
      <c r="I55" s="87"/>
      <c r="J55" s="235">
        <f>IF(Rates!$L$1="E+ 2019",Rates!L12," ")</f>
        <v>7.0000000000000001E-3</v>
      </c>
      <c r="K55" s="441">
        <f t="shared" ref="K55" si="26">IF(D55="customer",1,IF(D55="kWh",$F$19,IF(D55="kW",$F$17,$G$23)))</f>
        <v>600000</v>
      </c>
      <c r="L55" s="148">
        <f t="shared" si="23"/>
        <v>4200</v>
      </c>
      <c r="M55" s="87"/>
      <c r="N55" s="84">
        <f t="shared" si="2"/>
        <v>0</v>
      </c>
      <c r="O55" s="85">
        <f t="shared" si="24"/>
        <v>0</v>
      </c>
      <c r="Q55" s="153"/>
      <c r="R55" s="87"/>
      <c r="S55" s="151"/>
      <c r="T55" s="87"/>
      <c r="U55" s="89"/>
      <c r="V55" s="90"/>
      <c r="W55" s="69"/>
      <c r="X55" s="153"/>
      <c r="Y55" s="87"/>
      <c r="Z55" s="151"/>
      <c r="AA55" s="87"/>
      <c r="AB55" s="89"/>
      <c r="AC55" s="90"/>
      <c r="AD55" s="69"/>
      <c r="AE55" s="153"/>
      <c r="AF55" s="87"/>
      <c r="AG55" s="151"/>
      <c r="AH55" s="87"/>
      <c r="AI55" s="89"/>
      <c r="AJ55" s="90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</row>
    <row r="56" spans="1:49" x14ac:dyDescent="0.25">
      <c r="A56" s="6" t="s">
        <v>14</v>
      </c>
      <c r="B56" s="271" t="str">
        <f>IF(Rates!D2=$A$56,Rates!B2," ")</f>
        <v>TOU - Off Peak</v>
      </c>
      <c r="C56" s="78"/>
      <c r="D56" s="271" t="str">
        <f>IF(Rates!D2=$A$56,Rates!E2," ")</f>
        <v>kWh</v>
      </c>
      <c r="E56" s="79"/>
      <c r="F56" s="235">
        <f>IF(Rates!$J$1="BRT 2018",Rates!J2," ")</f>
        <v>6.5000000000000002E-2</v>
      </c>
      <c r="G56" s="226">
        <f>IF($G$59=0,0.65*($F$19*(1+$F$74)),0)</f>
        <v>0</v>
      </c>
      <c r="H56" s="148">
        <f t="shared" si="22"/>
        <v>0</v>
      </c>
      <c r="I56" s="87"/>
      <c r="J56" s="152">
        <f>IF(Rates!$L$1="E+ 2019",Rates!L2," ")</f>
        <v>6.5000000000000002E-2</v>
      </c>
      <c r="K56" s="226">
        <f>IF($K$59=0,0.65*$F$19,0)</f>
        <v>0</v>
      </c>
      <c r="L56" s="148">
        <f t="shared" si="23"/>
        <v>0</v>
      </c>
      <c r="M56" s="87"/>
      <c r="N56" s="84">
        <f t="shared" si="2"/>
        <v>0</v>
      </c>
      <c r="O56" s="85" t="str">
        <f t="shared" si="24"/>
        <v/>
      </c>
      <c r="Q56" s="150"/>
      <c r="R56" s="224"/>
      <c r="S56" s="151"/>
      <c r="T56" s="87"/>
      <c r="U56" s="89"/>
      <c r="V56" s="90"/>
      <c r="W56" s="69"/>
      <c r="X56" s="150"/>
      <c r="Y56" s="224"/>
      <c r="Z56" s="151"/>
      <c r="AA56" s="87"/>
      <c r="AB56" s="89"/>
      <c r="AC56" s="90"/>
      <c r="AD56" s="69"/>
      <c r="AE56" s="150"/>
      <c r="AF56" s="224"/>
      <c r="AG56" s="151"/>
      <c r="AH56" s="87"/>
      <c r="AI56" s="89"/>
      <c r="AJ56" s="90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</row>
    <row r="57" spans="1:49" x14ac:dyDescent="0.25">
      <c r="A57" s="1"/>
      <c r="B57" s="271" t="str">
        <f>IF(Rates!D3=$A$56,Rates!B3," ")</f>
        <v>TOU - Mid Peak</v>
      </c>
      <c r="C57" s="78"/>
      <c r="D57" s="271" t="str">
        <f>IF(Rates!D3=$A$56,Rates!E3," ")</f>
        <v>kWh</v>
      </c>
      <c r="E57" s="79"/>
      <c r="F57" s="235">
        <f>IF(Rates!$J$1="BRT 2018",Rates!J3," ")</f>
        <v>9.5000000000000001E-2</v>
      </c>
      <c r="G57" s="226">
        <f>IF($G$59=0,0.17*($F$19*(1+$F$74)),0)</f>
        <v>0</v>
      </c>
      <c r="H57" s="148">
        <f t="shared" si="22"/>
        <v>0</v>
      </c>
      <c r="I57" s="87"/>
      <c r="J57" s="147">
        <f t="shared" ref="J57:J60" si="27">+F57</f>
        <v>9.5000000000000001E-2</v>
      </c>
      <c r="K57" s="226">
        <f>IF($K$59=0,0.17*$F$19,0)</f>
        <v>0</v>
      </c>
      <c r="L57" s="148">
        <f t="shared" si="23"/>
        <v>0</v>
      </c>
      <c r="M57" s="87"/>
      <c r="N57" s="84">
        <f t="shared" si="2"/>
        <v>0</v>
      </c>
      <c r="O57" s="85" t="str">
        <f t="shared" si="24"/>
        <v/>
      </c>
      <c r="Q57" s="157"/>
      <c r="R57" s="227"/>
      <c r="S57" s="151"/>
      <c r="T57" s="87"/>
      <c r="U57" s="89"/>
      <c r="V57" s="90"/>
      <c r="W57" s="69"/>
      <c r="X57" s="157"/>
      <c r="Y57" s="227"/>
      <c r="Z57" s="151"/>
      <c r="AA57" s="87"/>
      <c r="AB57" s="89"/>
      <c r="AC57" s="90"/>
      <c r="AD57" s="69"/>
      <c r="AE57" s="157"/>
      <c r="AF57" s="227"/>
      <c r="AG57" s="151"/>
      <c r="AH57" s="87"/>
      <c r="AI57" s="89"/>
      <c r="AJ57" s="90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</row>
    <row r="58" spans="1:49" x14ac:dyDescent="0.25">
      <c r="A58" s="1"/>
      <c r="B58" s="271" t="str">
        <f>IF(Rates!D4=$A$56,Rates!B4," ")</f>
        <v>TOU - On Peak</v>
      </c>
      <c r="C58" s="78"/>
      <c r="D58" s="271" t="str">
        <f>IF(Rates!D4=$A$56,Rates!E4," ")</f>
        <v>kWh</v>
      </c>
      <c r="E58" s="79"/>
      <c r="F58" s="235">
        <f>IF(Rates!$J$1="BRT 2018",Rates!J4," ")</f>
        <v>0.13200000000000001</v>
      </c>
      <c r="G58" s="226">
        <f>IF($G$59=0,0.18*($F$19*(1+$F$74)),0)</f>
        <v>0</v>
      </c>
      <c r="H58" s="148">
        <f t="shared" si="22"/>
        <v>0</v>
      </c>
      <c r="I58" s="87"/>
      <c r="J58" s="147">
        <f t="shared" si="27"/>
        <v>0.13200000000000001</v>
      </c>
      <c r="K58" s="226">
        <f>IF($K$59=0,0.18*$F$19,0)</f>
        <v>0</v>
      </c>
      <c r="L58" s="148">
        <f t="shared" si="23"/>
        <v>0</v>
      </c>
      <c r="M58" s="87"/>
      <c r="N58" s="84">
        <f t="shared" si="2"/>
        <v>0</v>
      </c>
      <c r="O58" s="85" t="str">
        <f t="shared" si="24"/>
        <v/>
      </c>
      <c r="Q58" s="157"/>
      <c r="R58" s="227"/>
      <c r="S58" s="151"/>
      <c r="T58" s="87"/>
      <c r="U58" s="89"/>
      <c r="V58" s="90"/>
      <c r="W58" s="69"/>
      <c r="X58" s="157"/>
      <c r="Y58" s="227"/>
      <c r="Z58" s="151"/>
      <c r="AA58" s="87"/>
      <c r="AB58" s="89"/>
      <c r="AC58" s="90"/>
      <c r="AD58" s="69"/>
      <c r="AE58" s="157"/>
      <c r="AF58" s="227"/>
      <c r="AG58" s="151"/>
      <c r="AH58" s="87"/>
      <c r="AI58" s="89"/>
      <c r="AJ58" s="90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</row>
    <row r="59" spans="1:49" x14ac:dyDescent="0.25">
      <c r="A59" s="1"/>
      <c r="B59" s="271" t="str">
        <f>IF(Rates!D5=$A$56,Rates!B5," ")</f>
        <v>Commodity</v>
      </c>
      <c r="C59" s="160"/>
      <c r="D59" s="271" t="str">
        <f>IF(Rates!D5=$A$56,Rates!E5," ")</f>
        <v>kWh</v>
      </c>
      <c r="E59" s="161"/>
      <c r="F59" s="235">
        <f>IF(Rates!$J$1="BRT 2018",Rates!J5," ")</f>
        <v>1.8855833333333332E-2</v>
      </c>
      <c r="G59" s="225">
        <f>IF($D$16="TOU", 0,$F$19*(1+$F$74))</f>
        <v>629700.00000000012</v>
      </c>
      <c r="H59" s="148">
        <f t="shared" si="22"/>
        <v>11873.518250000001</v>
      </c>
      <c r="I59" s="166"/>
      <c r="J59" s="147">
        <f t="shared" si="27"/>
        <v>1.8855833333333332E-2</v>
      </c>
      <c r="K59" s="225">
        <f>IF($D$16="TOU", 0,$F$19*(1+$F$74))</f>
        <v>629700.00000000012</v>
      </c>
      <c r="L59" s="148">
        <f t="shared" si="23"/>
        <v>11873.518250000001</v>
      </c>
      <c r="M59" s="166"/>
      <c r="N59" s="84">
        <f t="shared" si="2"/>
        <v>0</v>
      </c>
      <c r="O59" s="85">
        <f t="shared" si="24"/>
        <v>0</v>
      </c>
      <c r="Q59" s="157"/>
      <c r="R59" s="227"/>
      <c r="S59" s="151"/>
      <c r="T59" s="166"/>
      <c r="U59" s="89"/>
      <c r="V59" s="90"/>
      <c r="W59" s="69"/>
      <c r="X59" s="157"/>
      <c r="Y59" s="227"/>
      <c r="Z59" s="151"/>
      <c r="AA59" s="166"/>
      <c r="AB59" s="89"/>
      <c r="AC59" s="90"/>
      <c r="AD59" s="69"/>
      <c r="AE59" s="157"/>
      <c r="AF59" s="227"/>
      <c r="AG59" s="151"/>
      <c r="AH59" s="166"/>
      <c r="AI59" s="89"/>
      <c r="AJ59" s="90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</row>
    <row r="60" spans="1:49" ht="15.75" thickBot="1" x14ac:dyDescent="0.3">
      <c r="A60" s="159"/>
      <c r="B60" s="271" t="str">
        <f>IF(Rates!D6=$A$56,Rates!B6," ")</f>
        <v>Global Adjustment</v>
      </c>
      <c r="C60" s="160"/>
      <c r="D60" s="271" t="str">
        <f>IF(Rates!D6=$A$56,Rates!E6," ")</f>
        <v>kWh</v>
      </c>
      <c r="E60" s="161"/>
      <c r="F60" s="235">
        <f>IF(Rates!$J$1="BRT 2018",Rates!J6," ")</f>
        <v>0.10303000000000001</v>
      </c>
      <c r="G60" s="225">
        <f>IF($D$16="TOU", 0,$F$19*(1+$F$74))</f>
        <v>629700.00000000012</v>
      </c>
      <c r="H60" s="148">
        <f t="shared" si="22"/>
        <v>64877.991000000016</v>
      </c>
      <c r="I60" s="166"/>
      <c r="J60" s="169">
        <f t="shared" si="27"/>
        <v>0.10303000000000001</v>
      </c>
      <c r="K60" s="225">
        <f>IF($D$16="TOU", 0,$F$19*(1+$F$74))</f>
        <v>629700.00000000012</v>
      </c>
      <c r="L60" s="148">
        <f t="shared" si="23"/>
        <v>64877.991000000016</v>
      </c>
      <c r="M60" s="166"/>
      <c r="N60" s="84">
        <f t="shared" si="2"/>
        <v>0</v>
      </c>
      <c r="O60" s="85">
        <f t="shared" si="24"/>
        <v>0</v>
      </c>
      <c r="Q60" s="157"/>
      <c r="R60" s="227"/>
      <c r="S60" s="151"/>
      <c r="T60" s="166"/>
      <c r="U60" s="89"/>
      <c r="V60" s="90"/>
      <c r="W60" s="69"/>
      <c r="X60" s="157"/>
      <c r="Y60" s="227"/>
      <c r="Z60" s="151"/>
      <c r="AA60" s="166"/>
      <c r="AB60" s="89"/>
      <c r="AC60" s="90"/>
      <c r="AD60" s="69"/>
      <c r="AE60" s="157"/>
      <c r="AF60" s="227"/>
      <c r="AG60" s="151"/>
      <c r="AH60" s="166"/>
      <c r="AI60" s="89"/>
      <c r="AJ60" s="90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</row>
    <row r="61" spans="1:49" ht="15.75" thickBot="1" x14ac:dyDescent="0.3">
      <c r="A61" s="159"/>
      <c r="B61" s="211"/>
      <c r="C61" s="212"/>
      <c r="D61" s="213"/>
      <c r="E61" s="212"/>
      <c r="F61" s="266"/>
      <c r="G61" s="214"/>
      <c r="H61" s="267"/>
      <c r="I61" s="87"/>
      <c r="J61" s="266"/>
      <c r="K61" s="216"/>
      <c r="L61" s="267"/>
      <c r="M61" s="87"/>
      <c r="N61" s="402"/>
      <c r="O61" s="403"/>
      <c r="Q61" s="157"/>
      <c r="R61" s="120"/>
      <c r="S61" s="151"/>
      <c r="T61" s="87"/>
      <c r="U61" s="89"/>
      <c r="V61" s="174"/>
      <c r="W61" s="69"/>
      <c r="X61" s="157"/>
      <c r="Y61" s="120"/>
      <c r="Z61" s="151"/>
      <c r="AA61" s="87"/>
      <c r="AB61" s="89"/>
      <c r="AC61" s="174"/>
      <c r="AD61" s="69"/>
      <c r="AE61" s="157"/>
      <c r="AF61" s="120"/>
      <c r="AG61" s="151"/>
      <c r="AH61" s="87"/>
      <c r="AI61" s="89"/>
      <c r="AJ61" s="174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</row>
    <row r="62" spans="1:49" x14ac:dyDescent="0.25">
      <c r="A62" s="159"/>
      <c r="B62" s="175" t="s">
        <v>97</v>
      </c>
      <c r="C62" s="78"/>
      <c r="D62" s="78"/>
      <c r="E62" s="78"/>
      <c r="F62" s="176"/>
      <c r="G62" s="177"/>
      <c r="H62" s="179">
        <f>SUM(H51:H55,H50,H59,,H60,)</f>
        <v>104532.03255571387</v>
      </c>
      <c r="I62" s="146"/>
      <c r="J62" s="178"/>
      <c r="K62" s="178"/>
      <c r="L62" s="179">
        <f>SUM(L51:L55,L50,L59,,L60,)</f>
        <v>92252.786107692766</v>
      </c>
      <c r="M62" s="146"/>
      <c r="N62" s="179">
        <f>L62-H62</f>
        <v>-12279.246448021106</v>
      </c>
      <c r="O62" s="180">
        <f t="shared" si="24"/>
        <v>-0.1174687428131321</v>
      </c>
      <c r="Q62" s="181"/>
      <c r="R62" s="181"/>
      <c r="S62" s="121"/>
      <c r="T62" s="146"/>
      <c r="U62" s="89"/>
      <c r="V62" s="90"/>
      <c r="W62" s="69"/>
      <c r="X62" s="181"/>
      <c r="Y62" s="181"/>
      <c r="Z62" s="121"/>
      <c r="AA62" s="146"/>
      <c r="AB62" s="89"/>
      <c r="AC62" s="90"/>
      <c r="AD62" s="69"/>
      <c r="AE62" s="181"/>
      <c r="AF62" s="181"/>
      <c r="AG62" s="121"/>
      <c r="AH62" s="146"/>
      <c r="AI62" s="89"/>
      <c r="AJ62" s="90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</row>
    <row r="63" spans="1:49" x14ac:dyDescent="0.25">
      <c r="A63" s="159"/>
      <c r="B63" s="182" t="s">
        <v>9</v>
      </c>
      <c r="C63" s="78"/>
      <c r="D63" s="78"/>
      <c r="E63" s="78"/>
      <c r="F63" s="183">
        <v>0.13</v>
      </c>
      <c r="G63" s="87"/>
      <c r="H63" s="188">
        <f>H62*F63</f>
        <v>13589.164232242803</v>
      </c>
      <c r="I63" s="187"/>
      <c r="J63" s="185">
        <v>0.13</v>
      </c>
      <c r="K63" s="184"/>
      <c r="L63" s="188">
        <f>L62*J63</f>
        <v>11992.862194000059</v>
      </c>
      <c r="M63" s="187"/>
      <c r="N63" s="188">
        <f>L63-H63</f>
        <v>-1596.3020382427439</v>
      </c>
      <c r="O63" s="85">
        <f t="shared" si="24"/>
        <v>-0.11746874281313213</v>
      </c>
      <c r="Q63" s="189"/>
      <c r="R63" s="187"/>
      <c r="S63" s="190"/>
      <c r="T63" s="187"/>
      <c r="U63" s="89"/>
      <c r="V63" s="90"/>
      <c r="W63" s="69"/>
      <c r="X63" s="189"/>
      <c r="Y63" s="187"/>
      <c r="Z63" s="190"/>
      <c r="AA63" s="187"/>
      <c r="AB63" s="89"/>
      <c r="AC63" s="90"/>
      <c r="AD63" s="69"/>
      <c r="AE63" s="189"/>
      <c r="AF63" s="187"/>
      <c r="AG63" s="190"/>
      <c r="AH63" s="187"/>
      <c r="AI63" s="89"/>
      <c r="AJ63" s="90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</row>
    <row r="64" spans="1:49" ht="15.75" thickBot="1" x14ac:dyDescent="0.3">
      <c r="A64" s="1"/>
      <c r="B64" s="515" t="s">
        <v>98</v>
      </c>
      <c r="C64" s="515"/>
      <c r="D64" s="515"/>
      <c r="E64" s="192"/>
      <c r="F64" s="218"/>
      <c r="G64" s="219"/>
      <c r="H64" s="222">
        <f>SUM(H62:H63)</f>
        <v>118121.19678795668</v>
      </c>
      <c r="I64" s="146"/>
      <c r="J64" s="220"/>
      <c r="K64" s="220"/>
      <c r="L64" s="222">
        <f>SUM(L62:L63)</f>
        <v>104245.64830169283</v>
      </c>
      <c r="M64" s="146"/>
      <c r="N64" s="222">
        <f>L64-H64</f>
        <v>-13875.548486263855</v>
      </c>
      <c r="O64" s="197">
        <f t="shared" si="24"/>
        <v>-0.11746874281313216</v>
      </c>
      <c r="Q64" s="146"/>
      <c r="R64" s="146"/>
      <c r="S64" s="121"/>
      <c r="T64" s="146"/>
      <c r="U64" s="121"/>
      <c r="V64" s="223"/>
      <c r="W64" s="69"/>
      <c r="X64" s="146"/>
      <c r="Y64" s="146"/>
      <c r="Z64" s="121"/>
      <c r="AA64" s="146"/>
      <c r="AB64" s="121"/>
      <c r="AC64" s="223"/>
      <c r="AD64" s="69"/>
      <c r="AE64" s="146"/>
      <c r="AF64" s="146"/>
      <c r="AG64" s="121"/>
      <c r="AH64" s="146"/>
      <c r="AI64" s="121"/>
      <c r="AJ64" s="223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</row>
    <row r="65" spans="1:49" ht="15.75" thickBot="1" x14ac:dyDescent="0.3">
      <c r="A65" s="1"/>
      <c r="B65" s="198"/>
      <c r="C65" s="199"/>
      <c r="D65" s="200"/>
      <c r="E65" s="199"/>
      <c r="F65" s="266"/>
      <c r="G65" s="201"/>
      <c r="H65" s="267"/>
      <c r="I65" s="166"/>
      <c r="J65" s="266"/>
      <c r="K65" s="203"/>
      <c r="L65" s="267"/>
      <c r="M65" s="166"/>
      <c r="N65" s="268"/>
      <c r="O65" s="403"/>
      <c r="Q65" s="157"/>
      <c r="R65" s="206"/>
      <c r="S65" s="151"/>
      <c r="T65" s="166"/>
      <c r="U65" s="207"/>
      <c r="V65" s="174"/>
      <c r="W65" s="69"/>
      <c r="X65" s="157"/>
      <c r="Y65" s="206"/>
      <c r="Z65" s="151"/>
      <c r="AA65" s="166"/>
      <c r="AB65" s="207"/>
      <c r="AC65" s="174"/>
      <c r="AD65" s="69"/>
      <c r="AE65" s="157"/>
      <c r="AF65" s="206"/>
      <c r="AG65" s="151"/>
      <c r="AH65" s="166"/>
      <c r="AI65" s="207"/>
      <c r="AJ65" s="174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</row>
    <row r="66" spans="1:49" x14ac:dyDescent="0.25">
      <c r="A66" s="1"/>
      <c r="B66" s="236" t="s">
        <v>99</v>
      </c>
      <c r="C66" s="160"/>
      <c r="D66" s="160"/>
      <c r="E66" s="160"/>
      <c r="F66" s="237"/>
      <c r="G66" s="238"/>
      <c r="H66" s="241">
        <f>IF($G$56&gt;0,SUM(H50,H51:H58),0)</f>
        <v>0</v>
      </c>
      <c r="I66" s="240"/>
      <c r="J66" s="239"/>
      <c r="K66" s="239"/>
      <c r="L66" s="241">
        <f>IF($K$56&gt;0,SUM(L50,L51:L58),0)</f>
        <v>0</v>
      </c>
      <c r="M66" s="240"/>
      <c r="N66" s="241">
        <f t="shared" ref="N66:N71" si="28">L66-H66</f>
        <v>0</v>
      </c>
      <c r="O66" s="180" t="str">
        <f t="shared" si="24"/>
        <v/>
      </c>
      <c r="Q66" s="242"/>
      <c r="R66" s="242"/>
      <c r="S66" s="243"/>
      <c r="T66" s="240"/>
      <c r="U66" s="89"/>
      <c r="V66" s="90"/>
      <c r="W66" s="69"/>
      <c r="X66" s="242"/>
      <c r="Y66" s="242"/>
      <c r="Z66" s="243"/>
      <c r="AA66" s="240"/>
      <c r="AB66" s="89"/>
      <c r="AC66" s="90"/>
      <c r="AD66" s="69"/>
      <c r="AE66" s="242"/>
      <c r="AF66" s="242"/>
      <c r="AG66" s="243"/>
      <c r="AH66" s="240"/>
      <c r="AI66" s="89"/>
      <c r="AJ66" s="90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</row>
    <row r="67" spans="1:49" x14ac:dyDescent="0.25">
      <c r="A67" s="1"/>
      <c r="B67" s="244" t="s">
        <v>9</v>
      </c>
      <c r="C67" s="160"/>
      <c r="D67" s="160"/>
      <c r="E67" s="160"/>
      <c r="F67" s="245">
        <v>0.13</v>
      </c>
      <c r="G67" s="238"/>
      <c r="H67" s="250">
        <f>$H$66*F67</f>
        <v>0</v>
      </c>
      <c r="I67" s="249"/>
      <c r="J67" s="247">
        <v>0.13</v>
      </c>
      <c r="K67" s="248"/>
      <c r="L67" s="250">
        <f>$L$66*J67</f>
        <v>0</v>
      </c>
      <c r="M67" s="249"/>
      <c r="N67" s="250">
        <f t="shared" si="28"/>
        <v>0</v>
      </c>
      <c r="O67" s="85" t="str">
        <f t="shared" si="24"/>
        <v/>
      </c>
      <c r="Q67" s="251"/>
      <c r="R67" s="252"/>
      <c r="S67" s="253"/>
      <c r="T67" s="249"/>
      <c r="U67" s="89"/>
      <c r="V67" s="90"/>
      <c r="W67" s="69"/>
      <c r="X67" s="251"/>
      <c r="Y67" s="252"/>
      <c r="Z67" s="253"/>
      <c r="AA67" s="249"/>
      <c r="AB67" s="89"/>
      <c r="AC67" s="90"/>
      <c r="AD67" s="69"/>
      <c r="AE67" s="251"/>
      <c r="AF67" s="252"/>
      <c r="AG67" s="253"/>
      <c r="AH67" s="249"/>
      <c r="AI67" s="89"/>
      <c r="AJ67" s="90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</row>
    <row r="68" spans="1:49" x14ac:dyDescent="0.25">
      <c r="A68" s="1"/>
      <c r="B68" s="182" t="s">
        <v>106</v>
      </c>
      <c r="C68" s="78"/>
      <c r="D68" s="78"/>
      <c r="E68" s="78"/>
      <c r="F68" s="183">
        <v>-0.05</v>
      </c>
      <c r="G68" s="87"/>
      <c r="H68" s="188">
        <f>$H$66*F68</f>
        <v>0</v>
      </c>
      <c r="I68" s="187"/>
      <c r="J68" s="183">
        <v>-0.05</v>
      </c>
      <c r="K68" s="184"/>
      <c r="L68" s="188">
        <f>$L$66*J68</f>
        <v>0</v>
      </c>
      <c r="M68" s="187"/>
      <c r="N68" s="188">
        <f t="shared" si="28"/>
        <v>0</v>
      </c>
      <c r="O68" s="85" t="str">
        <f t="shared" si="24"/>
        <v/>
      </c>
      <c r="Q68" s="189"/>
      <c r="R68" s="187"/>
      <c r="S68" s="190"/>
      <c r="T68" s="187"/>
      <c r="U68" s="89"/>
      <c r="V68" s="90"/>
      <c r="W68" s="69"/>
      <c r="X68" s="189"/>
      <c r="Y68" s="187"/>
      <c r="Z68" s="253"/>
      <c r="AA68" s="249"/>
      <c r="AB68" s="89"/>
      <c r="AC68" s="90"/>
      <c r="AD68" s="69"/>
      <c r="AE68" s="251"/>
      <c r="AF68" s="252"/>
      <c r="AG68" s="253"/>
      <c r="AH68" s="249"/>
      <c r="AI68" s="89"/>
      <c r="AJ68" s="90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</row>
    <row r="69" spans="1:49" x14ac:dyDescent="0.25">
      <c r="A69" s="159"/>
      <c r="B69" s="254" t="s">
        <v>100</v>
      </c>
      <c r="C69" s="160"/>
      <c r="D69" s="160"/>
      <c r="E69" s="160"/>
      <c r="F69" s="255"/>
      <c r="G69" s="166"/>
      <c r="H69" s="250">
        <f>SUM(H66:H68)</f>
        <v>0</v>
      </c>
      <c r="I69" s="249"/>
      <c r="J69" s="246"/>
      <c r="K69" s="246"/>
      <c r="L69" s="250">
        <f>SUM(L66:L68)</f>
        <v>0</v>
      </c>
      <c r="M69" s="249"/>
      <c r="N69" s="250">
        <f t="shared" si="28"/>
        <v>0</v>
      </c>
      <c r="O69" s="85" t="str">
        <f t="shared" si="24"/>
        <v/>
      </c>
      <c r="Q69" s="249"/>
      <c r="R69" s="249"/>
      <c r="S69" s="253"/>
      <c r="T69" s="249"/>
      <c r="U69" s="89"/>
      <c r="V69" s="90"/>
      <c r="W69" s="69"/>
      <c r="X69" s="249"/>
      <c r="Y69" s="249"/>
      <c r="Z69" s="253"/>
      <c r="AA69" s="249"/>
      <c r="AB69" s="89"/>
      <c r="AC69" s="90"/>
      <c r="AD69" s="69"/>
      <c r="AE69" s="249"/>
      <c r="AF69" s="249"/>
      <c r="AG69" s="253"/>
      <c r="AH69" s="249"/>
      <c r="AI69" s="89"/>
      <c r="AJ69" s="90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</row>
    <row r="70" spans="1:49" x14ac:dyDescent="0.25">
      <c r="A70" s="159"/>
      <c r="B70" s="516" t="s">
        <v>101</v>
      </c>
      <c r="C70" s="516"/>
      <c r="D70" s="516"/>
      <c r="E70" s="160"/>
      <c r="F70" s="255"/>
      <c r="G70" s="166"/>
      <c r="H70" s="256">
        <f>ROUND(-H69*0%,2)</f>
        <v>0</v>
      </c>
      <c r="I70" s="249"/>
      <c r="J70" s="246"/>
      <c r="K70" s="246"/>
      <c r="L70" s="256">
        <f>ROUND(-L69*0%,2)</f>
        <v>0</v>
      </c>
      <c r="M70" s="249"/>
      <c r="N70" s="256">
        <f t="shared" si="28"/>
        <v>0</v>
      </c>
      <c r="O70" s="257" t="str">
        <f>IF(OR(H70=0,L70=0),"",(N70/H70))</f>
        <v/>
      </c>
      <c r="Q70" s="249"/>
      <c r="R70" s="249"/>
      <c r="S70" s="258"/>
      <c r="T70" s="249"/>
      <c r="U70" s="259"/>
      <c r="V70" s="90"/>
      <c r="W70" s="69"/>
      <c r="X70" s="249"/>
      <c r="Y70" s="249"/>
      <c r="Z70" s="258"/>
      <c r="AA70" s="249"/>
      <c r="AB70" s="259"/>
      <c r="AC70" s="90"/>
      <c r="AD70" s="69"/>
      <c r="AE70" s="249"/>
      <c r="AF70" s="249"/>
      <c r="AG70" s="258"/>
      <c r="AH70" s="249"/>
      <c r="AI70" s="259"/>
      <c r="AJ70" s="90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</row>
    <row r="71" spans="1:49" ht="15.75" thickBot="1" x14ac:dyDescent="0.3">
      <c r="A71" s="159"/>
      <c r="B71" s="513" t="s">
        <v>102</v>
      </c>
      <c r="C71" s="513"/>
      <c r="D71" s="513"/>
      <c r="E71" s="260"/>
      <c r="F71" s="261"/>
      <c r="G71" s="262"/>
      <c r="H71" s="265">
        <f>SUM(H69:H70)</f>
        <v>0</v>
      </c>
      <c r="I71" s="240"/>
      <c r="J71" s="263"/>
      <c r="K71" s="263"/>
      <c r="L71" s="265">
        <f>SUM(L69:L70)</f>
        <v>0</v>
      </c>
      <c r="M71" s="240"/>
      <c r="N71" s="265">
        <f t="shared" si="28"/>
        <v>0</v>
      </c>
      <c r="O71" s="197" t="str">
        <f t="shared" si="24"/>
        <v/>
      </c>
      <c r="Q71" s="240"/>
      <c r="R71" s="240"/>
      <c r="S71" s="243"/>
      <c r="T71" s="240"/>
      <c r="U71" s="121"/>
      <c r="V71" s="223"/>
      <c r="W71" s="69"/>
      <c r="X71" s="240"/>
      <c r="Y71" s="240"/>
      <c r="Z71" s="243"/>
      <c r="AA71" s="240"/>
      <c r="AB71" s="121"/>
      <c r="AC71" s="223"/>
      <c r="AD71" s="69"/>
      <c r="AE71" s="240"/>
      <c r="AF71" s="240"/>
      <c r="AG71" s="243"/>
      <c r="AH71" s="240"/>
      <c r="AI71" s="121"/>
      <c r="AJ71" s="223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</row>
    <row r="72" spans="1:49" ht="15.75" thickBot="1" x14ac:dyDescent="0.3">
      <c r="A72" s="159"/>
      <c r="B72" s="198"/>
      <c r="C72" s="199"/>
      <c r="D72" s="200"/>
      <c r="E72" s="199"/>
      <c r="F72" s="390"/>
      <c r="G72" s="400"/>
      <c r="H72" s="401"/>
      <c r="I72" s="166"/>
      <c r="J72" s="390"/>
      <c r="K72" s="391"/>
      <c r="L72" s="392"/>
      <c r="M72" s="166"/>
      <c r="N72" s="396"/>
      <c r="O72" s="397"/>
      <c r="Q72" s="157"/>
      <c r="R72" s="206"/>
      <c r="S72" s="151"/>
      <c r="T72" s="166"/>
      <c r="U72" s="207"/>
      <c r="V72" s="174"/>
      <c r="W72" s="69"/>
      <c r="X72" s="157"/>
      <c r="Y72" s="206"/>
      <c r="Z72" s="151"/>
      <c r="AA72" s="166"/>
      <c r="AB72" s="207"/>
      <c r="AC72" s="174"/>
      <c r="AD72" s="69"/>
      <c r="AE72" s="157"/>
      <c r="AF72" s="206"/>
      <c r="AG72" s="151"/>
      <c r="AH72" s="166"/>
      <c r="AI72" s="207"/>
      <c r="AJ72" s="174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</row>
    <row r="73" spans="1:49" x14ac:dyDescent="0.25">
      <c r="A73" s="159"/>
      <c r="B73" s="1"/>
      <c r="C73" s="1"/>
      <c r="D73" s="1"/>
      <c r="E73" s="1"/>
      <c r="F73" s="1"/>
      <c r="G73" s="1"/>
      <c r="H73" s="67"/>
      <c r="I73" s="2"/>
      <c r="J73" s="1"/>
      <c r="K73" s="1"/>
      <c r="L73" s="67"/>
      <c r="M73" s="3"/>
      <c r="N73" s="1"/>
      <c r="O73" s="1"/>
      <c r="Q73" s="2"/>
      <c r="R73" s="2"/>
      <c r="S73" s="208"/>
      <c r="T73" s="2"/>
      <c r="U73" s="2"/>
      <c r="V73" s="2"/>
      <c r="W73" s="69"/>
      <c r="X73" s="2"/>
      <c r="Y73" s="2"/>
      <c r="Z73" s="208"/>
      <c r="AA73" s="2"/>
      <c r="AB73" s="2"/>
      <c r="AC73" s="2"/>
      <c r="AD73" s="69"/>
      <c r="AE73" s="2"/>
      <c r="AF73" s="2"/>
      <c r="AG73" s="208"/>
      <c r="AH73" s="2"/>
      <c r="AI73" s="2"/>
      <c r="AJ73" s="2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</row>
    <row r="74" spans="1:49" x14ac:dyDescent="0.25">
      <c r="A74" s="159"/>
      <c r="B74" s="65" t="s">
        <v>10</v>
      </c>
      <c r="C74" s="1"/>
      <c r="D74" s="1"/>
      <c r="E74" s="1"/>
      <c r="F74" s="209">
        <f>Rates!$S$2-1</f>
        <v>4.9500000000000099E-2</v>
      </c>
      <c r="G74" s="1"/>
      <c r="H74" s="1"/>
      <c r="I74" s="1"/>
      <c r="J74" s="209">
        <f>Rates!$T$2-1</f>
        <v>3.0684649944026976E-2</v>
      </c>
      <c r="K74" s="1"/>
      <c r="L74" s="67"/>
      <c r="M74" s="3"/>
      <c r="N74" s="1"/>
      <c r="O74" s="1"/>
      <c r="Q74" s="210"/>
      <c r="R74" s="2"/>
      <c r="S74" s="2"/>
      <c r="T74" s="2"/>
      <c r="U74" s="2"/>
      <c r="V74" s="2"/>
      <c r="W74" s="69"/>
      <c r="X74" s="210"/>
      <c r="Y74" s="2"/>
      <c r="Z74" s="2"/>
      <c r="AA74" s="2"/>
      <c r="AB74" s="2"/>
      <c r="AC74" s="2"/>
      <c r="AD74" s="69"/>
      <c r="AE74" s="210"/>
      <c r="AF74" s="2"/>
      <c r="AG74" s="2"/>
      <c r="AH74" s="2"/>
      <c r="AI74" s="2"/>
      <c r="AJ74" s="2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</row>
    <row r="75" spans="1:49" x14ac:dyDescent="0.25">
      <c r="A75" s="159"/>
      <c r="B75" s="1"/>
      <c r="C75" s="1"/>
      <c r="D75" s="1"/>
      <c r="E75" s="1"/>
      <c r="F75" s="1"/>
      <c r="G75" s="1"/>
      <c r="H75" s="1"/>
      <c r="I75" s="3"/>
      <c r="J75" s="1"/>
      <c r="K75" s="1"/>
      <c r="L75" s="1"/>
      <c r="M75" s="3"/>
      <c r="N75" s="1"/>
      <c r="O75" s="1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3"/>
      <c r="J76" s="1"/>
      <c r="K76" s="1"/>
      <c r="L76" s="1"/>
      <c r="M76" s="3"/>
      <c r="N76" s="1"/>
      <c r="O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3"/>
      <c r="J77" s="1"/>
      <c r="K77" s="1"/>
      <c r="L77" s="1"/>
      <c r="M77" s="3"/>
      <c r="N77" s="1"/>
      <c r="O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3"/>
      <c r="J78" s="1"/>
      <c r="K78" s="1"/>
      <c r="L78" s="1"/>
      <c r="M78" s="3"/>
      <c r="N78" s="1"/>
      <c r="O78" s="1"/>
    </row>
    <row r="79" spans="1:49" x14ac:dyDescent="0.25">
      <c r="A79" s="1" t="s">
        <v>84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49" x14ac:dyDescent="0.25">
      <c r="A80" s="1" t="s">
        <v>85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25">
      <c r="A82" s="64" t="s">
        <v>86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5">
      <c r="A83" s="64" t="s">
        <v>87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25">
      <c r="A85" s="1" t="s">
        <v>88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25">
      <c r="A86" s="1" t="s">
        <v>89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25">
      <c r="A87" s="1" t="s">
        <v>90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25">
      <c r="A88" s="1" t="s">
        <v>91</v>
      </c>
      <c r="B88" s="1" t="s">
        <v>93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25">
      <c r="A89" s="1" t="s">
        <v>92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</sheetData>
  <mergeCells count="24">
    <mergeCell ref="AI20:AJ20"/>
    <mergeCell ref="A3:K3"/>
    <mergeCell ref="B10:O10"/>
    <mergeCell ref="B11:O11"/>
    <mergeCell ref="D14:O14"/>
    <mergeCell ref="F20:H20"/>
    <mergeCell ref="J20:L20"/>
    <mergeCell ref="N20:O20"/>
    <mergeCell ref="Q20:S20"/>
    <mergeCell ref="U20:V20"/>
    <mergeCell ref="X20:Z20"/>
    <mergeCell ref="AB20:AC20"/>
    <mergeCell ref="AE20:AG20"/>
    <mergeCell ref="AI21:AI22"/>
    <mergeCell ref="AJ21:AJ22"/>
    <mergeCell ref="B64:D64"/>
    <mergeCell ref="B70:D70"/>
    <mergeCell ref="B71:D71"/>
    <mergeCell ref="N21:N22"/>
    <mergeCell ref="O21:O22"/>
    <mergeCell ref="U21:U22"/>
    <mergeCell ref="V21:V22"/>
    <mergeCell ref="AB21:AB22"/>
    <mergeCell ref="AC21:AC22"/>
  </mergeCells>
  <dataValidations count="4">
    <dataValidation type="list" allowBlank="1" showInputMessage="1" showErrorMessage="1" sqref="E23:E35">
      <formula1>#REF!</formula1>
    </dataValidation>
    <dataValidation type="list" allowBlank="1" showInputMessage="1" showErrorMessage="1" sqref="E48:E49 E72 E65 E51:E61 E37:E46">
      <formula1>#REF!</formula1>
    </dataValidation>
    <dataValidation type="list" allowBlank="1" showInputMessage="1" showErrorMessage="1" prompt="Select Charge Unit - monthly, per kWh, per kW" sqref="D72 D61 D65">
      <formula1>"Monthly, per kWh, per kW"</formula1>
    </dataValidation>
    <dataValidation type="list" allowBlank="1" showInputMessage="1" showErrorMessage="1" sqref="D16">
      <formula1>"TOU, non-TOU"</formula1>
    </dataValidation>
  </dataValidations>
  <printOptions horizontalCentered="1"/>
  <pageMargins left="0.3" right="0.35" top="0.92" bottom="0.7" header="0.56999999999999995" footer="0.41"/>
  <pageSetup paperSize="256" scale="60" fitToHeight="0" orientation="landscape" r:id="rId1"/>
  <headerFooter>
    <oddFooter>&amp;C&amp;A</oddFooter>
  </headerFooter>
  <ignoredErrors>
    <ignoredError sqref="J23:J25 J38 J35:J3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23" r:id="rId4" name="Option Button 3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609600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24" r:id="rId5" name="Option Button 4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25" r:id="rId6" name="Option Button 5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609600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26" r:id="rId7" name="Option Button 6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27" r:id="rId8" name="Option Button 7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609600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28" r:id="rId9" name="Option Button 8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29" r:id="rId10" name="Option Button 9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609600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30" r:id="rId11" name="Option Button 10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31" r:id="rId12" name="Option Button 11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609600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32" r:id="rId13" name="Option Button 12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A1:AW89"/>
  <sheetViews>
    <sheetView showGridLines="0" topLeftCell="A34" zoomScale="80" zoomScaleNormal="80" workbookViewId="0">
      <selection activeCell="F25" sqref="F25"/>
    </sheetView>
  </sheetViews>
  <sheetFormatPr defaultColWidth="9.140625" defaultRowHeight="15" x14ac:dyDescent="0.25"/>
  <cols>
    <col min="1" max="1" width="48.28515625" customWidth="1"/>
    <col min="2" max="2" width="48.7109375" customWidth="1"/>
    <col min="3" max="3" width="1.5703125" customWidth="1"/>
    <col min="4" max="4" width="12.42578125" customWidth="1"/>
    <col min="5" max="5" width="1.7109375" customWidth="1"/>
    <col min="6" max="6" width="12" customWidth="1"/>
    <col min="7" max="7" width="11.7109375" customWidth="1"/>
    <col min="8" max="8" width="16.42578125" customWidth="1"/>
    <col min="9" max="9" width="1.28515625" customWidth="1"/>
    <col min="10" max="10" width="12.28515625" customWidth="1"/>
    <col min="11" max="11" width="10.5703125" customWidth="1"/>
    <col min="12" max="12" width="16.28515625" customWidth="1"/>
    <col min="13" max="13" width="1.28515625" customWidth="1"/>
    <col min="14" max="14" width="14.7109375" customWidth="1"/>
    <col min="15" max="15" width="10.5703125" customWidth="1"/>
    <col min="16" max="16" width="1.42578125" customWidth="1"/>
    <col min="17" max="17" width="1.7109375" customWidth="1"/>
    <col min="18" max="18" width="9.42578125" customWidth="1"/>
    <col min="19" max="19" width="12.5703125" customWidth="1"/>
    <col min="20" max="20" width="1.28515625" customWidth="1"/>
    <col min="21" max="21" width="10.85546875" customWidth="1"/>
    <col min="22" max="22" width="10.140625" customWidth="1"/>
    <col min="23" max="23" width="1.28515625" customWidth="1"/>
    <col min="24" max="24" width="11" customWidth="1"/>
    <col min="25" max="25" width="9.5703125" customWidth="1"/>
    <col min="26" max="26" width="12.42578125" customWidth="1"/>
    <col min="27" max="27" width="1.28515625" customWidth="1"/>
    <col min="28" max="28" width="10" customWidth="1"/>
    <col min="30" max="30" width="0.85546875" customWidth="1"/>
    <col min="31" max="31" width="11.140625" customWidth="1"/>
    <col min="32" max="32" width="9.5703125" customWidth="1"/>
    <col min="33" max="33" width="12.42578125" customWidth="1"/>
    <col min="34" max="34" width="1.140625" customWidth="1"/>
    <col min="35" max="35" width="10.42578125" customWidth="1"/>
    <col min="37" max="37" width="0.85546875" customWidth="1"/>
  </cols>
  <sheetData>
    <row r="1" spans="1:21" ht="21.75" x14ac:dyDescent="0.25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0"/>
      <c r="M1" s="50"/>
      <c r="N1" s="52" t="s">
        <v>68</v>
      </c>
      <c r="O1" s="53">
        <v>0</v>
      </c>
      <c r="T1">
        <v>1</v>
      </c>
      <c r="U1">
        <v>2</v>
      </c>
    </row>
    <row r="2" spans="1:21" ht="18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0"/>
      <c r="M2" s="50"/>
      <c r="N2" s="52" t="s">
        <v>69</v>
      </c>
      <c r="O2" s="55"/>
    </row>
    <row r="3" spans="1:21" ht="18" x14ac:dyDescent="0.25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"/>
      <c r="M3" s="50"/>
      <c r="N3" s="52" t="s">
        <v>70</v>
      </c>
      <c r="O3" s="55"/>
    </row>
    <row r="4" spans="1:21" ht="18" x14ac:dyDescent="0.25">
      <c r="A4" s="54"/>
      <c r="B4" s="54"/>
      <c r="C4" s="54"/>
      <c r="D4" s="54"/>
      <c r="E4" s="54"/>
      <c r="F4" s="54"/>
      <c r="G4" s="54"/>
      <c r="H4" s="54"/>
      <c r="I4" s="56"/>
      <c r="J4" s="56"/>
      <c r="K4" s="56"/>
      <c r="L4" s="50"/>
      <c r="M4" s="50"/>
      <c r="N4" s="52" t="s">
        <v>71</v>
      </c>
      <c r="O4" s="55"/>
    </row>
    <row r="5" spans="1:21" ht="15.75" x14ac:dyDescent="0.25">
      <c r="A5" s="50"/>
      <c r="B5" s="50"/>
      <c r="C5" s="57"/>
      <c r="D5" s="57"/>
      <c r="E5" s="57"/>
      <c r="F5" s="50"/>
      <c r="G5" s="50"/>
      <c r="H5" s="50"/>
      <c r="I5" s="50"/>
      <c r="J5" s="50"/>
      <c r="K5" s="50"/>
      <c r="L5" s="50"/>
      <c r="M5" s="50"/>
      <c r="N5" s="52" t="s">
        <v>72</v>
      </c>
      <c r="O5" s="58"/>
    </row>
    <row r="6" spans="1:2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2"/>
      <c r="O6" s="53"/>
    </row>
    <row r="7" spans="1:2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2" t="s">
        <v>73</v>
      </c>
      <c r="O7" s="58"/>
    </row>
    <row r="8" spans="1:21" x14ac:dyDescent="0.25">
      <c r="A8" s="5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1" ht="18" x14ac:dyDescent="0.25">
      <c r="A10" s="1"/>
      <c r="B10" s="508" t="s">
        <v>74</v>
      </c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508"/>
      <c r="N10" s="508"/>
      <c r="O10" s="508"/>
    </row>
    <row r="11" spans="1:21" ht="18" x14ac:dyDescent="0.25">
      <c r="A11" s="1"/>
      <c r="B11" s="508" t="s">
        <v>75</v>
      </c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1" ht="15.75" x14ac:dyDescent="0.25">
      <c r="A14" s="1"/>
      <c r="B14" s="60" t="s">
        <v>0</v>
      </c>
      <c r="C14" s="1"/>
      <c r="D14" s="509" t="s">
        <v>125</v>
      </c>
      <c r="E14" s="509"/>
      <c r="F14" s="509"/>
      <c r="G14" s="509"/>
      <c r="H14" s="509"/>
      <c r="I14" s="509"/>
      <c r="J14" s="509"/>
      <c r="K14" s="509"/>
      <c r="L14" s="509"/>
      <c r="M14" s="509"/>
      <c r="N14" s="509"/>
      <c r="O14" s="509"/>
    </row>
    <row r="15" spans="1:21" ht="15.75" x14ac:dyDescent="0.25">
      <c r="A15" s="1"/>
      <c r="B15" s="61"/>
      <c r="C15" s="1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pans="1:21" ht="15.75" x14ac:dyDescent="0.25">
      <c r="A16" s="1"/>
      <c r="B16" s="60" t="s">
        <v>76</v>
      </c>
      <c r="C16" s="1"/>
      <c r="D16" s="63" t="s">
        <v>94</v>
      </c>
      <c r="E16" s="62"/>
      <c r="F16" s="228" t="s">
        <v>95</v>
      </c>
      <c r="G16" s="62"/>
      <c r="H16" s="62"/>
      <c r="I16" s="62"/>
      <c r="J16" s="62"/>
      <c r="K16" s="62"/>
      <c r="L16" s="62"/>
      <c r="M16" s="62"/>
      <c r="N16" s="62"/>
      <c r="O16" s="62"/>
    </row>
    <row r="17" spans="1:49" ht="15.75" x14ac:dyDescent="0.25">
      <c r="A17" s="1"/>
      <c r="B17" s="61"/>
      <c r="C17" s="1"/>
      <c r="D17" s="62"/>
      <c r="E17" s="62"/>
      <c r="F17" s="229">
        <f>ROUND(+F18*1,0)</f>
        <v>700</v>
      </c>
      <c r="G17" s="230" t="s">
        <v>96</v>
      </c>
      <c r="H17" s="231"/>
      <c r="I17" s="62"/>
      <c r="J17" s="62"/>
      <c r="K17" s="62"/>
      <c r="L17" s="62"/>
      <c r="M17" s="62"/>
      <c r="N17" s="62"/>
      <c r="O17" s="62"/>
    </row>
    <row r="18" spans="1:49" x14ac:dyDescent="0.25">
      <c r="A18" s="1"/>
      <c r="B18" s="64"/>
      <c r="C18" s="1"/>
      <c r="D18" s="65"/>
      <c r="E18" s="65"/>
      <c r="F18" s="229">
        <v>700</v>
      </c>
      <c r="G18" s="65"/>
      <c r="H18" s="1"/>
      <c r="I18" s="1"/>
      <c r="J18" s="1"/>
      <c r="K18" s="1"/>
      <c r="L18" s="1"/>
      <c r="M18" s="1"/>
      <c r="N18" s="1"/>
      <c r="O18" s="1"/>
    </row>
    <row r="19" spans="1:49" x14ac:dyDescent="0.25">
      <c r="A19" s="1"/>
      <c r="B19" s="64"/>
      <c r="C19" s="1"/>
      <c r="D19" s="65" t="s">
        <v>1</v>
      </c>
      <c r="E19" s="1"/>
      <c r="F19" s="232">
        <v>400000</v>
      </c>
      <c r="G19" s="230" t="s">
        <v>78</v>
      </c>
      <c r="H19" s="67"/>
      <c r="I19" s="1"/>
      <c r="J19" s="67"/>
      <c r="K19" s="233"/>
      <c r="L19" s="67"/>
      <c r="M19" s="1"/>
      <c r="N19" s="233"/>
      <c r="O19" s="1"/>
      <c r="S19" s="234"/>
    </row>
    <row r="20" spans="1:49" x14ac:dyDescent="0.25">
      <c r="A20" s="1"/>
      <c r="B20" s="64"/>
      <c r="C20" s="1"/>
      <c r="D20" s="68"/>
      <c r="E20" s="68"/>
      <c r="F20" s="510" t="s">
        <v>105</v>
      </c>
      <c r="G20" s="511"/>
      <c r="H20" s="512"/>
      <c r="I20" s="1"/>
      <c r="J20" s="510" t="s">
        <v>104</v>
      </c>
      <c r="K20" s="511"/>
      <c r="L20" s="512"/>
      <c r="M20" s="1"/>
      <c r="N20" s="510" t="s">
        <v>61</v>
      </c>
      <c r="O20" s="512"/>
      <c r="Q20" s="506"/>
      <c r="R20" s="506"/>
      <c r="S20" s="506"/>
      <c r="T20" s="2"/>
      <c r="U20" s="506"/>
      <c r="V20" s="506"/>
      <c r="W20" s="69"/>
      <c r="X20" s="506"/>
      <c r="Y20" s="506"/>
      <c r="Z20" s="506"/>
      <c r="AA20" s="2"/>
      <c r="AB20" s="506"/>
      <c r="AC20" s="506"/>
      <c r="AD20" s="69"/>
      <c r="AE20" s="506"/>
      <c r="AF20" s="506"/>
      <c r="AG20" s="506"/>
      <c r="AH20" s="2"/>
      <c r="AI20" s="506"/>
      <c r="AJ20" s="506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</row>
    <row r="21" spans="1:49" ht="15" customHeight="1" x14ac:dyDescent="0.25">
      <c r="A21" s="1"/>
      <c r="B21" s="64"/>
      <c r="C21" s="1"/>
      <c r="D21" s="1"/>
      <c r="E21" s="70"/>
      <c r="F21" s="71" t="s">
        <v>2</v>
      </c>
      <c r="G21" s="71" t="s">
        <v>3</v>
      </c>
      <c r="H21" s="72" t="s">
        <v>4</v>
      </c>
      <c r="I21" s="1"/>
      <c r="J21" s="71" t="s">
        <v>2</v>
      </c>
      <c r="K21" s="73" t="s">
        <v>3</v>
      </c>
      <c r="L21" s="72" t="s">
        <v>4</v>
      </c>
      <c r="M21" s="1"/>
      <c r="N21" s="502" t="s">
        <v>62</v>
      </c>
      <c r="O21" s="504" t="s">
        <v>63</v>
      </c>
      <c r="Q21" s="270"/>
      <c r="R21" s="270"/>
      <c r="S21" s="270"/>
      <c r="T21" s="2"/>
      <c r="U21" s="501"/>
      <c r="V21" s="501"/>
      <c r="W21" s="69"/>
      <c r="X21" s="270"/>
      <c r="Y21" s="270"/>
      <c r="Z21" s="270"/>
      <c r="AA21" s="2"/>
      <c r="AB21" s="501"/>
      <c r="AC21" s="501"/>
      <c r="AD21" s="69"/>
      <c r="AE21" s="270"/>
      <c r="AF21" s="270"/>
      <c r="AG21" s="270"/>
      <c r="AH21" s="2"/>
      <c r="AI21" s="501"/>
      <c r="AJ21" s="501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</row>
    <row r="22" spans="1:49" x14ac:dyDescent="0.25">
      <c r="A22" s="1"/>
      <c r="B22" s="64"/>
      <c r="C22" s="1"/>
      <c r="D22" s="1"/>
      <c r="E22" s="70"/>
      <c r="F22" s="75" t="s">
        <v>79</v>
      </c>
      <c r="G22" s="75"/>
      <c r="H22" s="76" t="s">
        <v>79</v>
      </c>
      <c r="I22" s="1"/>
      <c r="J22" s="75" t="s">
        <v>79</v>
      </c>
      <c r="K22" s="76"/>
      <c r="L22" s="76" t="s">
        <v>79</v>
      </c>
      <c r="M22" s="1"/>
      <c r="N22" s="503"/>
      <c r="O22" s="505"/>
      <c r="Q22" s="77"/>
      <c r="R22" s="77"/>
      <c r="S22" s="77"/>
      <c r="T22" s="2"/>
      <c r="U22" s="514"/>
      <c r="V22" s="514"/>
      <c r="W22" s="69"/>
      <c r="X22" s="77"/>
      <c r="Y22" s="77"/>
      <c r="Z22" s="77"/>
      <c r="AA22" s="2"/>
      <c r="AB22" s="514"/>
      <c r="AC22" s="514"/>
      <c r="AD22" s="69"/>
      <c r="AE22" s="77"/>
      <c r="AF22" s="77"/>
      <c r="AG22" s="77"/>
      <c r="AH22" s="2"/>
      <c r="AI22" s="514"/>
      <c r="AJ22" s="514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</row>
    <row r="23" spans="1:49" x14ac:dyDescent="0.25">
      <c r="A23" s="7" t="s">
        <v>15</v>
      </c>
      <c r="B23" s="271" t="str">
        <f>IF(Rates!D261=$A$23,Rates!B261," ")</f>
        <v>Service Charge</v>
      </c>
      <c r="C23" s="78"/>
      <c r="D23" s="271" t="str">
        <f>IF(Rates!D261=$A$23,Rates!E261," ")</f>
        <v>connection</v>
      </c>
      <c r="E23" s="79"/>
      <c r="F23" s="80">
        <f>IF(Rates!$G$1="CND 2018",Rates!G261," ")</f>
        <v>2.5628599999999997</v>
      </c>
      <c r="G23" s="452">
        <v>13000</v>
      </c>
      <c r="H23" s="82">
        <f t="shared" ref="H23:H35" si="0">G23*F23</f>
        <v>33317.179999999993</v>
      </c>
      <c r="I23" s="83"/>
      <c r="J23" s="487">
        <f>IF(Rates!$L$1="E+ 2019",Rates!L261," ")</f>
        <v>1.6541999999999999</v>
      </c>
      <c r="K23" s="452">
        <f>G23</f>
        <v>13000</v>
      </c>
      <c r="L23" s="82">
        <f t="shared" ref="L23:L44" si="1">K23*J23</f>
        <v>21504.6</v>
      </c>
      <c r="M23" s="83"/>
      <c r="N23" s="84">
        <f t="shared" ref="N23:N60" si="2">L23-H23</f>
        <v>-11812.579999999994</v>
      </c>
      <c r="O23" s="85">
        <f>IF(OR(H23=0,L23=0),"",(N23/H23))</f>
        <v>-0.35454921454937055</v>
      </c>
      <c r="Q23" s="86"/>
      <c r="R23" s="87"/>
      <c r="S23" s="88"/>
      <c r="T23" s="87"/>
      <c r="U23" s="89"/>
      <c r="V23" s="90"/>
      <c r="W23" s="69"/>
      <c r="X23" s="86"/>
      <c r="Y23" s="87"/>
      <c r="Z23" s="88"/>
      <c r="AA23" s="87"/>
      <c r="AB23" s="89"/>
      <c r="AC23" s="90"/>
      <c r="AD23" s="69"/>
      <c r="AE23" s="86"/>
      <c r="AF23" s="87"/>
      <c r="AG23" s="88"/>
      <c r="AH23" s="87"/>
      <c r="AI23" s="89"/>
      <c r="AJ23" s="90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</row>
    <row r="24" spans="1:49" x14ac:dyDescent="0.25">
      <c r="A24" s="1"/>
      <c r="B24" s="271" t="str">
        <f>IF(Rates!D262=$A$23,Rates!B262," ")</f>
        <v>Rate Rider ACM</v>
      </c>
      <c r="C24" s="78"/>
      <c r="D24" s="271" t="str">
        <f>IF(Rates!D262=$A$23,Rates!E262," ")</f>
        <v>connection</v>
      </c>
      <c r="E24" s="79"/>
      <c r="F24" s="80">
        <f>IF(Rates!$G$1="CND 2018",Rates!G262," ")</f>
        <v>0</v>
      </c>
      <c r="G24" s="439">
        <f>IF(D24="customer",1,IF(D24="kWh",$F$19,IF(D24="kW",$F$17,$G$23)))</f>
        <v>13000</v>
      </c>
      <c r="H24" s="82">
        <f t="shared" si="0"/>
        <v>0</v>
      </c>
      <c r="I24" s="83"/>
      <c r="J24" s="337">
        <f>IF(Rates!$L$1="E+ 2019",Rates!L262," ")</f>
        <v>0</v>
      </c>
      <c r="K24" s="439">
        <f>IF(D24="customer",1,IF(D24="kWh",$F$19,IF(D24="kW",$F$17,$G$23)))</f>
        <v>13000</v>
      </c>
      <c r="L24" s="82">
        <f t="shared" si="1"/>
        <v>0</v>
      </c>
      <c r="M24" s="83"/>
      <c r="N24" s="84">
        <f t="shared" si="2"/>
        <v>0</v>
      </c>
      <c r="O24" s="85" t="str">
        <f t="shared" ref="O24:O35" si="3">IF(OR(H24=0,L24=0),"",(N24/H24))</f>
        <v/>
      </c>
      <c r="Q24" s="86"/>
      <c r="R24" s="87"/>
      <c r="S24" s="88"/>
      <c r="T24" s="87"/>
      <c r="U24" s="89"/>
      <c r="V24" s="90"/>
      <c r="W24" s="69"/>
      <c r="X24" s="86"/>
      <c r="Y24" s="87"/>
      <c r="Z24" s="88"/>
      <c r="AA24" s="87"/>
      <c r="AB24" s="89"/>
      <c r="AC24" s="90"/>
      <c r="AD24" s="69"/>
      <c r="AE24" s="86"/>
      <c r="AF24" s="87"/>
      <c r="AG24" s="88"/>
      <c r="AH24" s="87"/>
      <c r="AI24" s="89"/>
      <c r="AJ24" s="90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</row>
    <row r="25" spans="1:49" s="94" customFormat="1" x14ac:dyDescent="0.25">
      <c r="A25" s="3"/>
      <c r="B25" s="271" t="str">
        <f>IF(Rates!D263=$A$23,Rates!B263," ")</f>
        <v>Distribution Volumetric Rate</v>
      </c>
      <c r="C25" s="78"/>
      <c r="D25" s="271" t="str">
        <f>IF(Rates!D263=$A$23,Rates!E263," ")</f>
        <v>kW</v>
      </c>
      <c r="E25" s="79"/>
      <c r="F25" s="235">
        <f>IF(Rates!$G$1="CND 2018",Rates!G263," ")</f>
        <v>16.365576399999998</v>
      </c>
      <c r="G25" s="439">
        <f t="shared" ref="G25:G33" si="4">IF(D25="customer",1,IF(D25="kWh",$F$19,IF(D25="kW",$F$17,$G$23)))</f>
        <v>700</v>
      </c>
      <c r="H25" s="82">
        <f t="shared" si="0"/>
        <v>11455.903479999999</v>
      </c>
      <c r="I25" s="91"/>
      <c r="J25" s="337">
        <f>IF(Rates!$L$1="E+ 2019",Rates!L263," ")</f>
        <v>13.3222</v>
      </c>
      <c r="K25" s="439">
        <f t="shared" ref="K25:K33" si="5">IF(D25="customer",1,IF(D25="kWh",$F$19,IF(D25="kW",$F$17,$G$23)))</f>
        <v>700</v>
      </c>
      <c r="L25" s="82">
        <f t="shared" si="1"/>
        <v>9325.5400000000009</v>
      </c>
      <c r="M25" s="91"/>
      <c r="N25" s="84">
        <f t="shared" si="2"/>
        <v>-2130.3634799999982</v>
      </c>
      <c r="O25" s="85">
        <f t="shared" si="3"/>
        <v>-0.18596206608402729</v>
      </c>
      <c r="Q25" s="95"/>
      <c r="R25" s="87"/>
      <c r="S25" s="88"/>
      <c r="T25" s="87"/>
      <c r="U25" s="89"/>
      <c r="V25" s="90"/>
      <c r="W25" s="69"/>
      <c r="X25" s="95"/>
      <c r="Y25" s="87"/>
      <c r="Z25" s="88"/>
      <c r="AA25" s="87"/>
      <c r="AB25" s="89"/>
      <c r="AC25" s="90"/>
      <c r="AD25" s="69"/>
      <c r="AE25" s="95"/>
      <c r="AF25" s="87"/>
      <c r="AG25" s="88"/>
      <c r="AH25" s="87"/>
      <c r="AI25" s="89"/>
      <c r="AJ25" s="90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</row>
    <row r="26" spans="1:49" s="94" customFormat="1" x14ac:dyDescent="0.25">
      <c r="A26" s="3"/>
      <c r="B26" s="271" t="str">
        <f>IF(Rates!D264=$A$23,Rates!B264," ")</f>
        <v>Rate Rider ACM</v>
      </c>
      <c r="C26" s="78"/>
      <c r="D26" s="271" t="str">
        <f>IF(Rates!D264=$A$23,Rates!E264," ")</f>
        <v>kW</v>
      </c>
      <c r="E26" s="79"/>
      <c r="F26" s="80">
        <f>IF(Rates!$G$1="CND 2018",Rates!G264," ")</f>
        <v>0</v>
      </c>
      <c r="G26" s="439">
        <f t="shared" si="4"/>
        <v>700</v>
      </c>
      <c r="H26" s="82">
        <f t="shared" si="0"/>
        <v>0</v>
      </c>
      <c r="I26" s="91"/>
      <c r="J26" s="337">
        <f>IF(Rates!$L$1="E+ 2019",Rates!L264," ")</f>
        <v>0</v>
      </c>
      <c r="K26" s="439">
        <f t="shared" si="5"/>
        <v>700</v>
      </c>
      <c r="L26" s="82">
        <f t="shared" si="1"/>
        <v>0</v>
      </c>
      <c r="M26" s="91"/>
      <c r="N26" s="84">
        <f t="shared" si="2"/>
        <v>0</v>
      </c>
      <c r="O26" s="85" t="str">
        <f t="shared" si="3"/>
        <v/>
      </c>
      <c r="Q26" s="95"/>
      <c r="R26" s="87"/>
      <c r="S26" s="88"/>
      <c r="T26" s="87"/>
      <c r="U26" s="89"/>
      <c r="V26" s="90"/>
      <c r="W26" s="69"/>
      <c r="X26" s="95"/>
      <c r="Y26" s="87"/>
      <c r="Z26" s="88"/>
      <c r="AA26" s="87"/>
      <c r="AB26" s="89"/>
      <c r="AC26" s="90"/>
      <c r="AD26" s="69"/>
      <c r="AE26" s="95"/>
      <c r="AF26" s="87"/>
      <c r="AG26" s="88"/>
      <c r="AH26" s="87"/>
      <c r="AI26" s="89"/>
      <c r="AJ26" s="90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</row>
    <row r="27" spans="1:49" ht="28.5" x14ac:dyDescent="0.25">
      <c r="A27" s="3"/>
      <c r="B27" s="271" t="str">
        <f>IF(Rates!D265=$A$23,Rates!B265," ")</f>
        <v>Rate Rider for Disposition of Account 1575 and 1576</v>
      </c>
      <c r="C27" s="78"/>
      <c r="D27" s="271" t="str">
        <f>IF(Rates!D265=$A$23,Rates!E265," ")</f>
        <v>connection</v>
      </c>
      <c r="E27" s="79"/>
      <c r="F27" s="80">
        <f>IF(Rates!$G$1="CND 2018",Rates!G265," ")</f>
        <v>0</v>
      </c>
      <c r="G27" s="439">
        <f t="shared" si="4"/>
        <v>13000</v>
      </c>
      <c r="H27" s="82">
        <f t="shared" si="0"/>
        <v>0</v>
      </c>
      <c r="I27" s="83"/>
      <c r="J27" s="337">
        <f>IF(Rates!$L$1="E+ 2019",Rates!L265," ")</f>
        <v>0</v>
      </c>
      <c r="K27" s="439">
        <f t="shared" si="5"/>
        <v>13000</v>
      </c>
      <c r="L27" s="82">
        <f t="shared" si="1"/>
        <v>0</v>
      </c>
      <c r="M27" s="83"/>
      <c r="N27" s="84">
        <f t="shared" si="2"/>
        <v>0</v>
      </c>
      <c r="O27" s="85" t="str">
        <f t="shared" si="3"/>
        <v/>
      </c>
      <c r="Q27" s="86"/>
      <c r="R27" s="87"/>
      <c r="S27" s="88"/>
      <c r="T27" s="87"/>
      <c r="U27" s="89"/>
      <c r="V27" s="90"/>
      <c r="W27" s="69"/>
      <c r="X27" s="86"/>
      <c r="Y27" s="87"/>
      <c r="Z27" s="88"/>
      <c r="AA27" s="87"/>
      <c r="AB27" s="89"/>
      <c r="AC27" s="90"/>
      <c r="AD27" s="69"/>
      <c r="AE27" s="86"/>
      <c r="AF27" s="87"/>
      <c r="AG27" s="88"/>
      <c r="AH27" s="87"/>
      <c r="AI27" s="89"/>
      <c r="AJ27" s="90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</row>
    <row r="28" spans="1:49" ht="28.5" x14ac:dyDescent="0.25">
      <c r="A28" s="3"/>
      <c r="B28" s="271" t="str">
        <f>IF(Rates!D266=$A$23,Rates!B266," ")</f>
        <v>Rate Rider for Disposition of Account 1575 and 1576</v>
      </c>
      <c r="C28" s="78"/>
      <c r="D28" s="271" t="str">
        <f>IF(Rates!D266=$A$23,Rates!E266," ")</f>
        <v>kW</v>
      </c>
      <c r="E28" s="79"/>
      <c r="F28" s="80">
        <f>IF(Rates!$G$1="CND 2018",Rates!G266," ")</f>
        <v>0</v>
      </c>
      <c r="G28" s="439">
        <f t="shared" si="4"/>
        <v>700</v>
      </c>
      <c r="H28" s="82">
        <f t="shared" si="0"/>
        <v>0</v>
      </c>
      <c r="I28" s="83"/>
      <c r="J28" s="337">
        <f>IF(Rates!$L$1="E+ 2019",Rates!L266," ")</f>
        <v>-0.11148641488901773</v>
      </c>
      <c r="K28" s="439">
        <f t="shared" si="5"/>
        <v>700</v>
      </c>
      <c r="L28" s="82">
        <f t="shared" si="1"/>
        <v>-78.040490422312402</v>
      </c>
      <c r="M28" s="83"/>
      <c r="N28" s="84">
        <f t="shared" si="2"/>
        <v>-78.040490422312402</v>
      </c>
      <c r="O28" s="85" t="str">
        <f t="shared" si="3"/>
        <v/>
      </c>
      <c r="Q28" s="119"/>
      <c r="R28" s="87"/>
      <c r="S28" s="88"/>
      <c r="T28" s="87"/>
      <c r="U28" s="89"/>
      <c r="V28" s="90"/>
      <c r="W28" s="69"/>
      <c r="X28" s="119"/>
      <c r="Y28" s="87"/>
      <c r="Z28" s="88"/>
      <c r="AA28" s="87"/>
      <c r="AB28" s="89"/>
      <c r="AC28" s="90"/>
      <c r="AD28" s="69"/>
      <c r="AE28" s="119"/>
      <c r="AF28" s="87"/>
      <c r="AG28" s="88"/>
      <c r="AH28" s="87"/>
      <c r="AI28" s="89"/>
      <c r="AJ28" s="90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</row>
    <row r="29" spans="1:49" ht="28.5" x14ac:dyDescent="0.25">
      <c r="A29" s="3"/>
      <c r="B29" s="271" t="str">
        <f>IF(Rates!D267=$A$23,Rates!B267," ")</f>
        <v>Rate Rider for Disposition of Account 1575 and 1576</v>
      </c>
      <c r="C29" s="78"/>
      <c r="D29" s="271" t="str">
        <f>IF(Rates!D267=$A$23,Rates!E267," ")</f>
        <v>connection</v>
      </c>
      <c r="E29" s="79"/>
      <c r="F29" s="80">
        <f>IF(Rates!$G$1="CND 2018",Rates!G267," ")</f>
        <v>0</v>
      </c>
      <c r="G29" s="439">
        <f t="shared" si="4"/>
        <v>13000</v>
      </c>
      <c r="H29" s="82">
        <f t="shared" si="0"/>
        <v>0</v>
      </c>
      <c r="I29" s="83"/>
      <c r="J29" s="337">
        <f>IF(Rates!$L$1="E+ 2019",Rates!L267," ")</f>
        <v>0</v>
      </c>
      <c r="K29" s="439">
        <f t="shared" si="5"/>
        <v>13000</v>
      </c>
      <c r="L29" s="82">
        <f t="shared" si="1"/>
        <v>0</v>
      </c>
      <c r="M29" s="83"/>
      <c r="N29" s="84">
        <f t="shared" si="2"/>
        <v>0</v>
      </c>
      <c r="O29" s="85" t="str">
        <f t="shared" si="3"/>
        <v/>
      </c>
      <c r="Q29" s="119"/>
      <c r="R29" s="87"/>
      <c r="S29" s="88"/>
      <c r="T29" s="87"/>
      <c r="U29" s="89"/>
      <c r="V29" s="90"/>
      <c r="W29" s="69"/>
      <c r="X29" s="119"/>
      <c r="Y29" s="87"/>
      <c r="Z29" s="88"/>
      <c r="AA29" s="87"/>
      <c r="AB29" s="89"/>
      <c r="AC29" s="90"/>
      <c r="AD29" s="69"/>
      <c r="AE29" s="119"/>
      <c r="AF29" s="87"/>
      <c r="AG29" s="88"/>
      <c r="AH29" s="87"/>
      <c r="AI29" s="89"/>
      <c r="AJ29" s="90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</row>
    <row r="30" spans="1:49" s="94" customFormat="1" ht="28.5" x14ac:dyDescent="0.25">
      <c r="A30" s="99"/>
      <c r="B30" s="271" t="str">
        <f>IF(Rates!D268=$A$23,Rates!B268," ")</f>
        <v>Rate Rider for Disposition of Account 1575 and 1576</v>
      </c>
      <c r="C30" s="78"/>
      <c r="D30" s="271" t="str">
        <f>IF(Rates!D268=$A$23,Rates!E268," ")</f>
        <v>kW</v>
      </c>
      <c r="E30" s="79"/>
      <c r="F30" s="80">
        <f>IF(Rates!$G$1="CND 2018",Rates!G268," ")</f>
        <v>0</v>
      </c>
      <c r="G30" s="439">
        <f t="shared" si="4"/>
        <v>700</v>
      </c>
      <c r="H30" s="82">
        <f t="shared" si="0"/>
        <v>0</v>
      </c>
      <c r="I30" s="91"/>
      <c r="J30" s="337">
        <f>IF(Rates!$L$1="E+ 2019",Rates!L268," ")</f>
        <v>0</v>
      </c>
      <c r="K30" s="439">
        <f t="shared" si="5"/>
        <v>700</v>
      </c>
      <c r="L30" s="82">
        <f t="shared" si="1"/>
        <v>0</v>
      </c>
      <c r="M30" s="91"/>
      <c r="N30" s="84">
        <f t="shared" si="2"/>
        <v>0</v>
      </c>
      <c r="O30" s="85" t="str">
        <f t="shared" si="3"/>
        <v/>
      </c>
      <c r="Q30" s="119"/>
      <c r="R30" s="87"/>
      <c r="S30" s="88"/>
      <c r="T30" s="87"/>
      <c r="U30" s="89"/>
      <c r="V30" s="90"/>
      <c r="W30" s="69"/>
      <c r="X30" s="119"/>
      <c r="Y30" s="87"/>
      <c r="Z30" s="88"/>
      <c r="AA30" s="87"/>
      <c r="AB30" s="89"/>
      <c r="AC30" s="90"/>
      <c r="AD30" s="69"/>
      <c r="AE30" s="119"/>
      <c r="AF30" s="87"/>
      <c r="AG30" s="88"/>
      <c r="AH30" s="87"/>
      <c r="AI30" s="89"/>
      <c r="AJ30" s="90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</row>
    <row r="31" spans="1:49" s="94" customFormat="1" x14ac:dyDescent="0.25">
      <c r="A31" s="3"/>
      <c r="B31" s="271" t="str">
        <f>IF(Rates!D269=$A$23,Rates!B269," ")</f>
        <v>Rate Rider for LRAMVA</v>
      </c>
      <c r="C31" s="78"/>
      <c r="D31" s="271" t="str">
        <f>IF(Rates!D269=$A$23,Rates!E269," ")</f>
        <v>kW</v>
      </c>
      <c r="E31" s="79"/>
      <c r="F31" s="80">
        <f>IF(Rates!$G$1="CND 2018",Rates!G269," ")</f>
        <v>0</v>
      </c>
      <c r="G31" s="439">
        <f t="shared" si="4"/>
        <v>700</v>
      </c>
      <c r="H31" s="82">
        <f t="shared" si="0"/>
        <v>0</v>
      </c>
      <c r="I31" s="91"/>
      <c r="J31" s="337">
        <f>IF(Rates!$L$1="E+ 2019",Rates!L269," ")</f>
        <v>3.7322156582669548</v>
      </c>
      <c r="K31" s="439">
        <f t="shared" si="5"/>
        <v>700</v>
      </c>
      <c r="L31" s="82">
        <f t="shared" si="1"/>
        <v>2612.5509607868685</v>
      </c>
      <c r="M31" s="91"/>
      <c r="N31" s="84">
        <f t="shared" si="2"/>
        <v>2612.5509607868685</v>
      </c>
      <c r="O31" s="85" t="str">
        <f t="shared" si="3"/>
        <v/>
      </c>
      <c r="Q31" s="119"/>
      <c r="R31" s="87"/>
      <c r="S31" s="88"/>
      <c r="T31" s="87"/>
      <c r="U31" s="89"/>
      <c r="V31" s="90"/>
      <c r="W31" s="69"/>
      <c r="X31" s="119"/>
      <c r="Y31" s="87"/>
      <c r="Z31" s="88"/>
      <c r="AA31" s="87"/>
      <c r="AB31" s="89"/>
      <c r="AC31" s="90"/>
      <c r="AD31" s="69"/>
      <c r="AE31" s="119"/>
      <c r="AF31" s="87"/>
      <c r="AG31" s="88"/>
      <c r="AH31" s="87"/>
      <c r="AI31" s="89"/>
      <c r="AJ31" s="90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</row>
    <row r="32" spans="1:49" x14ac:dyDescent="0.25">
      <c r="A32" s="3"/>
      <c r="B32" s="271" t="str">
        <f>IF(Rates!D270=$A$23,Rates!B270," ")</f>
        <v>Other Fixed</v>
      </c>
      <c r="C32" s="78"/>
      <c r="D32" s="271" t="str">
        <f>IF(Rates!D270=$A$23,Rates!E270," ")</f>
        <v>connection</v>
      </c>
      <c r="E32" s="79"/>
      <c r="F32" s="80">
        <f>IF(Rates!$G$1="CND 2018",Rates!G270," ")</f>
        <v>0</v>
      </c>
      <c r="G32" s="439">
        <f t="shared" si="4"/>
        <v>13000</v>
      </c>
      <c r="H32" s="82">
        <f t="shared" si="0"/>
        <v>0</v>
      </c>
      <c r="I32" s="83"/>
      <c r="J32" s="337">
        <f>IF(Rates!$L$1="E+ 2019",Rates!L270," ")</f>
        <v>0</v>
      </c>
      <c r="K32" s="439">
        <f t="shared" si="5"/>
        <v>13000</v>
      </c>
      <c r="L32" s="82">
        <f t="shared" si="1"/>
        <v>0</v>
      </c>
      <c r="M32" s="83"/>
      <c r="N32" s="84">
        <f t="shared" si="2"/>
        <v>0</v>
      </c>
      <c r="O32" s="85" t="str">
        <f t="shared" si="3"/>
        <v/>
      </c>
      <c r="Q32" s="98"/>
      <c r="R32" s="87"/>
      <c r="S32" s="88"/>
      <c r="T32" s="87"/>
      <c r="U32" s="89"/>
      <c r="V32" s="90"/>
      <c r="W32" s="69"/>
      <c r="X32" s="98"/>
      <c r="Y32" s="87"/>
      <c r="Z32" s="88"/>
      <c r="AA32" s="87"/>
      <c r="AB32" s="89"/>
      <c r="AC32" s="90"/>
      <c r="AD32" s="69"/>
      <c r="AE32" s="98"/>
      <c r="AF32" s="87"/>
      <c r="AG32" s="88"/>
      <c r="AH32" s="87"/>
      <c r="AI32" s="89"/>
      <c r="AJ32" s="90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</row>
    <row r="33" spans="1:49" x14ac:dyDescent="0.25">
      <c r="A33" s="3"/>
      <c r="B33" s="271" t="str">
        <f>IF(Rates!D271=$A$23,Rates!B271," ")</f>
        <v>Other Volumetric</v>
      </c>
      <c r="C33" s="78"/>
      <c r="D33" s="271" t="str">
        <f>IF(Rates!D271=$A$23,Rates!E271," ")</f>
        <v>kW</v>
      </c>
      <c r="E33" s="79"/>
      <c r="F33" s="80">
        <f>IF(Rates!$G$1="CND 2018",Rates!G271," ")</f>
        <v>0</v>
      </c>
      <c r="G33" s="439">
        <f t="shared" si="4"/>
        <v>700</v>
      </c>
      <c r="H33" s="82">
        <f t="shared" si="0"/>
        <v>0</v>
      </c>
      <c r="I33" s="83"/>
      <c r="J33" s="337">
        <f>IF(Rates!$L$1="E+ 2019",Rates!L271," ")</f>
        <v>0</v>
      </c>
      <c r="K33" s="439">
        <f t="shared" si="5"/>
        <v>700</v>
      </c>
      <c r="L33" s="82">
        <f t="shared" si="1"/>
        <v>0</v>
      </c>
      <c r="M33" s="83"/>
      <c r="N33" s="84">
        <f t="shared" si="2"/>
        <v>0</v>
      </c>
      <c r="O33" s="85" t="str">
        <f t="shared" si="3"/>
        <v/>
      </c>
      <c r="Q33" s="98"/>
      <c r="R33" s="87"/>
      <c r="S33" s="88"/>
      <c r="T33" s="87"/>
      <c r="U33" s="89"/>
      <c r="V33" s="90"/>
      <c r="W33" s="69"/>
      <c r="X33" s="98"/>
      <c r="Y33" s="87"/>
      <c r="Z33" s="88"/>
      <c r="AA33" s="87"/>
      <c r="AB33" s="89"/>
      <c r="AC33" s="90"/>
      <c r="AD33" s="69"/>
      <c r="AE33" s="98"/>
      <c r="AF33" s="87"/>
      <c r="AG33" s="88"/>
      <c r="AH33" s="87"/>
      <c r="AI33" s="89"/>
      <c r="AJ33" s="90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</row>
    <row r="34" spans="1:49" x14ac:dyDescent="0.25">
      <c r="A34" s="3"/>
      <c r="B34" s="271" t="str">
        <f>IF(Rates!D272=$A$23,Rates!B272," ")</f>
        <v>Rate Rider for gain on Sale of Property</v>
      </c>
      <c r="C34" s="78"/>
      <c r="D34" s="271" t="str">
        <f>IF(Rates!D272=$A$23,Rates!E272," ")</f>
        <v>kW</v>
      </c>
      <c r="E34" s="79"/>
      <c r="F34" s="80">
        <f>IF(Rates!$G$1="CND 2018",Rates!G272," ")</f>
        <v>0</v>
      </c>
      <c r="G34" s="439">
        <f t="shared" ref="G34" si="6">IF(D34="customer",1,IF(D34="kWh",$F$19,IF(D34="kW",$F$17,$G$23)))</f>
        <v>700</v>
      </c>
      <c r="H34" s="82">
        <f t="shared" ref="H34" si="7">G34*F34</f>
        <v>0</v>
      </c>
      <c r="I34" s="83"/>
      <c r="J34" s="337">
        <f>IF(Rates!$L$1="E+ 2019",Rates!L272," ")</f>
        <v>-8.5581089409800692E-2</v>
      </c>
      <c r="K34" s="439">
        <f t="shared" ref="K34" si="8">IF(D34="customer",1,IF(D34="kWh",$F$19,IF(D34="kW",$F$17,$G$23)))</f>
        <v>700</v>
      </c>
      <c r="L34" s="82">
        <f t="shared" ref="L34" si="9">K34*J34</f>
        <v>-59.906762586860488</v>
      </c>
      <c r="M34" s="83"/>
      <c r="N34" s="84">
        <f t="shared" ref="N34" si="10">L34-H34</f>
        <v>-59.906762586860488</v>
      </c>
      <c r="O34" s="85" t="str">
        <f t="shared" ref="O34" si="11">IF(OR(H34=0,L34=0),"",(N34/H34))</f>
        <v/>
      </c>
      <c r="Q34" s="98"/>
      <c r="R34" s="87"/>
      <c r="S34" s="88"/>
      <c r="T34" s="87"/>
      <c r="U34" s="89"/>
      <c r="V34" s="90"/>
      <c r="W34" s="69"/>
      <c r="X34" s="98"/>
      <c r="Y34" s="87"/>
      <c r="Z34" s="88"/>
      <c r="AA34" s="87"/>
      <c r="AB34" s="89"/>
      <c r="AC34" s="90"/>
      <c r="AD34" s="69"/>
      <c r="AE34" s="98"/>
      <c r="AF34" s="87"/>
      <c r="AG34" s="88"/>
      <c r="AH34" s="87"/>
      <c r="AI34" s="89"/>
      <c r="AJ34" s="90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</row>
    <row r="35" spans="1:49" hidden="1" x14ac:dyDescent="0.25">
      <c r="A35" s="3"/>
      <c r="B35" s="271"/>
      <c r="C35" s="78"/>
      <c r="D35" s="271"/>
      <c r="E35" s="79"/>
      <c r="F35" s="80"/>
      <c r="G35" s="439"/>
      <c r="H35" s="82">
        <f t="shared" si="0"/>
        <v>0</v>
      </c>
      <c r="I35" s="83"/>
      <c r="J35" s="337"/>
      <c r="K35" s="439"/>
      <c r="L35" s="82">
        <f t="shared" si="1"/>
        <v>0</v>
      </c>
      <c r="M35" s="83"/>
      <c r="N35" s="84">
        <f t="shared" si="2"/>
        <v>0</v>
      </c>
      <c r="O35" s="85" t="str">
        <f t="shared" si="3"/>
        <v/>
      </c>
      <c r="Q35" s="98"/>
      <c r="R35" s="87"/>
      <c r="S35" s="88"/>
      <c r="T35" s="87"/>
      <c r="U35" s="89"/>
      <c r="V35" s="90"/>
      <c r="W35" s="69"/>
      <c r="X35" s="98"/>
      <c r="Y35" s="87"/>
      <c r="Z35" s="88"/>
      <c r="AA35" s="87"/>
      <c r="AB35" s="89"/>
      <c r="AC35" s="90"/>
      <c r="AD35" s="69"/>
      <c r="AE35" s="98"/>
      <c r="AF35" s="87"/>
      <c r="AG35" s="88"/>
      <c r="AH35" s="87"/>
      <c r="AI35" s="89"/>
      <c r="AJ35" s="90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</row>
    <row r="36" spans="1:49" x14ac:dyDescent="0.25">
      <c r="A36" s="3"/>
      <c r="B36" s="109" t="s">
        <v>64</v>
      </c>
      <c r="C36" s="110"/>
      <c r="D36" s="110"/>
      <c r="E36" s="110"/>
      <c r="F36" s="111"/>
      <c r="G36" s="446"/>
      <c r="H36" s="113">
        <f>SUM(H23:H35)</f>
        <v>44773.083479999994</v>
      </c>
      <c r="I36" s="114"/>
      <c r="J36" s="115"/>
      <c r="K36" s="447"/>
      <c r="L36" s="113">
        <f>SUM(L23:L35)</f>
        <v>33304.743707777692</v>
      </c>
      <c r="M36" s="114"/>
      <c r="N36" s="117">
        <f t="shared" si="2"/>
        <v>-11468.339772222302</v>
      </c>
      <c r="O36" s="118">
        <f>IF(OR(H36=0, L36=0),"",(N36/H36))</f>
        <v>-0.25614362203454616</v>
      </c>
      <c r="Q36" s="119"/>
      <c r="R36" s="120"/>
      <c r="S36" s="88"/>
      <c r="T36" s="87"/>
      <c r="U36" s="121"/>
      <c r="V36" s="122"/>
      <c r="W36" s="69"/>
      <c r="X36" s="119"/>
      <c r="Y36" s="120"/>
      <c r="Z36" s="88"/>
      <c r="AA36" s="87"/>
      <c r="AB36" s="121"/>
      <c r="AC36" s="122"/>
      <c r="AD36" s="69"/>
      <c r="AE36" s="119"/>
      <c r="AF36" s="120"/>
      <c r="AG36" s="88"/>
      <c r="AH36" s="87"/>
      <c r="AI36" s="121"/>
      <c r="AJ36" s="122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</row>
    <row r="37" spans="1:49" x14ac:dyDescent="0.25">
      <c r="A37" s="5" t="s">
        <v>18</v>
      </c>
      <c r="B37" s="271" t="str">
        <f>IF(Rates!D273=$A$37,Rates!B273," ")</f>
        <v>Low Voltage Service Rate</v>
      </c>
      <c r="C37" s="78"/>
      <c r="D37" s="271" t="str">
        <f>IF(Rates!D273=$A$37,Rates!E273," ")</f>
        <v>kW</v>
      </c>
      <c r="E37" s="79"/>
      <c r="F37" s="337">
        <f>IF(Rates!$G$1="CND 2018",Rates!G273," ")</f>
        <v>2.7E-2</v>
      </c>
      <c r="G37" s="439">
        <f t="shared" ref="G37:G51" si="12">IF(D37="customer",1,IF(D37="kWh",$F$19,IF(D37="kW",$F$17,$G$23)))</f>
        <v>700</v>
      </c>
      <c r="H37" s="126">
        <f>G37*F37</f>
        <v>18.899999999999999</v>
      </c>
      <c r="I37" s="399"/>
      <c r="J37" s="337">
        <f>IF(Rates!$L$1="E+ 2019",Rates!L273," ")</f>
        <v>0.1158</v>
      </c>
      <c r="K37" s="439">
        <f t="shared" ref="K37:K51" si="13">IF(D37="customer",1,IF(D37="kWh",$F$19,IF(D37="kW",$F$17,$G$23)))</f>
        <v>700</v>
      </c>
      <c r="L37" s="82">
        <f t="shared" si="1"/>
        <v>81.06</v>
      </c>
      <c r="M37" s="406"/>
      <c r="N37" s="84">
        <f t="shared" si="2"/>
        <v>62.160000000000004</v>
      </c>
      <c r="O37" s="338">
        <f t="shared" ref="O37:O44" si="14">IF(OR(H37=0,L37=0),"",(N37/H37))</f>
        <v>3.2888888888888892</v>
      </c>
      <c r="Q37" s="119"/>
      <c r="R37" s="87"/>
      <c r="S37" s="88"/>
      <c r="T37" s="87"/>
      <c r="U37" s="89"/>
      <c r="V37" s="90"/>
      <c r="W37" s="69"/>
      <c r="X37" s="119"/>
      <c r="Y37" s="87"/>
      <c r="Z37" s="88"/>
      <c r="AA37" s="87"/>
      <c r="AB37" s="89"/>
      <c r="AC37" s="90"/>
      <c r="AD37" s="69"/>
      <c r="AE37" s="119"/>
      <c r="AF37" s="87"/>
      <c r="AG37" s="88"/>
      <c r="AH37" s="87"/>
      <c r="AI37" s="89"/>
      <c r="AJ37" s="90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</row>
    <row r="38" spans="1:49" x14ac:dyDescent="0.25">
      <c r="A38" s="1"/>
      <c r="B38" s="124" t="s">
        <v>116</v>
      </c>
      <c r="C38" s="78"/>
      <c r="D38" s="271" t="s">
        <v>13</v>
      </c>
      <c r="E38" s="79"/>
      <c r="F38" s="337">
        <v>0</v>
      </c>
      <c r="G38" s="439"/>
      <c r="H38" s="126">
        <f t="shared" ref="H38:H44" si="15">G38*F38</f>
        <v>0</v>
      </c>
      <c r="I38" s="83"/>
      <c r="J38" s="337"/>
      <c r="K38" s="439"/>
      <c r="L38" s="82">
        <f t="shared" si="1"/>
        <v>0</v>
      </c>
      <c r="M38" s="83"/>
      <c r="N38" s="84">
        <f t="shared" si="2"/>
        <v>0</v>
      </c>
      <c r="O38" s="85" t="str">
        <f t="shared" si="14"/>
        <v/>
      </c>
      <c r="Q38" s="128"/>
      <c r="R38" s="129"/>
      <c r="S38" s="88"/>
      <c r="T38" s="87"/>
      <c r="U38" s="89"/>
      <c r="V38" s="90"/>
      <c r="W38" s="69"/>
      <c r="X38" s="128"/>
      <c r="Y38" s="129"/>
      <c r="Z38" s="88"/>
      <c r="AA38" s="87"/>
      <c r="AB38" s="89"/>
      <c r="AC38" s="90"/>
      <c r="AD38" s="69"/>
      <c r="AE38" s="128"/>
      <c r="AF38" s="129"/>
      <c r="AG38" s="88"/>
      <c r="AH38" s="87"/>
      <c r="AI38" s="89"/>
      <c r="AJ38" s="90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</row>
    <row r="39" spans="1:49" x14ac:dyDescent="0.25">
      <c r="A39" s="130"/>
      <c r="B39" s="271" t="str">
        <f>IF(Rates!D274=$A$37,Rates!B274," ")</f>
        <v>Rate Rider Other Fixed</v>
      </c>
      <c r="C39" s="78"/>
      <c r="D39" s="271" t="str">
        <f>IF(Rates!D274=$A$37,Rates!E274," ")</f>
        <v>connection</v>
      </c>
      <c r="E39" s="79"/>
      <c r="F39" s="337">
        <f>IF(Rates!$G$1="CND 2018",Rates!G274," ")</f>
        <v>0</v>
      </c>
      <c r="G39" s="439">
        <f t="shared" si="12"/>
        <v>13000</v>
      </c>
      <c r="H39" s="126">
        <f t="shared" si="15"/>
        <v>0</v>
      </c>
      <c r="I39" s="83"/>
      <c r="J39" s="337">
        <f>IF(Rates!$L$1="E+ 2019",Rates!L274," ")</f>
        <v>0</v>
      </c>
      <c r="K39" s="439">
        <f t="shared" si="13"/>
        <v>13000</v>
      </c>
      <c r="L39" s="82">
        <f t="shared" si="1"/>
        <v>0</v>
      </c>
      <c r="M39" s="83"/>
      <c r="N39" s="84">
        <f t="shared" si="2"/>
        <v>0</v>
      </c>
      <c r="O39" s="85" t="str">
        <f t="shared" si="14"/>
        <v/>
      </c>
      <c r="Q39" s="119"/>
      <c r="R39" s="87"/>
      <c r="S39" s="88"/>
      <c r="T39" s="87"/>
      <c r="U39" s="89"/>
      <c r="V39" s="90"/>
      <c r="W39" s="69"/>
      <c r="X39" s="119"/>
      <c r="Y39" s="87"/>
      <c r="Z39" s="88"/>
      <c r="AA39" s="87"/>
      <c r="AB39" s="89"/>
      <c r="AC39" s="90"/>
      <c r="AD39" s="69"/>
      <c r="AE39" s="119"/>
      <c r="AF39" s="87"/>
      <c r="AG39" s="88"/>
      <c r="AH39" s="87"/>
      <c r="AI39" s="89"/>
      <c r="AJ39" s="90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</row>
    <row r="40" spans="1:49" x14ac:dyDescent="0.25">
      <c r="A40" s="130"/>
      <c r="B40" s="271" t="str">
        <f>IF(Rates!D275=$A$37,Rates!B275," ")</f>
        <v>Rate Rider Other Volumetric</v>
      </c>
      <c r="C40" s="78"/>
      <c r="D40" s="271" t="str">
        <f>IF(Rates!D275=$A$37,Rates!E275," ")</f>
        <v>kW</v>
      </c>
      <c r="E40" s="79"/>
      <c r="F40" s="337">
        <f>IF(Rates!$G$1="CND 2018",Rates!G275," ")</f>
        <v>0</v>
      </c>
      <c r="G40" s="439">
        <f t="shared" si="12"/>
        <v>700</v>
      </c>
      <c r="H40" s="126">
        <f t="shared" si="15"/>
        <v>0</v>
      </c>
      <c r="I40" s="83"/>
      <c r="J40" s="337">
        <f>IF(Rates!$L$1="E+ 2019",Rates!L275," ")</f>
        <v>2.5290505024030185</v>
      </c>
      <c r="K40" s="439">
        <f t="shared" si="13"/>
        <v>700</v>
      </c>
      <c r="L40" s="82">
        <f t="shared" si="1"/>
        <v>1770.335351682113</v>
      </c>
      <c r="M40" s="83"/>
      <c r="N40" s="84">
        <f t="shared" si="2"/>
        <v>1770.335351682113</v>
      </c>
      <c r="O40" s="85" t="str">
        <f t="shared" si="14"/>
        <v/>
      </c>
      <c r="Q40" s="119"/>
      <c r="R40" s="87"/>
      <c r="S40" s="88"/>
      <c r="T40" s="87"/>
      <c r="U40" s="89"/>
      <c r="V40" s="90"/>
      <c r="W40" s="69"/>
      <c r="X40" s="119"/>
      <c r="Y40" s="87"/>
      <c r="Z40" s="88"/>
      <c r="AA40" s="87"/>
      <c r="AB40" s="89"/>
      <c r="AC40" s="90"/>
      <c r="AD40" s="69"/>
      <c r="AE40" s="119"/>
      <c r="AF40" s="87"/>
      <c r="AG40" s="88"/>
      <c r="AH40" s="87"/>
      <c r="AI40" s="89"/>
      <c r="AJ40" s="90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</row>
    <row r="41" spans="1:49" x14ac:dyDescent="0.25">
      <c r="A41" s="130"/>
      <c r="B41" s="271" t="str">
        <f>IF(Rates!D276=$A$37,Rates!B276," ")</f>
        <v>Rate Rider Other Volumetric</v>
      </c>
      <c r="C41" s="78"/>
      <c r="D41" s="271" t="str">
        <f>IF(Rates!D276=$A$37,Rates!E276," ")</f>
        <v>kW</v>
      </c>
      <c r="E41" s="79"/>
      <c r="F41" s="337">
        <f>IF(Rates!$G$1="CND 2018",Rates!G276," ")</f>
        <v>0</v>
      </c>
      <c r="G41" s="439">
        <f t="shared" si="12"/>
        <v>700</v>
      </c>
      <c r="H41" s="126">
        <f t="shared" si="15"/>
        <v>0</v>
      </c>
      <c r="I41" s="83"/>
      <c r="J41" s="337">
        <f>IF(Rates!$L$1="E+ 2019",Rates!L276," ")</f>
        <v>0</v>
      </c>
      <c r="K41" s="439">
        <f t="shared" si="13"/>
        <v>700</v>
      </c>
      <c r="L41" s="82">
        <f t="shared" si="1"/>
        <v>0</v>
      </c>
      <c r="M41" s="83"/>
      <c r="N41" s="84">
        <f t="shared" si="2"/>
        <v>0</v>
      </c>
      <c r="O41" s="85" t="str">
        <f t="shared" si="14"/>
        <v/>
      </c>
      <c r="Q41" s="119"/>
      <c r="R41" s="87"/>
      <c r="S41" s="88"/>
      <c r="T41" s="87"/>
      <c r="U41" s="89"/>
      <c r="V41" s="90"/>
      <c r="W41" s="69"/>
      <c r="X41" s="119"/>
      <c r="Y41" s="87"/>
      <c r="Z41" s="88"/>
      <c r="AA41" s="87"/>
      <c r="AB41" s="89"/>
      <c r="AC41" s="90"/>
      <c r="AD41" s="69"/>
      <c r="AE41" s="119"/>
      <c r="AF41" s="87"/>
      <c r="AG41" s="88"/>
      <c r="AH41" s="87"/>
      <c r="AI41" s="89"/>
      <c r="AJ41" s="90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</row>
    <row r="42" spans="1:49" ht="28.5" x14ac:dyDescent="0.25">
      <c r="A42" s="1"/>
      <c r="B42" s="271" t="str">
        <f>IF(Rates!D277=$A$37,Rates!B277," ")</f>
        <v xml:space="preserve">Rate Rider for Disposition of Deferral/Variance Accounts </v>
      </c>
      <c r="C42" s="78"/>
      <c r="D42" s="271" t="str">
        <f>IF(Rates!D277=$A$37,Rates!E277," ")</f>
        <v>kW</v>
      </c>
      <c r="E42" s="79"/>
      <c r="F42" s="337">
        <f>IF(Rates!$G$1="CND 2018",Rates!G277," ")</f>
        <v>-2.2406831535474727</v>
      </c>
      <c r="G42" s="439">
        <f t="shared" si="12"/>
        <v>700</v>
      </c>
      <c r="H42" s="126">
        <f t="shared" si="15"/>
        <v>-1568.4782074832308</v>
      </c>
      <c r="I42" s="83"/>
      <c r="J42" s="337">
        <f>IF(Rates!$L$1="E+ 2019",Rates!L277," ")</f>
        <v>-0.5787149525275801</v>
      </c>
      <c r="K42" s="439">
        <f t="shared" si="13"/>
        <v>700</v>
      </c>
      <c r="L42" s="82">
        <f t="shared" si="1"/>
        <v>-405.10046676930608</v>
      </c>
      <c r="M42" s="83"/>
      <c r="N42" s="84">
        <f t="shared" si="2"/>
        <v>1163.3777407139246</v>
      </c>
      <c r="O42" s="85">
        <f t="shared" si="14"/>
        <v>-0.74172387933949835</v>
      </c>
      <c r="Q42" s="128"/>
      <c r="R42" s="129"/>
      <c r="S42" s="88"/>
      <c r="T42" s="87"/>
      <c r="U42" s="89"/>
      <c r="V42" s="90"/>
      <c r="W42" s="69"/>
      <c r="X42" s="128"/>
      <c r="Y42" s="129"/>
      <c r="Z42" s="88"/>
      <c r="AA42" s="87"/>
      <c r="AB42" s="89"/>
      <c r="AC42" s="90"/>
      <c r="AD42" s="69"/>
      <c r="AE42" s="128"/>
      <c r="AF42" s="129"/>
      <c r="AG42" s="88"/>
      <c r="AH42" s="87"/>
      <c r="AI42" s="89"/>
      <c r="AJ42" s="90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</row>
    <row r="43" spans="1:49" ht="28.5" x14ac:dyDescent="0.25">
      <c r="A43" s="1"/>
      <c r="B43" s="271" t="str">
        <f>IF(Rates!D278=$A$37,Rates!B278," ")</f>
        <v>Rate Rider for Disposition of Deferral/Variance Accounts Non-WMP Customers</v>
      </c>
      <c r="C43" s="78"/>
      <c r="D43" s="271" t="str">
        <f>IF(Rates!D278=$A$37,Rates!E278," ")</f>
        <v>kW</v>
      </c>
      <c r="E43" s="79"/>
      <c r="F43" s="337">
        <f>IF(Rates!$G$1="CND 2018",Rates!G278," ")</f>
        <v>0</v>
      </c>
      <c r="G43" s="439">
        <f t="shared" si="12"/>
        <v>700</v>
      </c>
      <c r="H43" s="126">
        <f t="shared" si="15"/>
        <v>0</v>
      </c>
      <c r="I43" s="83"/>
      <c r="J43" s="337">
        <f>IF(Rates!$L$1="E+ 2019",Rates!L278," ")</f>
        <v>0</v>
      </c>
      <c r="K43" s="439">
        <f t="shared" si="13"/>
        <v>700</v>
      </c>
      <c r="L43" s="82">
        <f t="shared" si="1"/>
        <v>0</v>
      </c>
      <c r="M43" s="83"/>
      <c r="N43" s="84">
        <f t="shared" si="2"/>
        <v>0</v>
      </c>
      <c r="O43" s="85" t="str">
        <f t="shared" si="14"/>
        <v/>
      </c>
      <c r="Q43" s="128"/>
      <c r="R43" s="129"/>
      <c r="S43" s="88"/>
      <c r="T43" s="87"/>
      <c r="U43" s="89"/>
      <c r="V43" s="90"/>
      <c r="W43" s="69"/>
      <c r="X43" s="128"/>
      <c r="Y43" s="129"/>
      <c r="Z43" s="88"/>
      <c r="AA43" s="87"/>
      <c r="AB43" s="89"/>
      <c r="AC43" s="90"/>
      <c r="AD43" s="69"/>
      <c r="AE43" s="128"/>
      <c r="AF43" s="129"/>
      <c r="AG43" s="88"/>
      <c r="AH43" s="87"/>
      <c r="AI43" s="89"/>
      <c r="AJ43" s="90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</row>
    <row r="44" spans="1:49" x14ac:dyDescent="0.25">
      <c r="A44" s="1"/>
      <c r="B44" s="271" t="str">
        <f>IF(Rates!D279=$A$37,Rates!B279," ")</f>
        <v>Rate Rider for Disposition of GA DV</v>
      </c>
      <c r="C44" s="78"/>
      <c r="D44" s="271" t="str">
        <f>IF(Rates!D279=$A$37,Rates!E279," ")</f>
        <v>kWh</v>
      </c>
      <c r="E44" s="79"/>
      <c r="F44" s="337">
        <f>IF(Rates!$G$1="CND 2018",Rates!G279," ")</f>
        <v>3.3E-3</v>
      </c>
      <c r="G44" s="441">
        <f t="shared" si="12"/>
        <v>400000</v>
      </c>
      <c r="H44" s="126">
        <f t="shared" si="15"/>
        <v>1320</v>
      </c>
      <c r="I44" s="83"/>
      <c r="J44" s="337">
        <f>IF(Rates!$L$1="E+ 2019",Rates!L279," ")</f>
        <v>3.8449181889326281E-4</v>
      </c>
      <c r="K44" s="439">
        <f t="shared" si="13"/>
        <v>400000</v>
      </c>
      <c r="L44" s="82">
        <f t="shared" si="1"/>
        <v>153.79672755730513</v>
      </c>
      <c r="M44" s="83"/>
      <c r="N44" s="84">
        <f t="shared" si="2"/>
        <v>-1166.2032724426949</v>
      </c>
      <c r="O44" s="85">
        <f t="shared" si="14"/>
        <v>-0.88348732760810222</v>
      </c>
      <c r="Q44" s="128"/>
      <c r="R44" s="129"/>
      <c r="S44" s="88"/>
      <c r="T44" s="87"/>
      <c r="U44" s="89"/>
      <c r="V44" s="90"/>
      <c r="W44" s="69"/>
      <c r="X44" s="128"/>
      <c r="Y44" s="129"/>
      <c r="Z44" s="88"/>
      <c r="AA44" s="87"/>
      <c r="AB44" s="89"/>
      <c r="AC44" s="90"/>
      <c r="AD44" s="69"/>
      <c r="AE44" s="128"/>
      <c r="AF44" s="129"/>
      <c r="AG44" s="88"/>
      <c r="AH44" s="87"/>
      <c r="AI44" s="89"/>
      <c r="AJ44" s="90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</row>
    <row r="45" spans="1:49" ht="42.75" x14ac:dyDescent="0.25">
      <c r="A45" s="1"/>
      <c r="B45" s="271" t="str">
        <f>IF(Rates!D280=$A$37,Rates!B280," ")</f>
        <v>Rate Rider for Disposition of Capacity Based Recovery Account (2018) - Applicable only for Class B Customers</v>
      </c>
      <c r="C45" s="78"/>
      <c r="D45" s="271" t="str">
        <f>IF(Rates!D280=$A$37,Rates!E280," ")</f>
        <v>kW</v>
      </c>
      <c r="E45" s="79"/>
      <c r="F45" s="337">
        <f>IF(Rates!$G$1="CND 2018",Rates!G280," ")</f>
        <v>0.15310000000000001</v>
      </c>
      <c r="G45" s="439">
        <f t="shared" si="12"/>
        <v>700</v>
      </c>
      <c r="H45" s="126">
        <f t="shared" ref="H45" si="16">G45*F45</f>
        <v>107.17000000000002</v>
      </c>
      <c r="I45" s="83"/>
      <c r="J45" s="337">
        <f>IF(Rates!$L$1="E+ 2019",Rates!L280," ")</f>
        <v>1.7201209911030804E-3</v>
      </c>
      <c r="K45" s="439">
        <f t="shared" si="13"/>
        <v>700</v>
      </c>
      <c r="L45" s="82">
        <f t="shared" ref="L45" si="17">K45*J45</f>
        <v>1.2040846937721563</v>
      </c>
      <c r="M45" s="83"/>
      <c r="N45" s="84">
        <f>L45-H45</f>
        <v>-105.96591530622786</v>
      </c>
      <c r="O45" s="85">
        <f t="shared" ref="O45" si="18">IF(OR(H45=0,L45=0),"",(N45/H45))</f>
        <v>-0.9887647224617695</v>
      </c>
      <c r="Q45" s="128"/>
      <c r="R45" s="129"/>
      <c r="S45" s="88"/>
      <c r="T45" s="87"/>
      <c r="U45" s="89"/>
      <c r="V45" s="90"/>
      <c r="W45" s="69"/>
      <c r="X45" s="128"/>
      <c r="Y45" s="129"/>
      <c r="Z45" s="88"/>
      <c r="AA45" s="87"/>
      <c r="AB45" s="89"/>
      <c r="AC45" s="90"/>
      <c r="AD45" s="69"/>
      <c r="AE45" s="128"/>
      <c r="AF45" s="129"/>
      <c r="AG45" s="88"/>
      <c r="AH45" s="87"/>
      <c r="AI45" s="89"/>
      <c r="AJ45" s="90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</row>
    <row r="46" spans="1:49" hidden="1" x14ac:dyDescent="0.25">
      <c r="A46" s="1"/>
      <c r="B46" s="271"/>
      <c r="C46" s="78"/>
      <c r="D46" s="271"/>
      <c r="E46" s="79"/>
      <c r="F46" s="337"/>
      <c r="G46" s="439"/>
      <c r="H46" s="126"/>
      <c r="I46" s="83"/>
      <c r="J46" s="337"/>
      <c r="K46" s="439"/>
      <c r="L46" s="82"/>
      <c r="M46" s="83"/>
      <c r="N46" s="84"/>
      <c r="O46" s="85"/>
      <c r="Q46" s="128"/>
      <c r="R46" s="129"/>
      <c r="S46" s="88"/>
      <c r="T46" s="87"/>
      <c r="U46" s="89"/>
      <c r="V46" s="90"/>
      <c r="W46" s="69"/>
      <c r="X46" s="128"/>
      <c r="Y46" s="129"/>
      <c r="Z46" s="88"/>
      <c r="AA46" s="87"/>
      <c r="AB46" s="89"/>
      <c r="AC46" s="90"/>
      <c r="AD46" s="69"/>
      <c r="AE46" s="128"/>
      <c r="AF46" s="129"/>
      <c r="AG46" s="88"/>
      <c r="AH46" s="87"/>
      <c r="AI46" s="89"/>
      <c r="AJ46" s="90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</row>
    <row r="47" spans="1:49" x14ac:dyDescent="0.25">
      <c r="A47" s="1"/>
      <c r="B47" s="132" t="s">
        <v>80</v>
      </c>
      <c r="C47" s="133"/>
      <c r="D47" s="133"/>
      <c r="E47" s="133"/>
      <c r="F47" s="134"/>
      <c r="G47" s="135"/>
      <c r="H47" s="136">
        <f>SUM(H37:H46)+H36</f>
        <v>44650.675272516761</v>
      </c>
      <c r="I47" s="87"/>
      <c r="J47" s="135"/>
      <c r="K47" s="137"/>
      <c r="L47" s="136">
        <f>SUM(L37:L46)+L36</f>
        <v>34906.039404941577</v>
      </c>
      <c r="M47" s="87"/>
      <c r="N47" s="117">
        <f>L47-H47</f>
        <v>-9744.6358675751835</v>
      </c>
      <c r="O47" s="138">
        <f>IF(OR(H47=0,L47=0),"",(N47/H47))</f>
        <v>-0.2182416236283255</v>
      </c>
      <c r="Q47" s="87"/>
      <c r="R47" s="87"/>
      <c r="S47" s="121"/>
      <c r="T47" s="87"/>
      <c r="U47" s="121"/>
      <c r="V47" s="139"/>
      <c r="W47" s="69"/>
      <c r="X47" s="87"/>
      <c r="Y47" s="87"/>
      <c r="Z47" s="121"/>
      <c r="AA47" s="87"/>
      <c r="AB47" s="121"/>
      <c r="AC47" s="139"/>
      <c r="AD47" s="69"/>
      <c r="AE47" s="87"/>
      <c r="AF47" s="87"/>
      <c r="AG47" s="121"/>
      <c r="AH47" s="87"/>
      <c r="AI47" s="121"/>
      <c r="AJ47" s="13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</row>
    <row r="48" spans="1:49" x14ac:dyDescent="0.25">
      <c r="A48" s="38" t="s">
        <v>16</v>
      </c>
      <c r="B48" s="271" t="str">
        <f>IF(Rates!D281=$A$48,Rates!B281," ")</f>
        <v>Retail Transmission Rate – Network Service Rate</v>
      </c>
      <c r="C48" s="83"/>
      <c r="D48" s="271" t="str">
        <f>IF(Rates!D281= $A$48,Rates!E281," ")</f>
        <v>kW</v>
      </c>
      <c r="E48" s="91"/>
      <c r="F48" s="235">
        <f>IF(Rates!$G$1="CND 2018",Rates!G281," ")</f>
        <v>1.6867000000000001</v>
      </c>
      <c r="G48" s="441">
        <f t="shared" si="12"/>
        <v>700</v>
      </c>
      <c r="H48" s="82">
        <f>G48*F48</f>
        <v>1180.69</v>
      </c>
      <c r="I48" s="87"/>
      <c r="J48" s="235">
        <f>IF(Rates!$L$1="E+ 2019",Rates!L281," ")</f>
        <v>1.5981031044204883</v>
      </c>
      <c r="K48" s="441">
        <f t="shared" si="13"/>
        <v>700</v>
      </c>
      <c r="L48" s="82">
        <f>K48*J48</f>
        <v>1118.6721730943418</v>
      </c>
      <c r="M48" s="87"/>
      <c r="N48" s="84">
        <f t="shared" si="2"/>
        <v>-62.017826905658239</v>
      </c>
      <c r="O48" s="85">
        <f>IF(OR(H48=0,L48=0),"",(N48/H48))</f>
        <v>-5.2526765624895812E-2</v>
      </c>
      <c r="Q48" s="119"/>
      <c r="R48" s="141"/>
      <c r="S48" s="294">
        <f>F48*K48</f>
        <v>1180.69</v>
      </c>
      <c r="T48" s="87"/>
      <c r="U48" s="89"/>
      <c r="V48" s="90"/>
      <c r="W48" s="69"/>
      <c r="X48" s="119"/>
      <c r="Y48" s="141"/>
      <c r="Z48" s="88"/>
      <c r="AA48" s="87"/>
      <c r="AB48" s="89"/>
      <c r="AC48" s="90"/>
      <c r="AD48" s="69"/>
      <c r="AE48" s="119"/>
      <c r="AF48" s="141"/>
      <c r="AG48" s="88"/>
      <c r="AH48" s="87"/>
      <c r="AI48" s="89"/>
      <c r="AJ48" s="90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</row>
    <row r="49" spans="1:49" ht="28.5" x14ac:dyDescent="0.25">
      <c r="A49" s="1"/>
      <c r="B49" s="271" t="str">
        <f>IF(Rates!D282=$A$48,Rates!B282," ")</f>
        <v>Retail Transmission Rate – Line and Transformation Connection Service Rate</v>
      </c>
      <c r="C49" s="83"/>
      <c r="D49" s="271" t="str">
        <f>IF(Rates!D282= $A$48,Rates!E282," ")</f>
        <v>kW</v>
      </c>
      <c r="E49" s="91"/>
      <c r="F49" s="235">
        <f>IF(Rates!$G$1="CND 2018",Rates!G282," ")</f>
        <v>1.2485999999999999</v>
      </c>
      <c r="G49" s="441">
        <f t="shared" si="12"/>
        <v>700</v>
      </c>
      <c r="H49" s="82">
        <f t="shared" ref="H49" si="19">G49*F49</f>
        <v>874.02</v>
      </c>
      <c r="I49" s="87"/>
      <c r="J49" s="235">
        <f>IF(Rates!$L$1="E+ 2019",Rates!L282," ")</f>
        <v>1.200006056470766</v>
      </c>
      <c r="K49" s="441">
        <f t="shared" si="13"/>
        <v>700</v>
      </c>
      <c r="L49" s="82">
        <f t="shared" ref="L49" si="20">K49*J49</f>
        <v>840.00423952953622</v>
      </c>
      <c r="M49" s="87"/>
      <c r="N49" s="84">
        <f t="shared" si="2"/>
        <v>-34.015760470463761</v>
      </c>
      <c r="O49" s="85">
        <f t="shared" ref="O49" si="21">IF(OR(H49=0,L49=0),"",(N49/H49))</f>
        <v>-3.8918743816461591E-2</v>
      </c>
      <c r="Q49" s="119"/>
      <c r="R49" s="141"/>
      <c r="S49" s="295">
        <f>F49*K49</f>
        <v>874.02</v>
      </c>
      <c r="T49" s="87"/>
      <c r="U49" s="89"/>
      <c r="V49" s="90"/>
      <c r="W49" s="69"/>
      <c r="X49" s="119"/>
      <c r="Y49" s="141"/>
      <c r="Z49" s="88"/>
      <c r="AA49" s="87"/>
      <c r="AB49" s="89"/>
      <c r="AC49" s="90"/>
      <c r="AD49" s="69"/>
      <c r="AE49" s="119"/>
      <c r="AF49" s="141"/>
      <c r="AG49" s="88"/>
      <c r="AH49" s="87"/>
      <c r="AI49" s="89"/>
      <c r="AJ49" s="90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</row>
    <row r="50" spans="1:49" x14ac:dyDescent="0.25">
      <c r="A50" s="1"/>
      <c r="B50" s="132" t="s">
        <v>81</v>
      </c>
      <c r="C50" s="110"/>
      <c r="D50" s="110"/>
      <c r="E50" s="110"/>
      <c r="F50" s="142"/>
      <c r="G50" s="135"/>
      <c r="H50" s="136">
        <f>SUM(H47:H49)</f>
        <v>46705.38527251676</v>
      </c>
      <c r="I50" s="146"/>
      <c r="J50" s="144"/>
      <c r="K50" s="145"/>
      <c r="L50" s="136">
        <f>SUM(L47:L49)</f>
        <v>36864.715817565455</v>
      </c>
      <c r="M50" s="146"/>
      <c r="N50" s="117">
        <f>L50-H50</f>
        <v>-9840.6694549513049</v>
      </c>
      <c r="O50" s="138">
        <f>IF(OR(H50=0,L50=0),"",(N50/H50))</f>
        <v>-0.21069667657236804</v>
      </c>
      <c r="Q50" s="146"/>
      <c r="R50" s="146"/>
      <c r="S50" s="296">
        <f>S48+S49</f>
        <v>2054.71</v>
      </c>
      <c r="T50" s="146"/>
      <c r="U50" s="121"/>
      <c r="V50" s="139"/>
      <c r="W50" s="69"/>
      <c r="X50" s="146"/>
      <c r="Y50" s="146"/>
      <c r="Z50" s="121"/>
      <c r="AA50" s="146"/>
      <c r="AB50" s="121"/>
      <c r="AC50" s="139"/>
      <c r="AD50" s="69"/>
      <c r="AE50" s="146"/>
      <c r="AF50" s="146"/>
      <c r="AG50" s="121"/>
      <c r="AH50" s="146"/>
      <c r="AI50" s="121"/>
      <c r="AJ50" s="13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</row>
    <row r="51" spans="1:49" ht="28.5" x14ac:dyDescent="0.25">
      <c r="A51" s="4" t="s">
        <v>17</v>
      </c>
      <c r="B51" s="271" t="str">
        <f>IF(Rates!D8=$A$51,Rates!B8," ")</f>
        <v>Standard Supply Service – Administrative Charge (if applicable)</v>
      </c>
      <c r="C51" s="78"/>
      <c r="D51" s="271" t="str">
        <f>IF(Rates!D8=$A$51,Rates!E8," ")</f>
        <v>customer</v>
      </c>
      <c r="E51" s="79"/>
      <c r="F51" s="235">
        <f>IF(Rates!$G$1="CND 2018",Rates!G8," ")</f>
        <v>0.25</v>
      </c>
      <c r="G51" s="439">
        <f t="shared" si="12"/>
        <v>1</v>
      </c>
      <c r="H51" s="148">
        <f t="shared" ref="H51:H60" si="22">G51*F51</f>
        <v>0.25</v>
      </c>
      <c r="I51" s="87"/>
      <c r="J51" s="80">
        <f>IF(Rates!$L$1="E+ 2019",Rates!L8," ")</f>
        <v>0.25</v>
      </c>
      <c r="K51" s="439">
        <f t="shared" si="13"/>
        <v>1</v>
      </c>
      <c r="L51" s="148">
        <f t="shared" ref="L51:L60" si="23">K51*J51</f>
        <v>0.25</v>
      </c>
      <c r="M51" s="87"/>
      <c r="N51" s="84">
        <f t="shared" si="2"/>
        <v>0</v>
      </c>
      <c r="O51" s="85">
        <f>IF(OR(H51=0,L51=0),"",(N51/H51))</f>
        <v>0</v>
      </c>
      <c r="Q51" s="150"/>
      <c r="R51" s="224"/>
      <c r="S51" s="151"/>
      <c r="T51" s="87"/>
      <c r="U51" s="89"/>
      <c r="V51" s="90"/>
      <c r="W51" s="69"/>
      <c r="X51" s="150"/>
      <c r="Y51" s="224"/>
      <c r="Z51" s="151"/>
      <c r="AA51" s="87"/>
      <c r="AB51" s="89"/>
      <c r="AC51" s="90"/>
      <c r="AD51" s="69"/>
      <c r="AE51" s="150"/>
      <c r="AF51" s="224"/>
      <c r="AG51" s="151"/>
      <c r="AH51" s="87"/>
      <c r="AI51" s="89"/>
      <c r="AJ51" s="90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</row>
    <row r="52" spans="1:49" x14ac:dyDescent="0.25">
      <c r="A52" s="1"/>
      <c r="B52" s="271" t="str">
        <f>IF(Rates!D9=$A$51,Rates!B9," ")</f>
        <v xml:space="preserve">Wholesale Market Service Rate </v>
      </c>
      <c r="C52" s="78"/>
      <c r="D52" s="271" t="str">
        <f>IF(Rates!D9=$A$51,Rates!E9," ")</f>
        <v>kWh</v>
      </c>
      <c r="E52" s="79"/>
      <c r="F52" s="235">
        <f>IF(Rates!$G$1="CND 2018",Rates!G9," ")</f>
        <v>3.2000000000000002E-3</v>
      </c>
      <c r="G52" s="225">
        <f>$F$19*(1+$F$74)</f>
        <v>413400.00000000006</v>
      </c>
      <c r="H52" s="148">
        <f t="shared" si="22"/>
        <v>1322.8800000000003</v>
      </c>
      <c r="I52" s="87"/>
      <c r="J52" s="235">
        <f>IF(Rates!$L$1="E+ 2019",Rates!L9," ")</f>
        <v>3.2000000000000002E-3</v>
      </c>
      <c r="K52" s="225">
        <f>$F$19*(1+$J$74)</f>
        <v>412273.85997761082</v>
      </c>
      <c r="L52" s="148">
        <f t="shared" si="23"/>
        <v>1319.2763519283546</v>
      </c>
      <c r="M52" s="87"/>
      <c r="N52" s="84">
        <f t="shared" si="2"/>
        <v>-3.6036480716456936</v>
      </c>
      <c r="O52" s="85">
        <f t="shared" ref="O52:O71" si="24">IF(OR(H52=0,L52=0),"",(N52/H52))</f>
        <v>-2.7240929424027067E-3</v>
      </c>
      <c r="Q52" s="150"/>
      <c r="R52" s="224"/>
      <c r="S52" s="151"/>
      <c r="T52" s="87"/>
      <c r="U52" s="89"/>
      <c r="V52" s="90"/>
      <c r="W52" s="69"/>
      <c r="X52" s="150"/>
      <c r="Y52" s="224"/>
      <c r="Z52" s="151"/>
      <c r="AA52" s="87"/>
      <c r="AB52" s="89"/>
      <c r="AC52" s="90"/>
      <c r="AD52" s="69"/>
      <c r="AE52" s="150"/>
      <c r="AF52" s="224"/>
      <c r="AG52" s="151"/>
      <c r="AH52" s="87"/>
      <c r="AI52" s="89"/>
      <c r="AJ52" s="90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</row>
    <row r="53" spans="1:49" ht="28.5" x14ac:dyDescent="0.25">
      <c r="A53" s="1"/>
      <c r="B53" s="271" t="str">
        <f>IF(Rates!D10=$A$51,Rates!B10," ")</f>
        <v>Capacity Based Rcovery(CBR) - Class B Customers</v>
      </c>
      <c r="C53" s="78"/>
      <c r="D53" s="271" t="str">
        <f>IF(Rates!D10=$A$51,Rates!E10," ")</f>
        <v>kWh</v>
      </c>
      <c r="E53" s="79"/>
      <c r="F53" s="235">
        <f>IF(Rates!$G$1="CND 2018",Rates!G10," ")</f>
        <v>4.0000000000000002E-4</v>
      </c>
      <c r="G53" s="225">
        <f>$F$19*(1+$F$74)</f>
        <v>413400.00000000006</v>
      </c>
      <c r="H53" s="148">
        <f t="shared" si="22"/>
        <v>165.36000000000004</v>
      </c>
      <c r="I53" s="87"/>
      <c r="J53" s="235">
        <f>IF(Rates!$L$1="E+ 2019",Rates!L10," ")</f>
        <v>4.0000000000000002E-4</v>
      </c>
      <c r="K53" s="225">
        <f>$F$19*(1+$J$74)</f>
        <v>412273.85997761082</v>
      </c>
      <c r="L53" s="148">
        <f t="shared" si="23"/>
        <v>164.90954399104433</v>
      </c>
      <c r="M53" s="87"/>
      <c r="N53" s="84">
        <f t="shared" si="2"/>
        <v>-0.4504560089557117</v>
      </c>
      <c r="O53" s="85">
        <f t="shared" si="24"/>
        <v>-2.7240929424027067E-3</v>
      </c>
      <c r="Q53" s="150"/>
      <c r="R53" s="224"/>
      <c r="S53" s="151"/>
      <c r="T53" s="87"/>
      <c r="U53" s="89"/>
      <c r="V53" s="90"/>
      <c r="W53" s="69"/>
      <c r="X53" s="150"/>
      <c r="Y53" s="224"/>
      <c r="Z53" s="151"/>
      <c r="AA53" s="87"/>
      <c r="AB53" s="89"/>
      <c r="AC53" s="90"/>
      <c r="AD53" s="69"/>
      <c r="AE53" s="150"/>
      <c r="AF53" s="224"/>
      <c r="AG53" s="151"/>
      <c r="AH53" s="87"/>
      <c r="AI53" s="89"/>
      <c r="AJ53" s="90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</row>
    <row r="54" spans="1:49" x14ac:dyDescent="0.25">
      <c r="A54" s="1"/>
      <c r="B54" s="271" t="str">
        <f>IF(Rates!D11=$A$51,Rates!B11," ")</f>
        <v xml:space="preserve">Rural Rate Protection Charge </v>
      </c>
      <c r="C54" s="78"/>
      <c r="D54" s="271" t="str">
        <f>IF(Rates!D11=$A$51,Rates!E11," ")</f>
        <v>kWh</v>
      </c>
      <c r="E54" s="79"/>
      <c r="F54" s="235">
        <f>IF(Rates!$G$1="CND 2018",Rates!G11," ")</f>
        <v>2.9999999999999997E-4</v>
      </c>
      <c r="G54" s="225">
        <f>$F$19*(1+$F$74)</f>
        <v>413400.00000000006</v>
      </c>
      <c r="H54" s="148">
        <f t="shared" si="22"/>
        <v>124.02000000000001</v>
      </c>
      <c r="I54" s="87"/>
      <c r="J54" s="235">
        <f>IF(Rates!$L$1="E+ 2019",Rates!L11," ")</f>
        <v>2.9999999999999997E-4</v>
      </c>
      <c r="K54" s="225">
        <f>$F$19*(1+$J$74)</f>
        <v>412273.85997761082</v>
      </c>
      <c r="L54" s="148">
        <f t="shared" si="23"/>
        <v>123.68215799328324</v>
      </c>
      <c r="M54" s="87"/>
      <c r="N54" s="84">
        <f t="shared" si="2"/>
        <v>-0.33784200671676956</v>
      </c>
      <c r="O54" s="85">
        <f t="shared" si="24"/>
        <v>-2.7240929424025926E-3</v>
      </c>
      <c r="Q54" s="153"/>
      <c r="R54" s="87"/>
      <c r="S54" s="151"/>
      <c r="T54" s="87"/>
      <c r="U54" s="89"/>
      <c r="V54" s="90"/>
      <c r="W54" s="69"/>
      <c r="X54" s="153"/>
      <c r="Y54" s="87"/>
      <c r="Z54" s="151"/>
      <c r="AA54" s="87"/>
      <c r="AB54" s="89"/>
      <c r="AC54" s="90"/>
      <c r="AD54" s="69"/>
      <c r="AE54" s="153"/>
      <c r="AF54" s="87"/>
      <c r="AG54" s="151"/>
      <c r="AH54" s="87"/>
      <c r="AI54" s="89"/>
      <c r="AJ54" s="90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</row>
    <row r="55" spans="1:49" x14ac:dyDescent="0.25">
      <c r="A55" s="1"/>
      <c r="B55" s="271" t="str">
        <f>IF(Rates!D12=$A$51,Rates!B12," ")</f>
        <v>Debt Retirement Charge</v>
      </c>
      <c r="C55" s="78"/>
      <c r="D55" s="271" t="str">
        <f>IF(Rates!D12=$A$51,Rates!E12," ")</f>
        <v>kWh</v>
      </c>
      <c r="E55" s="79"/>
      <c r="F55" s="235">
        <f>IF(Rates!$G$1="CND 2018",Rates!G12," ")</f>
        <v>7.0000000000000001E-3</v>
      </c>
      <c r="G55" s="441">
        <f t="shared" ref="G55" si="25">IF(D55="customer",1,IF(D55="kWh",$F$19,IF(D55="kW",$F$17,$G$23)))</f>
        <v>400000</v>
      </c>
      <c r="H55" s="148">
        <f t="shared" si="22"/>
        <v>2800</v>
      </c>
      <c r="I55" s="87"/>
      <c r="J55" s="235">
        <f>IF(Rates!$L$1="E+ 2019",Rates!L12," ")</f>
        <v>7.0000000000000001E-3</v>
      </c>
      <c r="K55" s="441">
        <f t="shared" ref="K55" si="26">IF(D55="customer",1,IF(D55="kWh",$F$19,IF(D55="kW",$F$17,$G$23)))</f>
        <v>400000</v>
      </c>
      <c r="L55" s="148">
        <f t="shared" si="23"/>
        <v>2800</v>
      </c>
      <c r="M55" s="87"/>
      <c r="N55" s="84">
        <f t="shared" si="2"/>
        <v>0</v>
      </c>
      <c r="O55" s="85">
        <f t="shared" si="24"/>
        <v>0</v>
      </c>
      <c r="Q55" s="153"/>
      <c r="R55" s="87"/>
      <c r="S55" s="151"/>
      <c r="T55" s="87"/>
      <c r="U55" s="89"/>
      <c r="V55" s="90"/>
      <c r="W55" s="69"/>
      <c r="X55" s="153"/>
      <c r="Y55" s="87"/>
      <c r="Z55" s="151"/>
      <c r="AA55" s="87"/>
      <c r="AB55" s="89"/>
      <c r="AC55" s="90"/>
      <c r="AD55" s="69"/>
      <c r="AE55" s="153"/>
      <c r="AF55" s="87"/>
      <c r="AG55" s="151"/>
      <c r="AH55" s="87"/>
      <c r="AI55" s="89"/>
      <c r="AJ55" s="90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</row>
    <row r="56" spans="1:49" x14ac:dyDescent="0.25">
      <c r="A56" s="6" t="s">
        <v>14</v>
      </c>
      <c r="B56" s="271" t="str">
        <f>IF(Rates!D2=$A$56,Rates!B2," ")</f>
        <v>TOU - Off Peak</v>
      </c>
      <c r="C56" s="78"/>
      <c r="D56" s="271" t="str">
        <f>IF(Rates!D2=$A$56,Rates!E2," ")</f>
        <v>kWh</v>
      </c>
      <c r="E56" s="79"/>
      <c r="F56" s="235">
        <f>IF(Rates!$G$1="CND 2018",Rates!G2," ")</f>
        <v>6.5000000000000002E-2</v>
      </c>
      <c r="G56" s="226">
        <f>IF($G$59=0,0.65*($F$19*(1+$F$74)),0)</f>
        <v>0</v>
      </c>
      <c r="H56" s="148">
        <f t="shared" si="22"/>
        <v>0</v>
      </c>
      <c r="I56" s="87"/>
      <c r="J56" s="152">
        <f>IF(Rates!$L$1="E+ 2019",Rates!L2," ")</f>
        <v>6.5000000000000002E-2</v>
      </c>
      <c r="K56" s="226">
        <f>IF($K$59=0,0.65*$F$19,0)</f>
        <v>0</v>
      </c>
      <c r="L56" s="148">
        <f t="shared" si="23"/>
        <v>0</v>
      </c>
      <c r="M56" s="87"/>
      <c r="N56" s="84">
        <f t="shared" si="2"/>
        <v>0</v>
      </c>
      <c r="O56" s="85" t="str">
        <f t="shared" si="24"/>
        <v/>
      </c>
      <c r="Q56" s="150"/>
      <c r="R56" s="224"/>
      <c r="S56" s="151"/>
      <c r="T56" s="87"/>
      <c r="U56" s="89"/>
      <c r="V56" s="90"/>
      <c r="W56" s="69"/>
      <c r="X56" s="150"/>
      <c r="Y56" s="224"/>
      <c r="Z56" s="151"/>
      <c r="AA56" s="87"/>
      <c r="AB56" s="89"/>
      <c r="AC56" s="90"/>
      <c r="AD56" s="69"/>
      <c r="AE56" s="150"/>
      <c r="AF56" s="224"/>
      <c r="AG56" s="151"/>
      <c r="AH56" s="87"/>
      <c r="AI56" s="89"/>
      <c r="AJ56" s="90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</row>
    <row r="57" spans="1:49" x14ac:dyDescent="0.25">
      <c r="A57" s="1"/>
      <c r="B57" s="271" t="str">
        <f>IF(Rates!D3=$A$56,Rates!B3," ")</f>
        <v>TOU - Mid Peak</v>
      </c>
      <c r="C57" s="78"/>
      <c r="D57" s="271" t="str">
        <f>IF(Rates!D3=$A$56,Rates!E3," ")</f>
        <v>kWh</v>
      </c>
      <c r="E57" s="79"/>
      <c r="F57" s="235">
        <f>IF(Rates!$G$1="CND 2018",Rates!G3," ")</f>
        <v>9.5000000000000001E-2</v>
      </c>
      <c r="G57" s="226">
        <f>IF($G$59=0,0.17*($F$19*(1+$F$74)),0)</f>
        <v>0</v>
      </c>
      <c r="H57" s="148">
        <f t="shared" si="22"/>
        <v>0</v>
      </c>
      <c r="I57" s="87"/>
      <c r="J57" s="147">
        <f t="shared" ref="J57:J60" si="27">+F57</f>
        <v>9.5000000000000001E-2</v>
      </c>
      <c r="K57" s="226">
        <f>IF($K$59=0,0.17*$F$19,0)</f>
        <v>0</v>
      </c>
      <c r="L57" s="148">
        <f t="shared" si="23"/>
        <v>0</v>
      </c>
      <c r="M57" s="87"/>
      <c r="N57" s="84">
        <f t="shared" si="2"/>
        <v>0</v>
      </c>
      <c r="O57" s="85" t="str">
        <f t="shared" si="24"/>
        <v/>
      </c>
      <c r="Q57" s="157"/>
      <c r="R57" s="227"/>
      <c r="S57" s="151"/>
      <c r="T57" s="87"/>
      <c r="U57" s="89"/>
      <c r="V57" s="90"/>
      <c r="W57" s="69"/>
      <c r="X57" s="157"/>
      <c r="Y57" s="227"/>
      <c r="Z57" s="151"/>
      <c r="AA57" s="87"/>
      <c r="AB57" s="89"/>
      <c r="AC57" s="90"/>
      <c r="AD57" s="69"/>
      <c r="AE57" s="157"/>
      <c r="AF57" s="227"/>
      <c r="AG57" s="151"/>
      <c r="AH57" s="87"/>
      <c r="AI57" s="89"/>
      <c r="AJ57" s="90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</row>
    <row r="58" spans="1:49" x14ac:dyDescent="0.25">
      <c r="A58" s="1"/>
      <c r="B58" s="271" t="str">
        <f>IF(Rates!D4=$A$56,Rates!B4," ")</f>
        <v>TOU - On Peak</v>
      </c>
      <c r="C58" s="78"/>
      <c r="D58" s="271" t="str">
        <f>IF(Rates!D4=$A$56,Rates!E4," ")</f>
        <v>kWh</v>
      </c>
      <c r="E58" s="79"/>
      <c r="F58" s="235">
        <f>IF(Rates!$G$1="CND 2018",Rates!G4," ")</f>
        <v>0.13200000000000001</v>
      </c>
      <c r="G58" s="226">
        <f>IF($G$59=0,0.18*($F$19*(1+$F$74)),0)</f>
        <v>0</v>
      </c>
      <c r="H58" s="148">
        <f t="shared" si="22"/>
        <v>0</v>
      </c>
      <c r="I58" s="87"/>
      <c r="J58" s="147">
        <f t="shared" si="27"/>
        <v>0.13200000000000001</v>
      </c>
      <c r="K58" s="226">
        <f>IF($K$59=0,0.18*$F$19,0)</f>
        <v>0</v>
      </c>
      <c r="L58" s="148">
        <f t="shared" si="23"/>
        <v>0</v>
      </c>
      <c r="M58" s="87"/>
      <c r="N58" s="84">
        <f t="shared" si="2"/>
        <v>0</v>
      </c>
      <c r="O58" s="85" t="str">
        <f t="shared" si="24"/>
        <v/>
      </c>
      <c r="Q58" s="157"/>
      <c r="R58" s="227"/>
      <c r="S58" s="151"/>
      <c r="T58" s="87"/>
      <c r="U58" s="89"/>
      <c r="V58" s="90"/>
      <c r="W58" s="69"/>
      <c r="X58" s="157"/>
      <c r="Y58" s="227"/>
      <c r="Z58" s="151"/>
      <c r="AA58" s="87"/>
      <c r="AB58" s="89"/>
      <c r="AC58" s="90"/>
      <c r="AD58" s="69"/>
      <c r="AE58" s="157"/>
      <c r="AF58" s="227"/>
      <c r="AG58" s="151"/>
      <c r="AH58" s="87"/>
      <c r="AI58" s="89"/>
      <c r="AJ58" s="90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</row>
    <row r="59" spans="1:49" x14ac:dyDescent="0.25">
      <c r="A59" s="1"/>
      <c r="B59" s="271" t="str">
        <f>IF(Rates!D5=$A$56,Rates!B5," ")</f>
        <v>Commodity</v>
      </c>
      <c r="C59" s="160"/>
      <c r="D59" s="271" t="str">
        <f>IF(Rates!D5=$A$56,Rates!E5," ")</f>
        <v>kWh</v>
      </c>
      <c r="E59" s="161"/>
      <c r="F59" s="235">
        <f>IF(Rates!$G$1="CND 2018",Rates!G5," ")</f>
        <v>1.8855833333333332E-2</v>
      </c>
      <c r="G59" s="225">
        <f>IF($D$16="TOU", 0,$F$19*(1+$F$74))</f>
        <v>413400.00000000006</v>
      </c>
      <c r="H59" s="148">
        <f t="shared" si="22"/>
        <v>7795.0015000000003</v>
      </c>
      <c r="I59" s="166"/>
      <c r="J59" s="147">
        <f t="shared" si="27"/>
        <v>1.8855833333333332E-2</v>
      </c>
      <c r="K59" s="225">
        <f>IF($D$16="TOU", 0,$F$19*(1+$F$74))</f>
        <v>413400.00000000006</v>
      </c>
      <c r="L59" s="148">
        <f t="shared" si="23"/>
        <v>7795.0015000000003</v>
      </c>
      <c r="M59" s="166"/>
      <c r="N59" s="84">
        <f t="shared" si="2"/>
        <v>0</v>
      </c>
      <c r="O59" s="85">
        <f t="shared" si="24"/>
        <v>0</v>
      </c>
      <c r="Q59" s="157"/>
      <c r="R59" s="227"/>
      <c r="S59" s="151"/>
      <c r="T59" s="166"/>
      <c r="U59" s="89"/>
      <c r="V59" s="90"/>
      <c r="W59" s="69"/>
      <c r="X59" s="157"/>
      <c r="Y59" s="227"/>
      <c r="Z59" s="151"/>
      <c r="AA59" s="166"/>
      <c r="AB59" s="89"/>
      <c r="AC59" s="90"/>
      <c r="AD59" s="69"/>
      <c r="AE59" s="157"/>
      <c r="AF59" s="227"/>
      <c r="AG59" s="151"/>
      <c r="AH59" s="166"/>
      <c r="AI59" s="89"/>
      <c r="AJ59" s="90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</row>
    <row r="60" spans="1:49" ht="15.75" thickBot="1" x14ac:dyDescent="0.3">
      <c r="A60" s="159"/>
      <c r="B60" s="271" t="str">
        <f>IF(Rates!D6=$A$56,Rates!B6," ")</f>
        <v>Global Adjustment</v>
      </c>
      <c r="C60" s="160"/>
      <c r="D60" s="271" t="str">
        <f>IF(Rates!D6=$A$56,Rates!E6," ")</f>
        <v>kWh</v>
      </c>
      <c r="E60" s="161"/>
      <c r="F60" s="235">
        <f>IF(Rates!$G$1="CND 2018",Rates!G6," ")</f>
        <v>0.10303000000000001</v>
      </c>
      <c r="G60" s="225">
        <f>IF($D$16="TOU", 0,$F$19*(1+$F$74))</f>
        <v>413400.00000000006</v>
      </c>
      <c r="H60" s="148">
        <f t="shared" si="22"/>
        <v>42592.602000000014</v>
      </c>
      <c r="I60" s="166"/>
      <c r="J60" s="169">
        <f t="shared" si="27"/>
        <v>0.10303000000000001</v>
      </c>
      <c r="K60" s="225">
        <f>IF($D$16="TOU", 0,$F$19*(1+$F$74))</f>
        <v>413400.00000000006</v>
      </c>
      <c r="L60" s="148">
        <f t="shared" si="23"/>
        <v>42592.602000000014</v>
      </c>
      <c r="M60" s="166"/>
      <c r="N60" s="84">
        <f t="shared" si="2"/>
        <v>0</v>
      </c>
      <c r="O60" s="85">
        <f t="shared" si="24"/>
        <v>0</v>
      </c>
      <c r="Q60" s="157"/>
      <c r="R60" s="227"/>
      <c r="S60" s="151"/>
      <c r="T60" s="166"/>
      <c r="U60" s="89"/>
      <c r="V60" s="90"/>
      <c r="W60" s="69"/>
      <c r="X60" s="157"/>
      <c r="Y60" s="227"/>
      <c r="Z60" s="151"/>
      <c r="AA60" s="166"/>
      <c r="AB60" s="89"/>
      <c r="AC60" s="90"/>
      <c r="AD60" s="69"/>
      <c r="AE60" s="157"/>
      <c r="AF60" s="227"/>
      <c r="AG60" s="151"/>
      <c r="AH60" s="166"/>
      <c r="AI60" s="89"/>
      <c r="AJ60" s="90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</row>
    <row r="61" spans="1:49" ht="15.75" thickBot="1" x14ac:dyDescent="0.3">
      <c r="A61" s="159"/>
      <c r="B61" s="211"/>
      <c r="C61" s="212"/>
      <c r="D61" s="213"/>
      <c r="E61" s="212"/>
      <c r="F61" s="266"/>
      <c r="G61" s="214"/>
      <c r="H61" s="267"/>
      <c r="I61" s="87"/>
      <c r="J61" s="266"/>
      <c r="K61" s="216"/>
      <c r="L61" s="267"/>
      <c r="M61" s="87"/>
      <c r="N61" s="217"/>
      <c r="O61" s="205"/>
      <c r="Q61" s="157"/>
      <c r="R61" s="120"/>
      <c r="S61" s="151"/>
      <c r="T61" s="87"/>
      <c r="U61" s="89"/>
      <c r="V61" s="174"/>
      <c r="W61" s="69"/>
      <c r="X61" s="157"/>
      <c r="Y61" s="120"/>
      <c r="Z61" s="151"/>
      <c r="AA61" s="87"/>
      <c r="AB61" s="89"/>
      <c r="AC61" s="174"/>
      <c r="AD61" s="69"/>
      <c r="AE61" s="157"/>
      <c r="AF61" s="120"/>
      <c r="AG61" s="151"/>
      <c r="AH61" s="87"/>
      <c r="AI61" s="89"/>
      <c r="AJ61" s="174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</row>
    <row r="62" spans="1:49" x14ac:dyDescent="0.25">
      <c r="A62" s="159"/>
      <c r="B62" s="175" t="s">
        <v>97</v>
      </c>
      <c r="C62" s="78"/>
      <c r="D62" s="78"/>
      <c r="E62" s="78"/>
      <c r="F62" s="176"/>
      <c r="G62" s="177"/>
      <c r="H62" s="179">
        <f>SUM(H51:H55,H50,H59,,H60,)</f>
        <v>101505.49877251677</v>
      </c>
      <c r="I62" s="146"/>
      <c r="J62" s="178"/>
      <c r="K62" s="178"/>
      <c r="L62" s="179">
        <f>SUM(L51:L55,L50,L59,,L60,)</f>
        <v>91660.437371478154</v>
      </c>
      <c r="M62" s="146"/>
      <c r="N62" s="179">
        <f>L62-H62</f>
        <v>-9845.0614010386198</v>
      </c>
      <c r="O62" s="180">
        <f t="shared" si="24"/>
        <v>-9.6990424362155145E-2</v>
      </c>
      <c r="Q62" s="181"/>
      <c r="R62" s="181"/>
      <c r="S62" s="121"/>
      <c r="T62" s="146"/>
      <c r="U62" s="89"/>
      <c r="V62" s="90"/>
      <c r="W62" s="69"/>
      <c r="X62" s="181"/>
      <c r="Y62" s="181"/>
      <c r="Z62" s="121"/>
      <c r="AA62" s="146"/>
      <c r="AB62" s="89"/>
      <c r="AC62" s="90"/>
      <c r="AD62" s="69"/>
      <c r="AE62" s="181"/>
      <c r="AF62" s="181"/>
      <c r="AG62" s="121"/>
      <c r="AH62" s="146"/>
      <c r="AI62" s="89"/>
      <c r="AJ62" s="90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</row>
    <row r="63" spans="1:49" x14ac:dyDescent="0.25">
      <c r="A63" s="159"/>
      <c r="B63" s="182" t="s">
        <v>9</v>
      </c>
      <c r="C63" s="78"/>
      <c r="D63" s="78"/>
      <c r="E63" s="78"/>
      <c r="F63" s="183">
        <v>0.13</v>
      </c>
      <c r="G63" s="87"/>
      <c r="H63" s="188">
        <f>H62*F63</f>
        <v>13195.714840427181</v>
      </c>
      <c r="I63" s="187"/>
      <c r="J63" s="185">
        <v>0.13</v>
      </c>
      <c r="K63" s="184"/>
      <c r="L63" s="188">
        <f>L62*J63</f>
        <v>11915.85685829216</v>
      </c>
      <c r="M63" s="187"/>
      <c r="N63" s="188">
        <f>L63-H63</f>
        <v>-1279.8579821350213</v>
      </c>
      <c r="O63" s="85">
        <f t="shared" si="24"/>
        <v>-9.69904243621552E-2</v>
      </c>
      <c r="Q63" s="189"/>
      <c r="R63" s="187"/>
      <c r="S63" s="190"/>
      <c r="T63" s="187"/>
      <c r="U63" s="89"/>
      <c r="V63" s="90"/>
      <c r="W63" s="69"/>
      <c r="X63" s="189"/>
      <c r="Y63" s="187"/>
      <c r="Z63" s="190"/>
      <c r="AA63" s="187"/>
      <c r="AB63" s="89"/>
      <c r="AC63" s="90"/>
      <c r="AD63" s="69"/>
      <c r="AE63" s="189"/>
      <c r="AF63" s="187"/>
      <c r="AG63" s="190"/>
      <c r="AH63" s="187"/>
      <c r="AI63" s="89"/>
      <c r="AJ63" s="90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</row>
    <row r="64" spans="1:49" ht="15.75" thickBot="1" x14ac:dyDescent="0.3">
      <c r="A64" s="1"/>
      <c r="B64" s="515" t="s">
        <v>98</v>
      </c>
      <c r="C64" s="515"/>
      <c r="D64" s="515"/>
      <c r="E64" s="192"/>
      <c r="F64" s="218"/>
      <c r="G64" s="219"/>
      <c r="H64" s="222">
        <f>SUM(H62:H63)</f>
        <v>114701.21361294396</v>
      </c>
      <c r="I64" s="146"/>
      <c r="J64" s="220"/>
      <c r="K64" s="220"/>
      <c r="L64" s="222">
        <f>SUM(L62:L63)</f>
        <v>103576.29422977031</v>
      </c>
      <c r="M64" s="146"/>
      <c r="N64" s="222">
        <f>L64-H64</f>
        <v>-11124.919383173648</v>
      </c>
      <c r="O64" s="197">
        <f t="shared" si="24"/>
        <v>-9.69904243621552E-2</v>
      </c>
      <c r="Q64" s="146"/>
      <c r="R64" s="146"/>
      <c r="S64" s="121"/>
      <c r="T64" s="146"/>
      <c r="U64" s="121"/>
      <c r="V64" s="223"/>
      <c r="W64" s="69"/>
      <c r="X64" s="146"/>
      <c r="Y64" s="146"/>
      <c r="Z64" s="121"/>
      <c r="AA64" s="146"/>
      <c r="AB64" s="121"/>
      <c r="AC64" s="223"/>
      <c r="AD64" s="69"/>
      <c r="AE64" s="146"/>
      <c r="AF64" s="146"/>
      <c r="AG64" s="121"/>
      <c r="AH64" s="146"/>
      <c r="AI64" s="121"/>
      <c r="AJ64" s="223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</row>
    <row r="65" spans="1:49" ht="15.75" thickBot="1" x14ac:dyDescent="0.3">
      <c r="A65" s="1"/>
      <c r="B65" s="198"/>
      <c r="C65" s="199"/>
      <c r="D65" s="200"/>
      <c r="E65" s="199"/>
      <c r="F65" s="266"/>
      <c r="G65" s="201"/>
      <c r="H65" s="267"/>
      <c r="I65" s="166"/>
      <c r="J65" s="266"/>
      <c r="K65" s="203"/>
      <c r="L65" s="267"/>
      <c r="M65" s="166"/>
      <c r="N65" s="204"/>
      <c r="O65" s="205"/>
      <c r="Q65" s="157"/>
      <c r="R65" s="206"/>
      <c r="S65" s="151"/>
      <c r="T65" s="166"/>
      <c r="U65" s="207"/>
      <c r="V65" s="174"/>
      <c r="W65" s="69"/>
      <c r="X65" s="157"/>
      <c r="Y65" s="206"/>
      <c r="Z65" s="151"/>
      <c r="AA65" s="166"/>
      <c r="AB65" s="207"/>
      <c r="AC65" s="174"/>
      <c r="AD65" s="69"/>
      <c r="AE65" s="157"/>
      <c r="AF65" s="206"/>
      <c r="AG65" s="151"/>
      <c r="AH65" s="166"/>
      <c r="AI65" s="207"/>
      <c r="AJ65" s="174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</row>
    <row r="66" spans="1:49" x14ac:dyDescent="0.25">
      <c r="A66" s="1"/>
      <c r="B66" s="236" t="s">
        <v>99</v>
      </c>
      <c r="C66" s="160"/>
      <c r="D66" s="160"/>
      <c r="E66" s="160"/>
      <c r="F66" s="237"/>
      <c r="G66" s="238"/>
      <c r="H66" s="241">
        <f>IF($G$56&gt;0,SUM(H50,H51:H58),0)</f>
        <v>0</v>
      </c>
      <c r="I66" s="240"/>
      <c r="J66" s="239"/>
      <c r="K66" s="239"/>
      <c r="L66" s="241">
        <f>IF($K$56&gt;0,SUM(L50,L51:L58),0)</f>
        <v>0</v>
      </c>
      <c r="M66" s="240"/>
      <c r="N66" s="241">
        <f t="shared" ref="N66:N71" si="28">L66-H66</f>
        <v>0</v>
      </c>
      <c r="O66" s="180" t="str">
        <f t="shared" si="24"/>
        <v/>
      </c>
      <c r="Q66" s="242"/>
      <c r="R66" s="242"/>
      <c r="S66" s="243"/>
      <c r="T66" s="240"/>
      <c r="U66" s="89"/>
      <c r="V66" s="90"/>
      <c r="W66" s="69"/>
      <c r="X66" s="242"/>
      <c r="Y66" s="242"/>
      <c r="Z66" s="243"/>
      <c r="AA66" s="240"/>
      <c r="AB66" s="89"/>
      <c r="AC66" s="90"/>
      <c r="AD66" s="69"/>
      <c r="AE66" s="242"/>
      <c r="AF66" s="242"/>
      <c r="AG66" s="243"/>
      <c r="AH66" s="240"/>
      <c r="AI66" s="89"/>
      <c r="AJ66" s="90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</row>
    <row r="67" spans="1:49" x14ac:dyDescent="0.25">
      <c r="A67" s="1"/>
      <c r="B67" s="244" t="s">
        <v>9</v>
      </c>
      <c r="C67" s="160"/>
      <c r="D67" s="160"/>
      <c r="E67" s="160"/>
      <c r="F67" s="245">
        <v>0.13</v>
      </c>
      <c r="G67" s="238"/>
      <c r="H67" s="250">
        <f>$H$66*F67</f>
        <v>0</v>
      </c>
      <c r="I67" s="249"/>
      <c r="J67" s="247">
        <v>0.13</v>
      </c>
      <c r="K67" s="248"/>
      <c r="L67" s="250">
        <f>$L$66*J67</f>
        <v>0</v>
      </c>
      <c r="M67" s="249"/>
      <c r="N67" s="250">
        <f t="shared" si="28"/>
        <v>0</v>
      </c>
      <c r="O67" s="85" t="str">
        <f t="shared" si="24"/>
        <v/>
      </c>
      <c r="Q67" s="251"/>
      <c r="R67" s="252"/>
      <c r="S67" s="253"/>
      <c r="T67" s="249"/>
      <c r="U67" s="89"/>
      <c r="V67" s="90"/>
      <c r="W67" s="69"/>
      <c r="X67" s="251"/>
      <c r="Y67" s="252"/>
      <c r="Z67" s="253"/>
      <c r="AA67" s="249"/>
      <c r="AB67" s="89"/>
      <c r="AC67" s="90"/>
      <c r="AD67" s="69"/>
      <c r="AE67" s="251"/>
      <c r="AF67" s="252"/>
      <c r="AG67" s="253"/>
      <c r="AH67" s="249"/>
      <c r="AI67" s="89"/>
      <c r="AJ67" s="90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</row>
    <row r="68" spans="1:49" x14ac:dyDescent="0.25">
      <c r="A68" s="1"/>
      <c r="B68" s="182" t="s">
        <v>106</v>
      </c>
      <c r="C68" s="78"/>
      <c r="D68" s="78"/>
      <c r="E68" s="78"/>
      <c r="F68" s="183">
        <v>-0.05</v>
      </c>
      <c r="G68" s="87"/>
      <c r="H68" s="188">
        <f>$H$66*F68</f>
        <v>0</v>
      </c>
      <c r="I68" s="187"/>
      <c r="J68" s="183">
        <v>-0.05</v>
      </c>
      <c r="K68" s="184"/>
      <c r="L68" s="188">
        <f>$L$66*J68</f>
        <v>0</v>
      </c>
      <c r="M68" s="187"/>
      <c r="N68" s="188">
        <f t="shared" si="28"/>
        <v>0</v>
      </c>
      <c r="O68" s="85" t="str">
        <f t="shared" si="24"/>
        <v/>
      </c>
      <c r="Q68" s="189"/>
      <c r="R68" s="187"/>
      <c r="S68" s="190"/>
      <c r="T68" s="187"/>
      <c r="U68" s="89"/>
      <c r="V68" s="90"/>
      <c r="W68" s="69"/>
      <c r="X68" s="189"/>
      <c r="Y68" s="187"/>
      <c r="Z68" s="253"/>
      <c r="AA68" s="249"/>
      <c r="AB68" s="89"/>
      <c r="AC68" s="90"/>
      <c r="AD68" s="69"/>
      <c r="AE68" s="251"/>
      <c r="AF68" s="252"/>
      <c r="AG68" s="253"/>
      <c r="AH68" s="249"/>
      <c r="AI68" s="89"/>
      <c r="AJ68" s="90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</row>
    <row r="69" spans="1:49" x14ac:dyDescent="0.25">
      <c r="A69" s="159"/>
      <c r="B69" s="254" t="s">
        <v>100</v>
      </c>
      <c r="C69" s="160"/>
      <c r="D69" s="160"/>
      <c r="E69" s="160"/>
      <c r="F69" s="255"/>
      <c r="G69" s="166"/>
      <c r="H69" s="250">
        <f>SUM(H66:H68)</f>
        <v>0</v>
      </c>
      <c r="I69" s="249"/>
      <c r="J69" s="246"/>
      <c r="K69" s="246"/>
      <c r="L69" s="250">
        <f>SUM(L66:L68)</f>
        <v>0</v>
      </c>
      <c r="M69" s="249"/>
      <c r="N69" s="250">
        <f t="shared" si="28"/>
        <v>0</v>
      </c>
      <c r="O69" s="85" t="str">
        <f t="shared" si="24"/>
        <v/>
      </c>
      <c r="Q69" s="249"/>
      <c r="R69" s="249"/>
      <c r="S69" s="253"/>
      <c r="T69" s="249"/>
      <c r="U69" s="89"/>
      <c r="V69" s="90"/>
      <c r="W69" s="69"/>
      <c r="X69" s="249"/>
      <c r="Y69" s="249"/>
      <c r="Z69" s="253"/>
      <c r="AA69" s="249"/>
      <c r="AB69" s="89"/>
      <c r="AC69" s="90"/>
      <c r="AD69" s="69"/>
      <c r="AE69" s="249"/>
      <c r="AF69" s="249"/>
      <c r="AG69" s="253"/>
      <c r="AH69" s="249"/>
      <c r="AI69" s="89"/>
      <c r="AJ69" s="90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</row>
    <row r="70" spans="1:49" x14ac:dyDescent="0.25">
      <c r="A70" s="159"/>
      <c r="B70" s="516" t="s">
        <v>101</v>
      </c>
      <c r="C70" s="516"/>
      <c r="D70" s="516"/>
      <c r="E70" s="160"/>
      <c r="F70" s="255"/>
      <c r="G70" s="166"/>
      <c r="H70" s="256">
        <f>ROUND(-H69*0%,2)</f>
        <v>0</v>
      </c>
      <c r="I70" s="249"/>
      <c r="J70" s="246"/>
      <c r="K70" s="246"/>
      <c r="L70" s="256">
        <f>ROUND(-L69*0%,2)</f>
        <v>0</v>
      </c>
      <c r="M70" s="249"/>
      <c r="N70" s="256">
        <f t="shared" si="28"/>
        <v>0</v>
      </c>
      <c r="O70" s="257" t="str">
        <f>IF(OR(H70=0,L70=0),"",(N70/H70))</f>
        <v/>
      </c>
      <c r="Q70" s="249"/>
      <c r="R70" s="249"/>
      <c r="S70" s="258"/>
      <c r="T70" s="249"/>
      <c r="U70" s="259"/>
      <c r="V70" s="90"/>
      <c r="W70" s="69"/>
      <c r="X70" s="249"/>
      <c r="Y70" s="249"/>
      <c r="Z70" s="258"/>
      <c r="AA70" s="249"/>
      <c r="AB70" s="259"/>
      <c r="AC70" s="90"/>
      <c r="AD70" s="69"/>
      <c r="AE70" s="249"/>
      <c r="AF70" s="249"/>
      <c r="AG70" s="258"/>
      <c r="AH70" s="249"/>
      <c r="AI70" s="259"/>
      <c r="AJ70" s="90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</row>
    <row r="71" spans="1:49" ht="15.75" thickBot="1" x14ac:dyDescent="0.3">
      <c r="A71" s="159"/>
      <c r="B71" s="513" t="s">
        <v>102</v>
      </c>
      <c r="C71" s="513"/>
      <c r="D71" s="513"/>
      <c r="E71" s="260"/>
      <c r="F71" s="261"/>
      <c r="G71" s="262"/>
      <c r="H71" s="265">
        <f>SUM(H69:H70)</f>
        <v>0</v>
      </c>
      <c r="I71" s="240"/>
      <c r="J71" s="263"/>
      <c r="K71" s="263"/>
      <c r="L71" s="265">
        <f>SUM(L69:L70)</f>
        <v>0</v>
      </c>
      <c r="M71" s="240"/>
      <c r="N71" s="265">
        <f t="shared" si="28"/>
        <v>0</v>
      </c>
      <c r="O71" s="197" t="str">
        <f t="shared" si="24"/>
        <v/>
      </c>
      <c r="Q71" s="240"/>
      <c r="R71" s="240"/>
      <c r="S71" s="243"/>
      <c r="T71" s="240"/>
      <c r="U71" s="121"/>
      <c r="V71" s="223"/>
      <c r="W71" s="69"/>
      <c r="X71" s="240"/>
      <c r="Y71" s="240"/>
      <c r="Z71" s="243"/>
      <c r="AA71" s="240"/>
      <c r="AB71" s="121"/>
      <c r="AC71" s="223"/>
      <c r="AD71" s="69"/>
      <c r="AE71" s="240"/>
      <c r="AF71" s="240"/>
      <c r="AG71" s="243"/>
      <c r="AH71" s="240"/>
      <c r="AI71" s="121"/>
      <c r="AJ71" s="223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</row>
    <row r="72" spans="1:49" ht="15.75" thickBot="1" x14ac:dyDescent="0.3">
      <c r="A72" s="159"/>
      <c r="B72" s="198"/>
      <c r="C72" s="199"/>
      <c r="D72" s="200"/>
      <c r="E72" s="199"/>
      <c r="F72" s="390"/>
      <c r="G72" s="400"/>
      <c r="H72" s="401"/>
      <c r="I72" s="166"/>
      <c r="J72" s="390"/>
      <c r="K72" s="391"/>
      <c r="L72" s="392"/>
      <c r="M72" s="166"/>
      <c r="N72" s="268"/>
      <c r="O72" s="205"/>
      <c r="Q72" s="157"/>
      <c r="R72" s="206"/>
      <c r="S72" s="151"/>
      <c r="T72" s="166"/>
      <c r="U72" s="207"/>
      <c r="V72" s="174"/>
      <c r="W72" s="69"/>
      <c r="X72" s="157"/>
      <c r="Y72" s="206"/>
      <c r="Z72" s="151"/>
      <c r="AA72" s="166"/>
      <c r="AB72" s="207"/>
      <c r="AC72" s="174"/>
      <c r="AD72" s="69"/>
      <c r="AE72" s="157"/>
      <c r="AF72" s="206"/>
      <c r="AG72" s="151"/>
      <c r="AH72" s="166"/>
      <c r="AI72" s="207"/>
      <c r="AJ72" s="174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</row>
    <row r="73" spans="1:49" x14ac:dyDescent="0.25">
      <c r="A73" s="159"/>
      <c r="B73" s="1"/>
      <c r="C73" s="1"/>
      <c r="D73" s="1"/>
      <c r="E73" s="1"/>
      <c r="F73" s="1"/>
      <c r="G73" s="1"/>
      <c r="H73" s="67"/>
      <c r="I73" s="1"/>
      <c r="J73" s="1"/>
      <c r="K73" s="1"/>
      <c r="L73" s="67"/>
      <c r="M73" s="1"/>
      <c r="N73" s="1"/>
      <c r="O73" s="1"/>
      <c r="Q73" s="2"/>
      <c r="R73" s="2"/>
      <c r="S73" s="208"/>
      <c r="T73" s="2"/>
      <c r="U73" s="2"/>
      <c r="V73" s="2"/>
      <c r="W73" s="69"/>
      <c r="X73" s="2"/>
      <c r="Y73" s="2"/>
      <c r="Z73" s="208"/>
      <c r="AA73" s="2"/>
      <c r="AB73" s="2"/>
      <c r="AC73" s="2"/>
      <c r="AD73" s="69"/>
      <c r="AE73" s="2"/>
      <c r="AF73" s="2"/>
      <c r="AG73" s="208"/>
      <c r="AH73" s="2"/>
      <c r="AI73" s="2"/>
      <c r="AJ73" s="2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</row>
    <row r="74" spans="1:49" x14ac:dyDescent="0.25">
      <c r="A74" s="159"/>
      <c r="B74" s="65" t="s">
        <v>10</v>
      </c>
      <c r="C74" s="1"/>
      <c r="D74" s="1"/>
      <c r="E74" s="1"/>
      <c r="F74" s="209">
        <f>Rates!$R$2-1</f>
        <v>3.3500000000000085E-2</v>
      </c>
      <c r="G74" s="1"/>
      <c r="H74" s="1"/>
      <c r="I74" s="1"/>
      <c r="J74" s="209">
        <f>Rates!$T$2-1</f>
        <v>3.0684649944026976E-2</v>
      </c>
      <c r="K74" s="1"/>
      <c r="L74" s="67"/>
      <c r="M74" s="1"/>
      <c r="N74" s="1"/>
      <c r="O74" s="1"/>
      <c r="Q74" s="210"/>
      <c r="R74" s="2"/>
      <c r="S74" s="2"/>
      <c r="T74" s="2"/>
      <c r="U74" s="2"/>
      <c r="V74" s="2"/>
      <c r="W74" s="69"/>
      <c r="X74" s="210"/>
      <c r="Y74" s="2"/>
      <c r="Z74" s="2"/>
      <c r="AA74" s="2"/>
      <c r="AB74" s="2"/>
      <c r="AC74" s="2"/>
      <c r="AD74" s="69"/>
      <c r="AE74" s="210"/>
      <c r="AF74" s="2"/>
      <c r="AG74" s="2"/>
      <c r="AH74" s="2"/>
      <c r="AI74" s="2"/>
      <c r="AJ74" s="2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</row>
    <row r="75" spans="1:49" x14ac:dyDescent="0.25">
      <c r="A75" s="15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49" x14ac:dyDescent="0.25">
      <c r="A79" s="1" t="s">
        <v>84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49" x14ac:dyDescent="0.25">
      <c r="A80" s="1" t="s">
        <v>85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25">
      <c r="A82" s="64" t="s">
        <v>86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5">
      <c r="A83" s="64" t="s">
        <v>87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25">
      <c r="A85" s="1" t="s">
        <v>88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25">
      <c r="A86" s="1" t="s">
        <v>89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25">
      <c r="A87" s="1" t="s">
        <v>90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25">
      <c r="A88" s="1" t="s">
        <v>91</v>
      </c>
      <c r="B88" s="1" t="s">
        <v>93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25">
      <c r="A89" s="1" t="s">
        <v>92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</sheetData>
  <mergeCells count="24">
    <mergeCell ref="AI20:AJ20"/>
    <mergeCell ref="A3:K3"/>
    <mergeCell ref="B10:O10"/>
    <mergeCell ref="B11:O11"/>
    <mergeCell ref="D14:O14"/>
    <mergeCell ref="F20:H20"/>
    <mergeCell ref="J20:L20"/>
    <mergeCell ref="N20:O20"/>
    <mergeCell ref="Q20:S20"/>
    <mergeCell ref="U20:V20"/>
    <mergeCell ref="X20:Z20"/>
    <mergeCell ref="AB20:AC20"/>
    <mergeCell ref="AE20:AG20"/>
    <mergeCell ref="AI21:AI22"/>
    <mergeCell ref="AJ21:AJ22"/>
    <mergeCell ref="B64:D64"/>
    <mergeCell ref="B70:D70"/>
    <mergeCell ref="B71:D71"/>
    <mergeCell ref="N21:N22"/>
    <mergeCell ref="O21:O22"/>
    <mergeCell ref="U21:U22"/>
    <mergeCell ref="V21:V22"/>
    <mergeCell ref="AB21:AB22"/>
    <mergeCell ref="AC21:AC22"/>
  </mergeCells>
  <dataValidations count="3">
    <dataValidation type="list" allowBlank="1" showInputMessage="1" showErrorMessage="1" sqref="D16">
      <formula1>"TOU, non-TOU"</formula1>
    </dataValidation>
    <dataValidation type="list" allowBlank="1" showInputMessage="1" showErrorMessage="1" prompt="Select Charge Unit - monthly, per kWh, per kW" sqref="D72 D61 D65">
      <formula1>"Monthly, per kWh, per kW"</formula1>
    </dataValidation>
    <dataValidation type="list" allowBlank="1" showInputMessage="1" showErrorMessage="1" sqref="E48:E49 E72 E65 E51:E61 E37:E46 E23:E35">
      <formula1>#REF!</formula1>
    </dataValidation>
  </dataValidations>
  <printOptions horizontalCentered="1"/>
  <pageMargins left="0.3" right="0.35" top="0.92" bottom="0.7" header="0.56999999999999995" footer="0.41"/>
  <pageSetup paperSize="3" scale="60" fitToHeight="0" orientation="landscape" r:id="rId1"/>
  <headerFooter>
    <oddHeader>&amp;REnergy+ Inc
X
X
X
Page &amp;P of &amp;N</oddHeader>
    <oddFooter>&amp;C&amp;A</oddFooter>
  </headerFooter>
  <ignoredErrors>
    <ignoredError sqref="J23:J25 J47:J55 J35:J36 J38 J57:J7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4147" r:id="rId4" name="Option Button 3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628650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48" r:id="rId5" name="Option Button 4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49" r:id="rId6" name="Option Button 5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628650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50" r:id="rId7" name="Option Button 6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51" r:id="rId8" name="Option Button 7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628650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52" r:id="rId9" name="Option Button 8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53" r:id="rId10" name="Option Button 9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628650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54" r:id="rId11" name="Option Button 10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55" r:id="rId12" name="Option Button 11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628650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56" r:id="rId13" name="Option Button 12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8168889431442"/>
  </sheetPr>
  <dimension ref="A1:BH81"/>
  <sheetViews>
    <sheetView showGridLines="0" topLeftCell="A13" zoomScale="80" zoomScaleNormal="80" workbookViewId="0">
      <selection activeCell="J48" sqref="J48:J49"/>
    </sheetView>
  </sheetViews>
  <sheetFormatPr defaultRowHeight="15" x14ac:dyDescent="0.25"/>
  <cols>
    <col min="1" max="1" width="26.28515625" customWidth="1"/>
    <col min="2" max="2" width="53.140625" customWidth="1"/>
    <col min="3" max="3" width="1.140625" customWidth="1"/>
    <col min="4" max="4" width="12.28515625" customWidth="1"/>
    <col min="5" max="5" width="1.7109375" customWidth="1"/>
    <col min="6" max="6" width="11" customWidth="1"/>
    <col min="7" max="7" width="10.140625" bestFit="1" customWidth="1"/>
    <col min="8" max="8" width="10.5703125" customWidth="1"/>
    <col min="9" max="9" width="1.28515625" customWidth="1"/>
    <col min="10" max="10" width="12.140625" customWidth="1"/>
    <col min="11" max="11" width="10.140625" bestFit="1" customWidth="1"/>
    <col min="12" max="12" width="10.5703125" customWidth="1"/>
    <col min="13" max="13" width="0.85546875" style="94" customWidth="1"/>
    <col min="14" max="14" width="11.140625" customWidth="1"/>
    <col min="15" max="15" width="9.140625" customWidth="1"/>
    <col min="16" max="16" width="1.42578125" customWidth="1"/>
    <col min="17" max="17" width="6" customWidth="1"/>
    <col min="18" max="18" width="10.140625" bestFit="1" customWidth="1"/>
    <col min="19" max="19" width="9.5703125" customWidth="1"/>
    <col min="20" max="20" width="2" bestFit="1" customWidth="1"/>
    <col min="21" max="21" width="9.140625" customWidth="1"/>
    <col min="22" max="22" width="10.140625" customWidth="1"/>
    <col min="23" max="23" width="1.28515625" customWidth="1"/>
    <col min="24" max="24" width="11" customWidth="1"/>
    <col min="25" max="25" width="10.140625" bestFit="1" customWidth="1"/>
    <col min="26" max="26" width="9.85546875" customWidth="1"/>
    <col min="27" max="27" width="1.28515625" customWidth="1"/>
    <col min="30" max="30" width="0.85546875" customWidth="1"/>
    <col min="31" max="31" width="11.140625" customWidth="1"/>
    <col min="32" max="32" width="10.140625" bestFit="1" customWidth="1"/>
    <col min="33" max="33" width="9.28515625" customWidth="1"/>
    <col min="34" max="34" width="1.140625" customWidth="1"/>
    <col min="37" max="37" width="0.85546875" customWidth="1"/>
  </cols>
  <sheetData>
    <row r="1" spans="1:21" ht="21.75" x14ac:dyDescent="0.25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0"/>
      <c r="M1" s="2"/>
      <c r="N1" s="52" t="s">
        <v>68</v>
      </c>
      <c r="O1" s="53">
        <v>0</v>
      </c>
      <c r="T1">
        <v>2</v>
      </c>
      <c r="U1">
        <v>1</v>
      </c>
    </row>
    <row r="2" spans="1:21" ht="18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0"/>
      <c r="M2" s="2"/>
      <c r="N2" s="52" t="s">
        <v>69</v>
      </c>
      <c r="O2" s="55"/>
    </row>
    <row r="3" spans="1:21" ht="18" x14ac:dyDescent="0.25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"/>
      <c r="M3" s="2"/>
      <c r="N3" s="52" t="s">
        <v>70</v>
      </c>
      <c r="O3" s="55"/>
    </row>
    <row r="4" spans="1:21" ht="18" x14ac:dyDescent="0.25">
      <c r="A4" s="54"/>
      <c r="B4" s="54"/>
      <c r="C4" s="54"/>
      <c r="D4" s="54"/>
      <c r="E4" s="54"/>
      <c r="F4" s="54"/>
      <c r="G4" s="54"/>
      <c r="H4" s="54"/>
      <c r="I4" s="56"/>
      <c r="J4" s="56"/>
      <c r="K4" s="56"/>
      <c r="L4" s="50"/>
      <c r="M4" s="2"/>
      <c r="N4" s="52" t="s">
        <v>71</v>
      </c>
      <c r="O4" s="55"/>
    </row>
    <row r="5" spans="1:21" ht="15.75" x14ac:dyDescent="0.25">
      <c r="A5" s="50"/>
      <c r="B5" s="50"/>
      <c r="C5" s="57"/>
      <c r="D5" s="57"/>
      <c r="E5" s="57"/>
      <c r="F5" s="50"/>
      <c r="G5" s="50"/>
      <c r="H5" s="50"/>
      <c r="I5" s="50"/>
      <c r="J5" s="50"/>
      <c r="K5" s="50"/>
      <c r="L5" s="50"/>
      <c r="M5" s="2"/>
      <c r="N5" s="52" t="s">
        <v>72</v>
      </c>
      <c r="O5" s="58"/>
    </row>
    <row r="6" spans="1:2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2"/>
      <c r="N6" s="52"/>
      <c r="O6" s="53"/>
    </row>
    <row r="7" spans="1:2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2"/>
      <c r="N7" s="52" t="s">
        <v>73</v>
      </c>
      <c r="O7" s="58"/>
    </row>
    <row r="8" spans="1:21" x14ac:dyDescent="0.25">
      <c r="A8" s="5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2"/>
      <c r="N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1" ht="18" x14ac:dyDescent="0.25">
      <c r="A10" s="1"/>
      <c r="B10" s="508" t="s">
        <v>74</v>
      </c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508"/>
      <c r="N10" s="508"/>
      <c r="O10" s="508"/>
    </row>
    <row r="11" spans="1:21" ht="18" x14ac:dyDescent="0.25">
      <c r="A11" s="1"/>
      <c r="B11" s="508" t="s">
        <v>75</v>
      </c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T13">
        <v>2</v>
      </c>
    </row>
    <row r="14" spans="1:21" ht="15.75" x14ac:dyDescent="0.25">
      <c r="A14" s="1"/>
      <c r="B14" s="60" t="s">
        <v>0</v>
      </c>
      <c r="C14" s="1"/>
      <c r="D14" s="509" t="s">
        <v>129</v>
      </c>
      <c r="E14" s="509"/>
      <c r="F14" s="509"/>
      <c r="G14" s="509"/>
      <c r="H14" s="509"/>
      <c r="I14" s="509"/>
      <c r="J14" s="509"/>
      <c r="K14" s="509"/>
      <c r="L14" s="509"/>
      <c r="M14" s="509"/>
      <c r="N14" s="509"/>
      <c r="O14" s="509"/>
    </row>
    <row r="15" spans="1:21" ht="15.75" x14ac:dyDescent="0.25">
      <c r="A15" s="1"/>
      <c r="B15" s="61"/>
      <c r="C15" s="1"/>
      <c r="D15" s="62"/>
      <c r="E15" s="62"/>
      <c r="F15" s="62"/>
      <c r="G15" s="62"/>
      <c r="H15" s="62"/>
      <c r="I15" s="62"/>
      <c r="J15" s="62"/>
      <c r="K15" s="62"/>
      <c r="L15" s="62"/>
      <c r="M15" s="276"/>
      <c r="N15" s="62"/>
      <c r="O15" s="62"/>
    </row>
    <row r="16" spans="1:21" ht="15.75" x14ac:dyDescent="0.25">
      <c r="A16" s="1"/>
      <c r="B16" s="60" t="s">
        <v>76</v>
      </c>
      <c r="C16" s="1"/>
      <c r="D16" s="63" t="s">
        <v>77</v>
      </c>
      <c r="E16" s="62"/>
      <c r="F16" s="62"/>
      <c r="G16" s="62"/>
      <c r="H16" s="62"/>
      <c r="I16" s="62"/>
      <c r="J16" s="62"/>
      <c r="K16" s="62"/>
      <c r="L16" s="62"/>
      <c r="M16" s="276"/>
      <c r="N16" s="62"/>
      <c r="O16" s="62"/>
    </row>
    <row r="17" spans="1:60" ht="15.75" x14ac:dyDescent="0.25">
      <c r="A17" s="1"/>
      <c r="B17" s="61"/>
      <c r="C17" s="1"/>
      <c r="D17" s="62"/>
      <c r="E17" s="62"/>
      <c r="F17" s="62"/>
      <c r="G17" s="62"/>
      <c r="H17" s="62"/>
      <c r="I17" s="62"/>
      <c r="J17" s="62"/>
      <c r="K17" s="62"/>
      <c r="L17" s="62"/>
      <c r="M17" s="276"/>
      <c r="N17" s="62"/>
      <c r="O17" s="62"/>
    </row>
    <row r="18" spans="1:60" x14ac:dyDescent="0.25">
      <c r="A18" s="1"/>
      <c r="B18" s="64"/>
      <c r="C18" s="1"/>
      <c r="D18" s="65" t="s">
        <v>1</v>
      </c>
      <c r="E18" s="65"/>
      <c r="F18" s="66">
        <v>100</v>
      </c>
      <c r="G18" s="65" t="s">
        <v>78</v>
      </c>
      <c r="H18" s="1"/>
      <c r="I18" s="1"/>
      <c r="J18" s="1"/>
      <c r="K18" s="1"/>
      <c r="L18" s="1"/>
      <c r="M18" s="3"/>
      <c r="N18" s="1"/>
      <c r="O18" s="1"/>
    </row>
    <row r="19" spans="1:60" x14ac:dyDescent="0.25">
      <c r="A19" s="1"/>
      <c r="B19" s="64"/>
      <c r="C19" s="1"/>
      <c r="D19" s="1"/>
      <c r="E19" s="1"/>
      <c r="F19" s="1"/>
      <c r="G19" s="1"/>
      <c r="H19" s="1"/>
      <c r="I19" s="1"/>
      <c r="J19" s="1"/>
      <c r="K19" s="1"/>
      <c r="L19" s="67"/>
      <c r="M19" s="3"/>
      <c r="N19" s="1"/>
      <c r="O19" s="1"/>
    </row>
    <row r="20" spans="1:60" x14ac:dyDescent="0.25">
      <c r="A20" s="1"/>
      <c r="B20" s="64"/>
      <c r="C20" s="1"/>
      <c r="D20" s="68"/>
      <c r="E20" s="68"/>
      <c r="F20" s="510" t="s">
        <v>105</v>
      </c>
      <c r="G20" s="511"/>
      <c r="H20" s="512"/>
      <c r="I20" s="1"/>
      <c r="J20" s="510" t="s">
        <v>104</v>
      </c>
      <c r="K20" s="511"/>
      <c r="L20" s="512"/>
      <c r="M20" s="3"/>
      <c r="N20" s="510" t="s">
        <v>61</v>
      </c>
      <c r="O20" s="512"/>
      <c r="Q20" s="506"/>
      <c r="R20" s="506"/>
      <c r="S20" s="506"/>
      <c r="T20" s="2"/>
      <c r="U20" s="506"/>
      <c r="V20" s="506"/>
      <c r="W20" s="69"/>
      <c r="X20" s="506"/>
      <c r="Y20" s="506"/>
      <c r="Z20" s="506"/>
      <c r="AA20" s="2"/>
      <c r="AB20" s="506"/>
      <c r="AC20" s="506"/>
      <c r="AD20" s="69"/>
      <c r="AE20" s="506"/>
      <c r="AF20" s="506"/>
      <c r="AG20" s="506"/>
      <c r="AH20" s="2"/>
      <c r="AI20" s="506"/>
      <c r="AJ20" s="506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</row>
    <row r="21" spans="1:60" ht="15" customHeight="1" x14ac:dyDescent="0.25">
      <c r="A21" s="1"/>
      <c r="B21" s="64"/>
      <c r="C21" s="1"/>
      <c r="D21" s="1"/>
      <c r="E21" s="70"/>
      <c r="F21" s="71" t="s">
        <v>2</v>
      </c>
      <c r="G21" s="71" t="s">
        <v>3</v>
      </c>
      <c r="H21" s="72" t="s">
        <v>4</v>
      </c>
      <c r="I21" s="1"/>
      <c r="J21" s="71" t="s">
        <v>2</v>
      </c>
      <c r="K21" s="73" t="s">
        <v>3</v>
      </c>
      <c r="L21" s="72" t="s">
        <v>4</v>
      </c>
      <c r="M21" s="3"/>
      <c r="N21" s="502" t="s">
        <v>62</v>
      </c>
      <c r="O21" s="504" t="s">
        <v>63</v>
      </c>
      <c r="Q21" s="270"/>
      <c r="R21" s="270"/>
      <c r="S21" s="270"/>
      <c r="T21" s="2"/>
      <c r="U21" s="501"/>
      <c r="V21" s="501"/>
      <c r="W21" s="69"/>
      <c r="X21" s="270"/>
      <c r="Y21" s="270"/>
      <c r="Z21" s="270"/>
      <c r="AA21" s="2"/>
      <c r="AB21" s="501"/>
      <c r="AC21" s="501"/>
      <c r="AD21" s="69"/>
      <c r="AE21" s="270"/>
      <c r="AF21" s="270"/>
      <c r="AG21" s="270"/>
      <c r="AH21" s="2"/>
      <c r="AI21" s="501"/>
      <c r="AJ21" s="501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</row>
    <row r="22" spans="1:60" x14ac:dyDescent="0.25">
      <c r="A22" s="1"/>
      <c r="B22" s="64"/>
      <c r="C22" s="1"/>
      <c r="D22" s="1"/>
      <c r="E22" s="70"/>
      <c r="F22" s="75" t="s">
        <v>79</v>
      </c>
      <c r="G22" s="75"/>
      <c r="H22" s="76" t="s">
        <v>79</v>
      </c>
      <c r="I22" s="1"/>
      <c r="J22" s="75" t="s">
        <v>79</v>
      </c>
      <c r="K22" s="76"/>
      <c r="L22" s="76" t="s">
        <v>79</v>
      </c>
      <c r="M22" s="3"/>
      <c r="N22" s="503"/>
      <c r="O22" s="505"/>
      <c r="Q22" s="77"/>
      <c r="R22" s="77"/>
      <c r="S22" s="77"/>
      <c r="T22" s="2"/>
      <c r="U22" s="501"/>
      <c r="V22" s="501"/>
      <c r="W22" s="69"/>
      <c r="X22" s="77"/>
      <c r="Y22" s="77"/>
      <c r="Z22" s="77"/>
      <c r="AA22" s="2"/>
      <c r="AB22" s="501"/>
      <c r="AC22" s="501"/>
      <c r="AD22" s="69"/>
      <c r="AE22" s="77"/>
      <c r="AF22" s="77"/>
      <c r="AG22" s="77"/>
      <c r="AH22" s="2"/>
      <c r="AI22" s="501"/>
      <c r="AJ22" s="501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</row>
    <row r="23" spans="1:60" x14ac:dyDescent="0.25">
      <c r="A23" s="7" t="s">
        <v>15</v>
      </c>
      <c r="B23" s="271" t="str">
        <f>IF(Rates!D283='USL CND'!$A$23,Rates!B283," ")</f>
        <v>Service Charge</v>
      </c>
      <c r="C23" s="79"/>
      <c r="D23" s="271" t="str">
        <f>IF(Rates!D283='USL CND'!$A$23,Rates!E283," ")</f>
        <v>connection</v>
      </c>
      <c r="E23" s="79"/>
      <c r="F23" s="80">
        <f>IF(Rates!$G$1="CND 2018",Rates!G283," ")</f>
        <v>5.8925599999999996</v>
      </c>
      <c r="G23" s="81">
        <f>IF(D23="customer",1,IF(D23="kWh",$F$18,IF(D23="kW",$F$17,1)))</f>
        <v>1</v>
      </c>
      <c r="H23" s="82">
        <f>G23*F23</f>
        <v>5.8925599999999996</v>
      </c>
      <c r="I23" s="83"/>
      <c r="J23" s="487">
        <f>IF(Rates!$L$1="E+ 2019",Rates!L283," ")</f>
        <v>5.7904999999999998</v>
      </c>
      <c r="K23" s="97">
        <f>IF(D23="customer",1,IF(D23="kWh",$F$18,IF(D23="kW",$F$17,1)))</f>
        <v>1</v>
      </c>
      <c r="L23" s="82">
        <f t="shared" ref="L23:L35" si="0">K23*J23</f>
        <v>5.7904999999999998</v>
      </c>
      <c r="M23" s="91"/>
      <c r="N23" s="84">
        <f t="shared" ref="N23:N61" si="1">L23-H23</f>
        <v>-0.10205999999999982</v>
      </c>
      <c r="O23" s="85">
        <f>IF(OR(H23=0,L23=0),"",(N23/H23))</f>
        <v>-1.7320146082517585E-2</v>
      </c>
      <c r="Q23" s="86"/>
      <c r="R23" s="87"/>
      <c r="S23" s="88"/>
      <c r="T23" s="87"/>
      <c r="U23" s="89"/>
      <c r="V23" s="90"/>
      <c r="W23" s="69"/>
      <c r="X23" s="86"/>
      <c r="Y23" s="87"/>
      <c r="Z23" s="88"/>
      <c r="AA23" s="87"/>
      <c r="AB23" s="89"/>
      <c r="AC23" s="90"/>
      <c r="AD23" s="69"/>
      <c r="AE23" s="86"/>
      <c r="AF23" s="87"/>
      <c r="AG23" s="88"/>
      <c r="AH23" s="87"/>
      <c r="AI23" s="89"/>
      <c r="AJ23" s="90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</row>
    <row r="24" spans="1:60" x14ac:dyDescent="0.25">
      <c r="A24" s="1"/>
      <c r="B24" s="271" t="str">
        <f>IF(Rates!D284='USL CND'!$A$23,Rates!B284," ")</f>
        <v>Rate Rider ACM</v>
      </c>
      <c r="C24" s="79"/>
      <c r="D24" s="271" t="str">
        <f>IF(Rates!D284='USL CND'!$A$23,Rates!E284," ")</f>
        <v>connection</v>
      </c>
      <c r="E24" s="79"/>
      <c r="F24" s="80">
        <f>IF(Rates!$G$1="CND 2018",Rates!G284," ")</f>
        <v>0</v>
      </c>
      <c r="G24" s="81">
        <f t="shared" ref="G24:G33" si="2">IF(D24="customer",1,IF(D24="kWh",$F$18,IF(D24="kW",$F$17,1)))</f>
        <v>1</v>
      </c>
      <c r="H24" s="82">
        <f t="shared" ref="H24:H35" si="3">G24*F24</f>
        <v>0</v>
      </c>
      <c r="I24" s="83"/>
      <c r="J24" s="337">
        <f>IF(Rates!$L$1="E+ 2019",Rates!L284," ")</f>
        <v>0</v>
      </c>
      <c r="K24" s="97">
        <f t="shared" ref="K24:K33" si="4">IF(D24="customer",1,IF(D24="kWh",$F$18,IF(D24="kW",$F$17,1)))</f>
        <v>1</v>
      </c>
      <c r="L24" s="82">
        <f t="shared" si="0"/>
        <v>0</v>
      </c>
      <c r="M24" s="91"/>
      <c r="N24" s="84">
        <f t="shared" si="1"/>
        <v>0</v>
      </c>
      <c r="O24" s="85" t="str">
        <f t="shared" ref="O24:O35" si="5">IF(OR(H24=0,L24=0),"",(N24/H24))</f>
        <v/>
      </c>
      <c r="Q24" s="86"/>
      <c r="R24" s="87"/>
      <c r="S24" s="88"/>
      <c r="T24" s="87"/>
      <c r="U24" s="89"/>
      <c r="V24" s="90"/>
      <c r="W24" s="69"/>
      <c r="X24" s="86"/>
      <c r="Y24" s="87"/>
      <c r="Z24" s="88"/>
      <c r="AA24" s="87"/>
      <c r="AB24" s="89"/>
      <c r="AC24" s="90"/>
      <c r="AD24" s="69"/>
      <c r="AE24" s="86"/>
      <c r="AF24" s="87"/>
      <c r="AG24" s="88"/>
      <c r="AH24" s="87"/>
      <c r="AI24" s="89"/>
      <c r="AJ24" s="90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</row>
    <row r="25" spans="1:60" s="94" customFormat="1" x14ac:dyDescent="0.25">
      <c r="A25" s="3"/>
      <c r="B25" s="271" t="str">
        <f>IF(Rates!D285='USL CND'!$A$23,Rates!B285," ")</f>
        <v>Distribution Volumetric Rate</v>
      </c>
      <c r="C25" s="79"/>
      <c r="D25" s="271" t="str">
        <f>IF(Rates!D285='USL CND'!$A$23,Rates!E285," ")</f>
        <v>kWh</v>
      </c>
      <c r="E25" s="79"/>
      <c r="F25" s="235">
        <f>IF(Rates!$G$1="CND 2018",Rates!G285," ")</f>
        <v>1.2612499999999999E-2</v>
      </c>
      <c r="G25" s="81">
        <f t="shared" si="2"/>
        <v>100</v>
      </c>
      <c r="H25" s="82">
        <f t="shared" si="3"/>
        <v>1.26125</v>
      </c>
      <c r="I25" s="91"/>
      <c r="J25" s="337">
        <f>IF(Rates!$L$1="E+ 2019",Rates!L285," ")</f>
        <v>1.43E-2</v>
      </c>
      <c r="K25" s="97">
        <f t="shared" si="4"/>
        <v>100</v>
      </c>
      <c r="L25" s="92">
        <f t="shared" si="0"/>
        <v>1.43</v>
      </c>
      <c r="M25" s="91"/>
      <c r="N25" s="84">
        <f t="shared" si="1"/>
        <v>0.16874999999999996</v>
      </c>
      <c r="O25" s="85">
        <f t="shared" si="5"/>
        <v>0.13379583746283447</v>
      </c>
      <c r="Q25" s="95"/>
      <c r="R25" s="87"/>
      <c r="S25" s="88"/>
      <c r="T25" s="87"/>
      <c r="U25" s="89"/>
      <c r="V25" s="90"/>
      <c r="W25" s="69"/>
      <c r="X25" s="95"/>
      <c r="Y25" s="87"/>
      <c r="Z25" s="88"/>
      <c r="AA25" s="87"/>
      <c r="AB25" s="89"/>
      <c r="AC25" s="90"/>
      <c r="AD25" s="69"/>
      <c r="AE25" s="95"/>
      <c r="AF25" s="87"/>
      <c r="AG25" s="88"/>
      <c r="AH25" s="87"/>
      <c r="AI25" s="89"/>
      <c r="AJ25" s="90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</row>
    <row r="26" spans="1:60" s="94" customFormat="1" x14ac:dyDescent="0.25">
      <c r="A26" s="3"/>
      <c r="B26" s="271" t="str">
        <f>IF(Rates!D286='USL CND'!$A$23,Rates!B286," ")</f>
        <v>Rate Rider ACM</v>
      </c>
      <c r="C26" s="79"/>
      <c r="D26" s="271" t="str">
        <f>IF(Rates!D286='USL CND'!$A$23,Rates!E286," ")</f>
        <v>kWh</v>
      </c>
      <c r="E26" s="79"/>
      <c r="F26" s="80">
        <f>IF(Rates!$G$1="CND 2018",Rates!G286," ")</f>
        <v>0</v>
      </c>
      <c r="G26" s="81">
        <f t="shared" si="2"/>
        <v>100</v>
      </c>
      <c r="H26" s="82">
        <f t="shared" si="3"/>
        <v>0</v>
      </c>
      <c r="I26" s="91"/>
      <c r="J26" s="337">
        <f>IF(Rates!$L$1="E+ 2019",Rates!L286," ")</f>
        <v>0</v>
      </c>
      <c r="K26" s="97">
        <f t="shared" si="4"/>
        <v>100</v>
      </c>
      <c r="L26" s="92">
        <f t="shared" si="0"/>
        <v>0</v>
      </c>
      <c r="M26" s="91"/>
      <c r="N26" s="84">
        <f t="shared" si="1"/>
        <v>0</v>
      </c>
      <c r="O26" s="85" t="str">
        <f t="shared" si="5"/>
        <v/>
      </c>
      <c r="Q26" s="95"/>
      <c r="R26" s="87"/>
      <c r="S26" s="88"/>
      <c r="T26" s="87"/>
      <c r="U26" s="89"/>
      <c r="V26" s="90"/>
      <c r="W26" s="69"/>
      <c r="X26" s="95"/>
      <c r="Y26" s="87"/>
      <c r="Z26" s="88"/>
      <c r="AA26" s="87"/>
      <c r="AB26" s="89"/>
      <c r="AC26" s="90"/>
      <c r="AD26" s="69"/>
      <c r="AE26" s="95"/>
      <c r="AF26" s="87"/>
      <c r="AG26" s="88"/>
      <c r="AH26" s="87"/>
      <c r="AI26" s="89"/>
      <c r="AJ26" s="90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</row>
    <row r="27" spans="1:60" x14ac:dyDescent="0.25">
      <c r="A27" s="3"/>
      <c r="B27" s="271" t="str">
        <f>IF(Rates!D287='USL CND'!$A$23,Rates!B287," ")</f>
        <v>Rate Rider for Disposition of Account 1575 and 1576</v>
      </c>
      <c r="C27" s="79"/>
      <c r="D27" s="271" t="str">
        <f>IF(Rates!D287='USL CND'!$A$23,Rates!E287," ")</f>
        <v>connection</v>
      </c>
      <c r="E27" s="79"/>
      <c r="F27" s="80">
        <f>IF(Rates!$G$1="CND 2018",Rates!G287," ")</f>
        <v>0</v>
      </c>
      <c r="G27" s="81">
        <f t="shared" si="2"/>
        <v>1</v>
      </c>
      <c r="H27" s="92">
        <f t="shared" si="3"/>
        <v>0</v>
      </c>
      <c r="I27" s="83"/>
      <c r="J27" s="337">
        <f>IF(Rates!$L$1="E+ 2019",Rates!L287," ")</f>
        <v>0</v>
      </c>
      <c r="K27" s="97">
        <f t="shared" si="4"/>
        <v>1</v>
      </c>
      <c r="L27" s="92">
        <f t="shared" si="0"/>
        <v>0</v>
      </c>
      <c r="M27" s="91"/>
      <c r="N27" s="84">
        <f t="shared" si="1"/>
        <v>0</v>
      </c>
      <c r="O27" s="85" t="str">
        <f t="shared" si="5"/>
        <v/>
      </c>
      <c r="Q27" s="86"/>
      <c r="R27" s="87"/>
      <c r="S27" s="88"/>
      <c r="T27" s="87"/>
      <c r="U27" s="89"/>
      <c r="V27" s="90"/>
      <c r="W27" s="69"/>
      <c r="X27" s="86"/>
      <c r="Y27" s="87"/>
      <c r="Z27" s="88"/>
      <c r="AA27" s="87"/>
      <c r="AB27" s="89"/>
      <c r="AC27" s="90"/>
      <c r="AD27" s="69"/>
      <c r="AE27" s="86"/>
      <c r="AF27" s="87"/>
      <c r="AG27" s="88"/>
      <c r="AH27" s="87"/>
      <c r="AI27" s="89"/>
      <c r="AJ27" s="90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</row>
    <row r="28" spans="1:60" s="94" customFormat="1" x14ac:dyDescent="0.25">
      <c r="A28" s="3"/>
      <c r="B28" s="271" t="str">
        <f>IF(Rates!D288='USL CND'!$A$23,Rates!B288," ")</f>
        <v>Rate Rider for Disposition of Account 1575 and 1576</v>
      </c>
      <c r="C28" s="79"/>
      <c r="D28" s="271" t="str">
        <f>IF(Rates!D288='USL CND'!$A$23,Rates!E288," ")</f>
        <v>kWh</v>
      </c>
      <c r="E28" s="79"/>
      <c r="F28" s="80">
        <f>IF(Rates!$G$1="CND 2018",Rates!G288," ")</f>
        <v>0</v>
      </c>
      <c r="G28" s="81">
        <f t="shared" si="2"/>
        <v>100</v>
      </c>
      <c r="H28" s="92">
        <f t="shared" si="3"/>
        <v>0</v>
      </c>
      <c r="I28" s="91"/>
      <c r="J28" s="337">
        <f>IF(Rates!$L$1="E+ 2019",Rates!L288," ")</f>
        <v>-3.2126915242846417E-4</v>
      </c>
      <c r="K28" s="97">
        <f t="shared" si="4"/>
        <v>100</v>
      </c>
      <c r="L28" s="92">
        <f t="shared" si="0"/>
        <v>-3.2126915242846416E-2</v>
      </c>
      <c r="M28" s="91"/>
      <c r="N28" s="84">
        <f t="shared" si="1"/>
        <v>-3.2126915242846416E-2</v>
      </c>
      <c r="O28" s="85" t="str">
        <f t="shared" si="5"/>
        <v/>
      </c>
      <c r="Q28" s="86"/>
      <c r="R28" s="87"/>
      <c r="S28" s="88"/>
      <c r="T28" s="87"/>
      <c r="U28" s="89"/>
      <c r="V28" s="90"/>
      <c r="W28" s="69"/>
      <c r="X28" s="86"/>
      <c r="Y28" s="87"/>
      <c r="Z28" s="88"/>
      <c r="AA28" s="87"/>
      <c r="AB28" s="89"/>
      <c r="AC28" s="90"/>
      <c r="AD28" s="69"/>
      <c r="AE28" s="86"/>
      <c r="AF28" s="87"/>
      <c r="AG28" s="88"/>
      <c r="AH28" s="87"/>
      <c r="AI28" s="89"/>
      <c r="AJ28" s="90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</row>
    <row r="29" spans="1:60" s="94" customFormat="1" x14ac:dyDescent="0.25">
      <c r="A29" s="3"/>
      <c r="B29" s="271" t="str">
        <f>IF(Rates!D289='USL CND'!$A$23,Rates!B289," ")</f>
        <v>Rate Rider for Disposition of Account 1575 and 1576</v>
      </c>
      <c r="C29" s="79"/>
      <c r="D29" s="271" t="str">
        <f>IF(Rates!D289='USL CND'!$A$23,Rates!E289," ")</f>
        <v>connection</v>
      </c>
      <c r="E29" s="79"/>
      <c r="F29" s="80">
        <f>IF(Rates!$G$1="CND 2018",Rates!G289," ")</f>
        <v>0</v>
      </c>
      <c r="G29" s="81">
        <f t="shared" si="2"/>
        <v>1</v>
      </c>
      <c r="H29" s="92">
        <f t="shared" si="3"/>
        <v>0</v>
      </c>
      <c r="I29" s="91"/>
      <c r="J29" s="337">
        <f>IF(Rates!$L$1="E+ 2019",Rates!L289," ")</f>
        <v>0</v>
      </c>
      <c r="K29" s="97">
        <f t="shared" si="4"/>
        <v>1</v>
      </c>
      <c r="L29" s="92">
        <f t="shared" si="0"/>
        <v>0</v>
      </c>
      <c r="M29" s="91"/>
      <c r="N29" s="84">
        <f t="shared" si="1"/>
        <v>0</v>
      </c>
      <c r="O29" s="85" t="str">
        <f t="shared" si="5"/>
        <v/>
      </c>
      <c r="Q29" s="98"/>
      <c r="R29" s="87"/>
      <c r="S29" s="88"/>
      <c r="T29" s="87"/>
      <c r="U29" s="89"/>
      <c r="V29" s="90"/>
      <c r="W29" s="69"/>
      <c r="X29" s="98"/>
      <c r="Y29" s="87"/>
      <c r="Z29" s="88"/>
      <c r="AA29" s="87"/>
      <c r="AB29" s="89"/>
      <c r="AC29" s="90"/>
      <c r="AD29" s="69"/>
      <c r="AE29" s="98"/>
      <c r="AF29" s="87"/>
      <c r="AG29" s="88"/>
      <c r="AH29" s="87"/>
      <c r="AI29" s="89"/>
      <c r="AJ29" s="90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</row>
    <row r="30" spans="1:60" s="101" customFormat="1" x14ac:dyDescent="0.25">
      <c r="A30" s="99"/>
      <c r="B30" s="271" t="str">
        <f>IF(Rates!D290='USL CND'!$A$23,Rates!B290," ")</f>
        <v>Rate Rider for Disposition of Account 1575 and 1576</v>
      </c>
      <c r="C30" s="79"/>
      <c r="D30" s="271" t="str">
        <f>IF(Rates!D290='USL CND'!$A$23,Rates!E290," ")</f>
        <v>kWh</v>
      </c>
      <c r="E30" s="79"/>
      <c r="F30" s="80">
        <f>IF(Rates!$G$1="CND 2018",Rates!G290," ")</f>
        <v>0</v>
      </c>
      <c r="G30" s="81">
        <f t="shared" si="2"/>
        <v>100</v>
      </c>
      <c r="H30" s="92">
        <f t="shared" si="3"/>
        <v>0</v>
      </c>
      <c r="I30" s="91"/>
      <c r="J30" s="337">
        <f>IF(Rates!$L$1="E+ 2019",Rates!L290," ")</f>
        <v>0</v>
      </c>
      <c r="K30" s="97">
        <f t="shared" si="4"/>
        <v>100</v>
      </c>
      <c r="L30" s="92">
        <f t="shared" si="0"/>
        <v>0</v>
      </c>
      <c r="M30" s="91"/>
      <c r="N30" s="84">
        <f t="shared" si="1"/>
        <v>0</v>
      </c>
      <c r="O30" s="85" t="str">
        <f t="shared" si="5"/>
        <v/>
      </c>
      <c r="Q30" s="102"/>
      <c r="R30" s="103"/>
      <c r="S30" s="104"/>
      <c r="T30" s="103"/>
      <c r="U30" s="105"/>
      <c r="V30" s="106"/>
      <c r="W30" s="107"/>
      <c r="X30" s="102"/>
      <c r="Y30" s="103"/>
      <c r="Z30" s="104"/>
      <c r="AA30" s="103"/>
      <c r="AB30" s="105"/>
      <c r="AC30" s="106"/>
      <c r="AD30" s="107"/>
      <c r="AE30" s="102"/>
      <c r="AF30" s="103"/>
      <c r="AG30" s="104"/>
      <c r="AH30" s="103"/>
      <c r="AI30" s="105"/>
      <c r="AJ30" s="106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</row>
    <row r="31" spans="1:60" s="94" customFormat="1" x14ac:dyDescent="0.25">
      <c r="A31" s="3"/>
      <c r="B31" s="271" t="str">
        <f>IF(Rates!D291='USL CND'!$A$23,Rates!B291," ")</f>
        <v>Rate Rider for LRAMVA</v>
      </c>
      <c r="C31" s="79"/>
      <c r="D31" s="271" t="str">
        <f>IF(Rates!D291='USL CND'!$A$23,Rates!E291," ")</f>
        <v>kWh</v>
      </c>
      <c r="E31" s="79"/>
      <c r="F31" s="80">
        <f>IF(Rates!$G$1="CND 2018",Rates!G291," ")</f>
        <v>0</v>
      </c>
      <c r="G31" s="81">
        <f t="shared" si="2"/>
        <v>100</v>
      </c>
      <c r="H31" s="92">
        <f t="shared" si="3"/>
        <v>0</v>
      </c>
      <c r="I31" s="91"/>
      <c r="J31" s="337">
        <f>IF(Rates!$L$1="E+ 2019",Rates!L291," ")</f>
        <v>-1.0838623612552882E-3</v>
      </c>
      <c r="K31" s="97">
        <f t="shared" si="4"/>
        <v>100</v>
      </c>
      <c r="L31" s="92">
        <f t="shared" si="0"/>
        <v>-0.10838623612552882</v>
      </c>
      <c r="M31" s="91"/>
      <c r="N31" s="84">
        <f t="shared" si="1"/>
        <v>-0.10838623612552882</v>
      </c>
      <c r="O31" s="85" t="str">
        <f t="shared" si="5"/>
        <v/>
      </c>
      <c r="Q31" s="98"/>
      <c r="R31" s="87"/>
      <c r="S31" s="88"/>
      <c r="T31" s="87"/>
      <c r="U31" s="89"/>
      <c r="V31" s="90"/>
      <c r="W31" s="69"/>
      <c r="X31" s="98"/>
      <c r="Y31" s="87"/>
      <c r="Z31" s="88"/>
      <c r="AA31" s="87"/>
      <c r="AB31" s="89"/>
      <c r="AC31" s="90"/>
      <c r="AD31" s="69"/>
      <c r="AE31" s="98"/>
      <c r="AF31" s="87"/>
      <c r="AG31" s="88"/>
      <c r="AH31" s="87"/>
      <c r="AI31" s="89"/>
      <c r="AJ31" s="90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</row>
    <row r="32" spans="1:60" s="94" customFormat="1" x14ac:dyDescent="0.25">
      <c r="A32" s="3"/>
      <c r="B32" s="271" t="str">
        <f>IF(Rates!D292='USL CND'!$A$23,Rates!B292," ")</f>
        <v>Other Fixed</v>
      </c>
      <c r="C32" s="79"/>
      <c r="D32" s="271" t="str">
        <f>IF(Rates!D292='USL CND'!$A$23,Rates!E292," ")</f>
        <v>connection</v>
      </c>
      <c r="E32" s="79"/>
      <c r="F32" s="80">
        <f>IF(Rates!$G$1="CND 2018",Rates!G292," ")</f>
        <v>0</v>
      </c>
      <c r="G32" s="81">
        <f t="shared" si="2"/>
        <v>1</v>
      </c>
      <c r="H32" s="92">
        <f t="shared" si="3"/>
        <v>0</v>
      </c>
      <c r="I32" s="91"/>
      <c r="J32" s="337">
        <f>IF(Rates!$L$1="E+ 2019",Rates!L292," ")</f>
        <v>0</v>
      </c>
      <c r="K32" s="97">
        <f t="shared" si="4"/>
        <v>1</v>
      </c>
      <c r="L32" s="92">
        <f t="shared" si="0"/>
        <v>0</v>
      </c>
      <c r="M32" s="91"/>
      <c r="N32" s="84">
        <f t="shared" si="1"/>
        <v>0</v>
      </c>
      <c r="O32" s="85" t="str">
        <f t="shared" si="5"/>
        <v/>
      </c>
      <c r="Q32" s="98"/>
      <c r="R32" s="87"/>
      <c r="S32" s="88"/>
      <c r="T32" s="87"/>
      <c r="U32" s="89"/>
      <c r="V32" s="90"/>
      <c r="W32" s="69"/>
      <c r="X32" s="98"/>
      <c r="Y32" s="87"/>
      <c r="Z32" s="88"/>
      <c r="AA32" s="87"/>
      <c r="AB32" s="89"/>
      <c r="AC32" s="90"/>
      <c r="AD32" s="69"/>
      <c r="AE32" s="98"/>
      <c r="AF32" s="87"/>
      <c r="AG32" s="88"/>
      <c r="AH32" s="87"/>
      <c r="AI32" s="89"/>
      <c r="AJ32" s="90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</row>
    <row r="33" spans="1:60" s="94" customFormat="1" x14ac:dyDescent="0.25">
      <c r="A33" s="3"/>
      <c r="B33" s="271" t="str">
        <f>IF(Rates!D293='USL CND'!$A$23,Rates!B293," ")</f>
        <v>Other Volumetric</v>
      </c>
      <c r="C33" s="79"/>
      <c r="D33" s="271" t="str">
        <f>IF(Rates!D293='USL CND'!$A$23,Rates!E293," ")</f>
        <v>kWh</v>
      </c>
      <c r="E33" s="79"/>
      <c r="F33" s="80">
        <f>IF(Rates!$G$1="CND 2018",Rates!G293," ")</f>
        <v>0</v>
      </c>
      <c r="G33" s="81">
        <f t="shared" si="2"/>
        <v>100</v>
      </c>
      <c r="H33" s="92">
        <f t="shared" si="3"/>
        <v>0</v>
      </c>
      <c r="I33" s="91"/>
      <c r="J33" s="337">
        <f>IF(Rates!$L$1="E+ 2019",Rates!L293," ")</f>
        <v>0</v>
      </c>
      <c r="K33" s="97">
        <f t="shared" si="4"/>
        <v>100</v>
      </c>
      <c r="L33" s="92">
        <f t="shared" si="0"/>
        <v>0</v>
      </c>
      <c r="M33" s="91"/>
      <c r="N33" s="84">
        <f t="shared" si="1"/>
        <v>0</v>
      </c>
      <c r="O33" s="85" t="str">
        <f t="shared" si="5"/>
        <v/>
      </c>
      <c r="Q33" s="95"/>
      <c r="R33" s="87"/>
      <c r="S33" s="88"/>
      <c r="T33" s="87"/>
      <c r="U33" s="89"/>
      <c r="V33" s="90"/>
      <c r="W33" s="69"/>
      <c r="X33" s="95"/>
      <c r="Y33" s="87"/>
      <c r="Z33" s="88"/>
      <c r="AA33" s="87"/>
      <c r="AB33" s="89"/>
      <c r="AC33" s="90"/>
      <c r="AD33" s="69"/>
      <c r="AE33" s="95"/>
      <c r="AF33" s="87"/>
      <c r="AG33" s="88"/>
      <c r="AH33" s="87"/>
      <c r="AI33" s="89"/>
      <c r="AJ33" s="90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</row>
    <row r="34" spans="1:60" s="94" customFormat="1" x14ac:dyDescent="0.25">
      <c r="A34" s="3"/>
      <c r="B34" s="271" t="str">
        <f>IF(Rates!D294='USL CND'!$A$23,Rates!B294," ")</f>
        <v>Rate Rider for gain on Sale of Property</v>
      </c>
      <c r="C34" s="79"/>
      <c r="D34" s="271" t="str">
        <f>IF(Rates!D294='USL CND'!$A$23,Rates!E294," ")</f>
        <v>kWh</v>
      </c>
      <c r="E34" s="79"/>
      <c r="F34" s="80">
        <f>IF(Rates!$G$1="CND 2018",Rates!G294," ")</f>
        <v>0</v>
      </c>
      <c r="G34" s="81">
        <f t="shared" ref="G34" si="6">IF(D34="customer",1,IF(D34="kWh",$F$18,IF(D34="kW",$F$17,1)))</f>
        <v>100</v>
      </c>
      <c r="H34" s="92">
        <f t="shared" ref="H34" si="7">G34*F34</f>
        <v>0</v>
      </c>
      <c r="I34" s="91"/>
      <c r="J34" s="337">
        <f>IF(Rates!$L$1="E+ 2019",Rates!L294," ")</f>
        <v>-2.4661231261194995E-4</v>
      </c>
      <c r="K34" s="97">
        <f t="shared" ref="K34" si="8">IF(D34="customer",1,IF(D34="kWh",$F$18,IF(D34="kW",$F$17,1)))</f>
        <v>100</v>
      </c>
      <c r="L34" s="92">
        <f t="shared" ref="L34" si="9">K34*J34</f>
        <v>-2.4661231261194995E-2</v>
      </c>
      <c r="M34" s="91"/>
      <c r="N34" s="84">
        <f t="shared" ref="N34" si="10">L34-H34</f>
        <v>-2.4661231261194995E-2</v>
      </c>
      <c r="O34" s="85" t="str">
        <f t="shared" ref="O34" si="11">IF(OR(H34=0,L34=0),"",(N34/H34))</f>
        <v/>
      </c>
      <c r="Q34" s="95"/>
      <c r="R34" s="87"/>
      <c r="S34" s="88"/>
      <c r="T34" s="87"/>
      <c r="U34" s="89"/>
      <c r="V34" s="90"/>
      <c r="W34" s="69"/>
      <c r="X34" s="95"/>
      <c r="Y34" s="87"/>
      <c r="Z34" s="88"/>
      <c r="AA34" s="87"/>
      <c r="AB34" s="89"/>
      <c r="AC34" s="90"/>
      <c r="AD34" s="69"/>
      <c r="AE34" s="95"/>
      <c r="AF34" s="87"/>
      <c r="AG34" s="88"/>
      <c r="AH34" s="87"/>
      <c r="AI34" s="89"/>
      <c r="AJ34" s="90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</row>
    <row r="35" spans="1:60" s="94" customFormat="1" x14ac:dyDescent="0.25">
      <c r="A35" s="3"/>
      <c r="B35" s="271"/>
      <c r="C35" s="79"/>
      <c r="D35" s="271"/>
      <c r="E35" s="79"/>
      <c r="F35" s="96"/>
      <c r="G35" s="97"/>
      <c r="H35" s="92">
        <f t="shared" si="3"/>
        <v>0</v>
      </c>
      <c r="I35" s="91"/>
      <c r="J35" s="337"/>
      <c r="K35" s="97"/>
      <c r="L35" s="92">
        <f t="shared" si="0"/>
        <v>0</v>
      </c>
      <c r="M35" s="91"/>
      <c r="N35" s="84">
        <f t="shared" si="1"/>
        <v>0</v>
      </c>
      <c r="O35" s="85" t="str">
        <f t="shared" si="5"/>
        <v/>
      </c>
      <c r="Q35" s="98"/>
      <c r="R35" s="87"/>
      <c r="S35" s="88"/>
      <c r="T35" s="87"/>
      <c r="U35" s="89"/>
      <c r="V35" s="90"/>
      <c r="W35" s="69"/>
      <c r="X35" s="98"/>
      <c r="Y35" s="87"/>
      <c r="Z35" s="88"/>
      <c r="AA35" s="87"/>
      <c r="AB35" s="89"/>
      <c r="AC35" s="90"/>
      <c r="AD35" s="69"/>
      <c r="AE35" s="98"/>
      <c r="AF35" s="87"/>
      <c r="AG35" s="88"/>
      <c r="AH35" s="87"/>
      <c r="AI35" s="89"/>
      <c r="AJ35" s="90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</row>
    <row r="36" spans="1:60" s="94" customFormat="1" x14ac:dyDescent="0.25">
      <c r="A36" s="3"/>
      <c r="B36" s="109" t="s">
        <v>64</v>
      </c>
      <c r="C36" s="110"/>
      <c r="D36" s="110"/>
      <c r="E36" s="110"/>
      <c r="F36" s="111"/>
      <c r="G36" s="112"/>
      <c r="H36" s="113">
        <f>SUM(H23:H35)</f>
        <v>7.15381</v>
      </c>
      <c r="I36" s="91"/>
      <c r="J36" s="115"/>
      <c r="K36" s="116"/>
      <c r="L36" s="113">
        <f>SUM(L23:L35)</f>
        <v>7.0553256173704284</v>
      </c>
      <c r="M36" s="91"/>
      <c r="N36" s="117">
        <f t="shared" si="1"/>
        <v>-9.8484382629571598E-2</v>
      </c>
      <c r="O36" s="118">
        <f>IF(OR(H36=0, L36=0),"",(N36/H36))</f>
        <v>-1.3766703704679268E-2</v>
      </c>
      <c r="Q36" s="119"/>
      <c r="R36" s="120"/>
      <c r="S36" s="88"/>
      <c r="T36" s="87"/>
      <c r="U36" s="121"/>
      <c r="V36" s="122"/>
      <c r="W36" s="69"/>
      <c r="X36" s="119"/>
      <c r="Y36" s="120"/>
      <c r="Z36" s="88"/>
      <c r="AA36" s="87"/>
      <c r="AB36" s="121"/>
      <c r="AC36" s="122"/>
      <c r="AD36" s="69"/>
      <c r="AE36" s="119"/>
      <c r="AF36" s="120"/>
      <c r="AG36" s="88"/>
      <c r="AH36" s="87"/>
      <c r="AI36" s="121"/>
      <c r="AJ36" s="122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</row>
    <row r="37" spans="1:60" s="94" customFormat="1" x14ac:dyDescent="0.25">
      <c r="A37" s="5" t="s">
        <v>18</v>
      </c>
      <c r="B37" s="271" t="str">
        <f>IF(Rates!D295='USL CND'!$A$37,Rates!B295," ")</f>
        <v>Low Voltage Service Rate</v>
      </c>
      <c r="C37" s="79"/>
      <c r="D37" s="271" t="str">
        <f>IF(Rates!D295='USL CND'!$A$37,Rates!E295," ")</f>
        <v>kWh</v>
      </c>
      <c r="E37" s="79"/>
      <c r="F37" s="337">
        <f>IF(Rates!$G$1="CND 2018",Rates!G295," ")</f>
        <v>1E-4</v>
      </c>
      <c r="G37" s="81">
        <f t="shared" ref="G37" si="12">IF(D37="customer",1,IF(D37="kWh",$F$18,IF(D37="kW",$F$17,1)))</f>
        <v>100</v>
      </c>
      <c r="H37" s="92">
        <f t="shared" ref="H37:H42" si="13">G37*F37</f>
        <v>0.01</v>
      </c>
      <c r="I37" s="87"/>
      <c r="J37" s="337">
        <f>IF(Rates!$L$1="E+ 2019",Rates!L295," ")</f>
        <v>4.0000000000000002E-4</v>
      </c>
      <c r="K37" s="97">
        <f t="shared" ref="K37" si="14">IF(D37="customer",1,IF(D37="kWh",$F$18,IF(D37="kW",$F$17,1)))</f>
        <v>100</v>
      </c>
      <c r="L37" s="92">
        <f t="shared" ref="L37:L44" si="15">K37*J37</f>
        <v>0.04</v>
      </c>
      <c r="M37" s="87"/>
      <c r="N37" s="123">
        <f t="shared" si="1"/>
        <v>0.03</v>
      </c>
      <c r="O37" s="338">
        <f t="shared" ref="O37:O44" si="16">IF(OR(H37=0,L37=0),"",(N37/H37))</f>
        <v>3</v>
      </c>
      <c r="Q37" s="119"/>
      <c r="R37" s="87"/>
      <c r="S37" s="88"/>
      <c r="T37" s="87"/>
      <c r="U37" s="89"/>
      <c r="V37" s="90"/>
      <c r="W37" s="69"/>
      <c r="X37" s="119"/>
      <c r="Y37" s="87"/>
      <c r="Z37" s="88"/>
      <c r="AA37" s="87"/>
      <c r="AB37" s="89"/>
      <c r="AC37" s="90"/>
      <c r="AD37" s="69"/>
      <c r="AE37" s="119"/>
      <c r="AF37" s="87"/>
      <c r="AG37" s="88"/>
      <c r="AH37" s="87"/>
      <c r="AI37" s="89"/>
      <c r="AJ37" s="90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</row>
    <row r="38" spans="1:60" x14ac:dyDescent="0.25">
      <c r="A38" s="1"/>
      <c r="B38" s="272" t="s">
        <v>5</v>
      </c>
      <c r="C38" s="79"/>
      <c r="D38" s="271" t="s">
        <v>13</v>
      </c>
      <c r="E38" s="79"/>
      <c r="F38" s="337">
        <f>IF(ISBLANK($D16)=TRUE, 0, IF($D16="TOU", 0.65*$F56+0.17*$F57+0.18*$F58, IF(AND($D16="non-TOU", G60&gt;0), $F60,$F59)))</f>
        <v>8.2160000000000011E-2</v>
      </c>
      <c r="G38" s="125">
        <f>$F18*(1+$F69)-$F18</f>
        <v>3.3500000000000085</v>
      </c>
      <c r="H38" s="126">
        <f t="shared" si="13"/>
        <v>0.27523600000000076</v>
      </c>
      <c r="I38" s="83"/>
      <c r="J38" s="337">
        <f>IF(ISBLANK($D16)=TRUE, 0, IF($D16="TOU", 0.65*$F56+0.17*$F57+0.18*$F58, IF(AND($D16="non-TOU", K60&gt;0), $F60,$F59)))</f>
        <v>8.2160000000000011E-2</v>
      </c>
      <c r="K38" s="125">
        <f>$F18*(1+$J69)-$F18</f>
        <v>3.0684649944027029</v>
      </c>
      <c r="L38" s="126">
        <f t="shared" si="15"/>
        <v>0.2521050839401261</v>
      </c>
      <c r="M38" s="91"/>
      <c r="N38" s="123">
        <f t="shared" si="1"/>
        <v>-2.3130916059874662E-2</v>
      </c>
      <c r="O38" s="93">
        <f t="shared" si="16"/>
        <v>-8.4040300178300067E-2</v>
      </c>
      <c r="Q38" s="128"/>
      <c r="R38" s="129"/>
      <c r="S38" s="88"/>
      <c r="T38" s="87"/>
      <c r="U38" s="89"/>
      <c r="V38" s="90"/>
      <c r="W38" s="69"/>
      <c r="X38" s="128"/>
      <c r="Y38" s="129"/>
      <c r="Z38" s="88"/>
      <c r="AA38" s="87"/>
      <c r="AB38" s="89"/>
      <c r="AC38" s="90"/>
      <c r="AD38" s="69"/>
      <c r="AE38" s="128"/>
      <c r="AF38" s="129"/>
      <c r="AG38" s="88"/>
      <c r="AH38" s="87"/>
      <c r="AI38" s="89"/>
      <c r="AJ38" s="90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</row>
    <row r="39" spans="1:60" s="101" customFormat="1" x14ac:dyDescent="0.25">
      <c r="A39" s="130"/>
      <c r="B39" s="271" t="str">
        <f>IF(Rates!D296='USL CND'!$A$37,Rates!B296," ")</f>
        <v>Rate Rider Other Fixed</v>
      </c>
      <c r="C39" s="79"/>
      <c r="D39" s="271" t="str">
        <f>IF(Rates!D296='USL CND'!$A$37,Rates!E296," ")</f>
        <v>connection</v>
      </c>
      <c r="E39" s="79"/>
      <c r="F39" s="337">
        <f>IF(Rates!$G$1="CND 2018",Rates!G296," ")</f>
        <v>0</v>
      </c>
      <c r="G39" s="81">
        <f t="shared" ref="G39:G51" si="17">IF(D39="customer",1,IF(D39="kWh",$F$18,IF(D39="kW",$F$17,1)))</f>
        <v>1</v>
      </c>
      <c r="H39" s="92">
        <f t="shared" si="13"/>
        <v>0</v>
      </c>
      <c r="I39" s="91"/>
      <c r="J39" s="337">
        <f>IF(Rates!$L$1="E+ 2019",Rates!L296," ")</f>
        <v>0</v>
      </c>
      <c r="K39" s="97">
        <f t="shared" ref="K39:K45" si="18">IF(D39="customer",1,IF(D39="kWh",$F$18,IF(D39="kW",$F$17,1)))</f>
        <v>1</v>
      </c>
      <c r="L39" s="126">
        <f t="shared" si="15"/>
        <v>0</v>
      </c>
      <c r="M39" s="91"/>
      <c r="N39" s="123">
        <f t="shared" si="1"/>
        <v>0</v>
      </c>
      <c r="O39" s="93" t="str">
        <f t="shared" si="16"/>
        <v/>
      </c>
      <c r="Q39" s="102"/>
      <c r="R39" s="103"/>
      <c r="S39" s="104"/>
      <c r="T39" s="103"/>
      <c r="U39" s="105"/>
      <c r="V39" s="106"/>
      <c r="W39" s="107"/>
      <c r="X39" s="102"/>
      <c r="Y39" s="103"/>
      <c r="Z39" s="104"/>
      <c r="AA39" s="103"/>
      <c r="AB39" s="105"/>
      <c r="AC39" s="106"/>
      <c r="AD39" s="107"/>
      <c r="AE39" s="102"/>
      <c r="AF39" s="103"/>
      <c r="AG39" s="104"/>
      <c r="AH39" s="103"/>
      <c r="AI39" s="105"/>
      <c r="AJ39" s="106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</row>
    <row r="40" spans="1:60" s="101" customFormat="1" x14ac:dyDescent="0.25">
      <c r="A40" s="130"/>
      <c r="B40" s="271" t="str">
        <f>IF(Rates!D297='USL CND'!$A$37,Rates!B297," ")</f>
        <v>Rate Rider Other Volumetric</v>
      </c>
      <c r="C40" s="79"/>
      <c r="D40" s="271" t="str">
        <f>IF(Rates!D297='USL CND'!$A$37,Rates!E297," ")</f>
        <v>kWh</v>
      </c>
      <c r="E40" s="79"/>
      <c r="F40" s="337">
        <f>IF(Rates!$G$1="CND 2018",Rates!G297," ")</f>
        <v>0</v>
      </c>
      <c r="G40" s="81">
        <f t="shared" si="17"/>
        <v>100</v>
      </c>
      <c r="H40" s="92">
        <f t="shared" si="13"/>
        <v>0</v>
      </c>
      <c r="I40" s="91"/>
      <c r="J40" s="337">
        <f>IF(Rates!$L$1="E+ 2019",Rates!L297," ")</f>
        <v>9.8018286493145698E-4</v>
      </c>
      <c r="K40" s="97">
        <f t="shared" si="18"/>
        <v>100</v>
      </c>
      <c r="L40" s="126">
        <f t="shared" si="15"/>
        <v>9.8018286493145701E-2</v>
      </c>
      <c r="M40" s="91"/>
      <c r="N40" s="123">
        <f t="shared" si="1"/>
        <v>9.8018286493145701E-2</v>
      </c>
      <c r="O40" s="93" t="str">
        <f>IF(OR(H40=0,L40=0),"",(N40/H40))</f>
        <v/>
      </c>
      <c r="Q40" s="102"/>
      <c r="R40" s="103"/>
      <c r="S40" s="104"/>
      <c r="T40" s="103"/>
      <c r="U40" s="105"/>
      <c r="V40" s="106"/>
      <c r="W40" s="107"/>
      <c r="X40" s="102"/>
      <c r="Y40" s="103"/>
      <c r="Z40" s="104"/>
      <c r="AA40" s="103"/>
      <c r="AB40" s="105"/>
      <c r="AC40" s="106"/>
      <c r="AD40" s="107"/>
      <c r="AE40" s="102"/>
      <c r="AF40" s="103"/>
      <c r="AG40" s="104"/>
      <c r="AH40" s="103"/>
      <c r="AI40" s="105"/>
      <c r="AJ40" s="106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</row>
    <row r="41" spans="1:60" s="101" customFormat="1" x14ac:dyDescent="0.25">
      <c r="A41" s="130"/>
      <c r="B41" s="271" t="str">
        <f>IF(Rates!D298='USL CND'!$A$37,Rates!B298," ")</f>
        <v>Rate Rider Other Volumetric</v>
      </c>
      <c r="C41" s="79"/>
      <c r="D41" s="271" t="str">
        <f>IF(Rates!D298='USL CND'!$A$37,Rates!E298," ")</f>
        <v>kWh</v>
      </c>
      <c r="E41" s="79"/>
      <c r="F41" s="337">
        <f>IF(Rates!$G$1="CND 2018",Rates!G298," ")</f>
        <v>0</v>
      </c>
      <c r="G41" s="81">
        <f t="shared" si="17"/>
        <v>100</v>
      </c>
      <c r="H41" s="92">
        <f t="shared" si="13"/>
        <v>0</v>
      </c>
      <c r="I41" s="91"/>
      <c r="J41" s="337">
        <f>IF(Rates!$L$1="E+ 2019",Rates!L298," ")</f>
        <v>0</v>
      </c>
      <c r="K41" s="97">
        <f t="shared" si="18"/>
        <v>100</v>
      </c>
      <c r="L41" s="126">
        <f t="shared" si="15"/>
        <v>0</v>
      </c>
      <c r="M41" s="91"/>
      <c r="N41" s="123">
        <f t="shared" si="1"/>
        <v>0</v>
      </c>
      <c r="O41" s="93" t="str">
        <f t="shared" si="16"/>
        <v/>
      </c>
      <c r="Q41" s="102"/>
      <c r="R41" s="103"/>
      <c r="S41" s="104"/>
      <c r="T41" s="103"/>
      <c r="U41" s="105"/>
      <c r="V41" s="106"/>
      <c r="W41" s="107"/>
      <c r="X41" s="102"/>
      <c r="Y41" s="103"/>
      <c r="Z41" s="104"/>
      <c r="AA41" s="103"/>
      <c r="AB41" s="105"/>
      <c r="AC41" s="106"/>
      <c r="AD41" s="107"/>
      <c r="AE41" s="102"/>
      <c r="AF41" s="103"/>
      <c r="AG41" s="104"/>
      <c r="AH41" s="103"/>
      <c r="AI41" s="105"/>
      <c r="AJ41" s="106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</row>
    <row r="42" spans="1:60" s="101" customFormat="1" ht="28.5" x14ac:dyDescent="0.25">
      <c r="A42" s="130"/>
      <c r="B42" s="271" t="str">
        <f>IF(Rates!D299='USL CND'!$A$37,Rates!B299," ")</f>
        <v xml:space="preserve">Rate Rider for Disposition of Deferral/Variance Accounts </v>
      </c>
      <c r="C42" s="79"/>
      <c r="D42" s="271" t="str">
        <f>IF(Rates!D299='USL CND'!$A$37,Rates!E299," ")</f>
        <v>kWh</v>
      </c>
      <c r="E42" s="79"/>
      <c r="F42" s="337">
        <f>IF(Rates!$G$1="CND 2018",Rates!G299," ")</f>
        <v>-6.202260836220665E-3</v>
      </c>
      <c r="G42" s="81">
        <f t="shared" si="17"/>
        <v>100</v>
      </c>
      <c r="H42" s="92">
        <f t="shared" si="13"/>
        <v>-0.62022608362206655</v>
      </c>
      <c r="I42" s="91"/>
      <c r="J42" s="337">
        <f>IF(Rates!$L$1="E+ 2019",Rates!L299," ")</f>
        <v>-1.6676763934089817E-3</v>
      </c>
      <c r="K42" s="97">
        <f t="shared" si="18"/>
        <v>100</v>
      </c>
      <c r="L42" s="92">
        <f t="shared" si="15"/>
        <v>-0.16676763934089817</v>
      </c>
      <c r="M42" s="91"/>
      <c r="N42" s="123">
        <f t="shared" si="1"/>
        <v>0.45345844428116838</v>
      </c>
      <c r="O42" s="93">
        <f t="shared" si="16"/>
        <v>-0.73111798464361644</v>
      </c>
      <c r="Q42" s="102"/>
      <c r="R42" s="103"/>
      <c r="S42" s="104"/>
      <c r="T42" s="103"/>
      <c r="U42" s="105"/>
      <c r="V42" s="106"/>
      <c r="W42" s="107"/>
      <c r="X42" s="102"/>
      <c r="Y42" s="103"/>
      <c r="Z42" s="104"/>
      <c r="AA42" s="103"/>
      <c r="AB42" s="105"/>
      <c r="AC42" s="106"/>
      <c r="AD42" s="107"/>
      <c r="AE42" s="102"/>
      <c r="AF42" s="103"/>
      <c r="AG42" s="104"/>
      <c r="AH42" s="103"/>
      <c r="AI42" s="105"/>
      <c r="AJ42" s="106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</row>
    <row r="43" spans="1:60" s="101" customFormat="1" ht="28.5" x14ac:dyDescent="0.25">
      <c r="A43" s="130"/>
      <c r="B43" s="271" t="str">
        <f>IF(Rates!D300='USL CND'!$A$37,Rates!B300," ")</f>
        <v>Rate Rider for Disposition of Deferral/Variance Accounts Non-WMP Customers</v>
      </c>
      <c r="C43" s="79"/>
      <c r="D43" s="271" t="str">
        <f>IF(Rates!D300='USL CND'!$A$37,Rates!E300," ")</f>
        <v>kWh</v>
      </c>
      <c r="E43" s="79"/>
      <c r="F43" s="337">
        <f>IF(Rates!$G$1="CND 2018",Rates!G300," ")</f>
        <v>0</v>
      </c>
      <c r="G43" s="81">
        <f t="shared" si="17"/>
        <v>100</v>
      </c>
      <c r="H43" s="92"/>
      <c r="I43" s="91"/>
      <c r="J43" s="337">
        <f>IF(Rates!$L$1="E+ 2019",Rates!L300," ")</f>
        <v>0</v>
      </c>
      <c r="K43" s="97">
        <f t="shared" si="18"/>
        <v>100</v>
      </c>
      <c r="L43" s="92">
        <f t="shared" si="15"/>
        <v>0</v>
      </c>
      <c r="M43" s="91"/>
      <c r="N43" s="123">
        <f t="shared" si="1"/>
        <v>0</v>
      </c>
      <c r="O43" s="93" t="str">
        <f t="shared" si="16"/>
        <v/>
      </c>
      <c r="Q43" s="102"/>
      <c r="R43" s="103"/>
      <c r="S43" s="104"/>
      <c r="T43" s="103"/>
      <c r="U43" s="105"/>
      <c r="V43" s="106"/>
      <c r="W43" s="107"/>
      <c r="X43" s="102"/>
      <c r="Y43" s="103"/>
      <c r="Z43" s="104"/>
      <c r="AA43" s="103"/>
      <c r="AB43" s="105"/>
      <c r="AC43" s="106"/>
      <c r="AD43" s="107"/>
      <c r="AE43" s="102"/>
      <c r="AF43" s="103"/>
      <c r="AG43" s="104"/>
      <c r="AH43" s="103"/>
      <c r="AI43" s="105"/>
      <c r="AJ43" s="106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</row>
    <row r="44" spans="1:60" x14ac:dyDescent="0.25">
      <c r="A44" s="1"/>
      <c r="B44" s="271" t="str">
        <f>IF(Rates!D301='USL CND'!$A$37,Rates!B301," ")</f>
        <v>Rate Rider for Disposition of GA DV</v>
      </c>
      <c r="C44" s="79"/>
      <c r="D44" s="271" t="str">
        <f>IF(Rates!D301='USL CND'!$A$37,Rates!E301," ")</f>
        <v>kWh</v>
      </c>
      <c r="E44" s="79"/>
      <c r="F44" s="337">
        <f>IF(Rates!$G$1="CND 2018",Rates!G301," ")</f>
        <v>3.2000000000000002E-3</v>
      </c>
      <c r="G44" s="81">
        <f t="shared" si="17"/>
        <v>100</v>
      </c>
      <c r="H44" s="126">
        <f>G44*F44</f>
        <v>0.32</v>
      </c>
      <c r="I44" s="83"/>
      <c r="J44" s="337">
        <f>IF(Rates!$L$1="E+ 2019",Rates!L301," ")</f>
        <v>3.8449181889326276E-4</v>
      </c>
      <c r="K44" s="97">
        <f t="shared" si="18"/>
        <v>100</v>
      </c>
      <c r="L44" s="126">
        <f t="shared" si="15"/>
        <v>3.8449181889326278E-2</v>
      </c>
      <c r="M44" s="91"/>
      <c r="N44" s="123">
        <f t="shared" si="1"/>
        <v>-0.28155081811067373</v>
      </c>
      <c r="O44" s="93">
        <f t="shared" si="16"/>
        <v>-0.87984630659585539</v>
      </c>
      <c r="Q44" s="131"/>
      <c r="R44" s="87"/>
      <c r="S44" s="190" t="s">
        <v>205</v>
      </c>
      <c r="T44" s="87"/>
      <c r="U44" s="89"/>
      <c r="V44" s="90"/>
      <c r="W44" s="69"/>
      <c r="X44" s="131"/>
      <c r="Y44" s="87"/>
      <c r="Z44" s="88"/>
      <c r="AA44" s="87"/>
      <c r="AB44" s="89"/>
      <c r="AC44" s="90"/>
      <c r="AD44" s="69"/>
      <c r="AE44" s="131"/>
      <c r="AF44" s="87"/>
      <c r="AG44" s="88"/>
      <c r="AH44" s="87"/>
      <c r="AI44" s="89"/>
      <c r="AJ44" s="90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</row>
    <row r="45" spans="1:60" ht="42.75" x14ac:dyDescent="0.25">
      <c r="A45" s="1"/>
      <c r="B45" s="271" t="str">
        <f>IF(Rates!D302='USL CND'!$A$37,Rates!B302," ")</f>
        <v>Rate Rider for Disposition of Capacity Based Recovery Account (2018) - Applicable only for Class B Customers</v>
      </c>
      <c r="C45" s="79"/>
      <c r="D45" s="271" t="str">
        <f>IF(Rates!D302='USL CND'!$A$37,Rates!E302," ")</f>
        <v>kWh</v>
      </c>
      <c r="E45" s="79"/>
      <c r="F45" s="337">
        <f>IF(Rates!$G$1="CND 2018",Rates!G302," ")</f>
        <v>4.0000000000000002E-4</v>
      </c>
      <c r="G45" s="81">
        <f t="shared" si="17"/>
        <v>100</v>
      </c>
      <c r="H45" s="126">
        <f>G45*F45</f>
        <v>0.04</v>
      </c>
      <c r="I45" s="91"/>
      <c r="J45" s="337">
        <f>IF(Rates!$L$1="E+ 2019",Rates!L302," ")</f>
        <v>4.9568533837617714E-6</v>
      </c>
      <c r="K45" s="97">
        <f t="shared" si="18"/>
        <v>100</v>
      </c>
      <c r="L45" s="126">
        <f t="shared" ref="L45" si="19">K45*J45</f>
        <v>4.9568533837617717E-4</v>
      </c>
      <c r="M45" s="87"/>
      <c r="N45" s="123">
        <f t="shared" ref="N45" si="20">L45-H45</f>
        <v>-3.9504314661623824E-2</v>
      </c>
      <c r="O45" s="93">
        <f t="shared" ref="O45" si="21">IF(OR(H45=0,L45=0),"",(N45/H45))</f>
        <v>-0.98760786654059562</v>
      </c>
      <c r="Q45" s="131"/>
      <c r="R45" s="87"/>
      <c r="S45" s="88"/>
      <c r="T45" s="87"/>
      <c r="U45" s="89"/>
      <c r="V45" s="90"/>
      <c r="W45" s="69"/>
      <c r="X45" s="131"/>
      <c r="Y45" s="87"/>
      <c r="Z45" s="88"/>
      <c r="AA45" s="87"/>
      <c r="AB45" s="89"/>
      <c r="AC45" s="90"/>
      <c r="AD45" s="69"/>
      <c r="AE45" s="131"/>
      <c r="AF45" s="87"/>
      <c r="AG45" s="88"/>
      <c r="AH45" s="87"/>
      <c r="AI45" s="89"/>
      <c r="AJ45" s="90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</row>
    <row r="46" spans="1:60" hidden="1" x14ac:dyDescent="0.25">
      <c r="A46" s="1"/>
      <c r="B46" s="271"/>
      <c r="C46" s="79"/>
      <c r="D46" s="271"/>
      <c r="E46" s="79"/>
      <c r="F46" s="337"/>
      <c r="G46" s="81"/>
      <c r="H46" s="126"/>
      <c r="I46" s="91"/>
      <c r="J46" s="337"/>
      <c r="K46" s="97"/>
      <c r="L46" s="126"/>
      <c r="M46" s="87"/>
      <c r="N46" s="123"/>
      <c r="O46" s="93"/>
      <c r="Q46" s="131"/>
      <c r="R46" s="87"/>
      <c r="S46" s="88"/>
      <c r="T46" s="87"/>
      <c r="U46" s="89"/>
      <c r="V46" s="90"/>
      <c r="W46" s="69"/>
      <c r="X46" s="131"/>
      <c r="Y46" s="87"/>
      <c r="Z46" s="88"/>
      <c r="AA46" s="87"/>
      <c r="AB46" s="89"/>
      <c r="AC46" s="90"/>
      <c r="AD46" s="69"/>
      <c r="AE46" s="131"/>
      <c r="AF46" s="87"/>
      <c r="AG46" s="88"/>
      <c r="AH46" s="87"/>
      <c r="AI46" s="89"/>
      <c r="AJ46" s="90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</row>
    <row r="47" spans="1:60" x14ac:dyDescent="0.25">
      <c r="A47" s="1"/>
      <c r="B47" s="132" t="s">
        <v>80</v>
      </c>
      <c r="C47" s="133"/>
      <c r="D47" s="133"/>
      <c r="E47" s="133"/>
      <c r="F47" s="134"/>
      <c r="G47" s="135"/>
      <c r="H47" s="136">
        <f>SUM(H37:H45)+H36-H44+H46</f>
        <v>6.858819916377934</v>
      </c>
      <c r="I47" s="87"/>
      <c r="J47" s="135"/>
      <c r="K47" s="137"/>
      <c r="L47" s="136">
        <f>SUM(L37:L45)+L36-L44+L46</f>
        <v>7.2791770338011776</v>
      </c>
      <c r="M47" s="87"/>
      <c r="N47" s="117">
        <f>L47-H47</f>
        <v>0.42035711742324366</v>
      </c>
      <c r="O47" s="138">
        <f>IF(OR(H47=0,L47=0),"",(N47/H47))</f>
        <v>6.1287090570709947E-2</v>
      </c>
      <c r="Q47" s="87"/>
      <c r="R47" s="87"/>
      <c r="T47" s="87"/>
      <c r="U47" s="121"/>
      <c r="V47" s="139"/>
      <c r="W47" s="69"/>
      <c r="X47" s="87"/>
      <c r="Y47" s="87"/>
      <c r="Z47" s="121"/>
      <c r="AA47" s="87"/>
      <c r="AB47" s="121"/>
      <c r="AC47" s="139"/>
      <c r="AD47" s="69"/>
      <c r="AE47" s="87"/>
      <c r="AF47" s="87"/>
      <c r="AG47" s="121"/>
      <c r="AH47" s="87"/>
      <c r="AI47" s="121"/>
      <c r="AJ47" s="13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</row>
    <row r="48" spans="1:60" x14ac:dyDescent="0.25">
      <c r="A48" s="38" t="s">
        <v>16</v>
      </c>
      <c r="B48" s="271" t="str">
        <f>IF(Rates!D303='USL CND'!$A$48,Rates!B303," ")</f>
        <v>Retail Transmission Rate – Network Service Rate</v>
      </c>
      <c r="C48" s="79"/>
      <c r="D48" s="271" t="str">
        <f>IF(Rates!D303='USL CND'!$A$48,Rates!E303," ")</f>
        <v>kWh</v>
      </c>
      <c r="E48" s="91"/>
      <c r="F48" s="235">
        <f>IF(Rates!$G$1="CND 2018",Rates!G303," ")</f>
        <v>5.1999999999999998E-3</v>
      </c>
      <c r="G48" s="140">
        <f>$F18*(1+$F69)</f>
        <v>103.35000000000001</v>
      </c>
      <c r="H48" s="82">
        <f>G48*F48</f>
        <v>0.53742000000000001</v>
      </c>
      <c r="I48" s="87"/>
      <c r="J48" s="235">
        <f>IF(Rates!$L$1="E+ 2019",Rates!L303," ")</f>
        <v>4.9679962660321014E-3</v>
      </c>
      <c r="K48" s="140">
        <f>$F$18*(1+$J$69)</f>
        <v>103.0684649944027</v>
      </c>
      <c r="L48" s="82">
        <f>K48*J48</f>
        <v>0.51204374923785301</v>
      </c>
      <c r="M48" s="87"/>
      <c r="N48" s="84">
        <f t="shared" si="1"/>
        <v>-2.5376250762147001E-2</v>
      </c>
      <c r="O48" s="85">
        <f>IF(OR(H48=0,L48=0),"",(N48/H48))</f>
        <v>-4.7218657218092E-2</v>
      </c>
      <c r="Q48" s="98"/>
      <c r="R48" s="141"/>
      <c r="S48" s="294">
        <f>F48*K48</f>
        <v>0.53595601797089398</v>
      </c>
      <c r="T48" s="87"/>
      <c r="U48" s="89"/>
      <c r="V48" s="90"/>
      <c r="W48" s="69"/>
      <c r="X48" s="98"/>
      <c r="Y48" s="141"/>
      <c r="Z48" s="88"/>
      <c r="AA48" s="87"/>
      <c r="AB48" s="89"/>
      <c r="AC48" s="90"/>
      <c r="AD48" s="69"/>
      <c r="AE48" s="98"/>
      <c r="AF48" s="141"/>
      <c r="AG48" s="88"/>
      <c r="AH48" s="87"/>
      <c r="AI48" s="89"/>
      <c r="AJ48" s="90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</row>
    <row r="49" spans="1:60" ht="28.5" x14ac:dyDescent="0.25">
      <c r="A49" s="1"/>
      <c r="B49" s="271" t="str">
        <f>IF(Rates!D304='USL CND'!$A$48,Rates!B304," ")</f>
        <v>Retail Transmission Rate – Line and Transformation Connection Service Rate</v>
      </c>
      <c r="C49" s="79"/>
      <c r="D49" s="271" t="str">
        <f>IF(Rates!D304='USL CND'!$A$48,Rates!E304," ")</f>
        <v>kWh</v>
      </c>
      <c r="E49" s="91"/>
      <c r="F49" s="235">
        <f>IF(Rates!$G$1="CND 2018",Rates!G304," ")</f>
        <v>4.1000000000000003E-3</v>
      </c>
      <c r="G49" s="140">
        <f>$F18*(1+$F69)</f>
        <v>103.35000000000001</v>
      </c>
      <c r="H49" s="82">
        <f>G49*F49</f>
        <v>0.42373500000000008</v>
      </c>
      <c r="I49" s="87"/>
      <c r="J49" s="235">
        <f>IF(Rates!$L$1="E+ 2019",Rates!L304," ")</f>
        <v>3.8893129791551149E-3</v>
      </c>
      <c r="K49" s="140">
        <f>$F$18*(1+$J$69)</f>
        <v>103.0684649944027</v>
      </c>
      <c r="L49" s="82">
        <f>K49*J49</f>
        <v>0.40086551864432507</v>
      </c>
      <c r="M49" s="87"/>
      <c r="N49" s="84">
        <f t="shared" si="1"/>
        <v>-2.2869481355675014E-2</v>
      </c>
      <c r="O49" s="85">
        <f>IF(OR(H49=0,L49=0),"",(N49/H49))</f>
        <v>-5.3971188020047932E-2</v>
      </c>
      <c r="Q49" s="98"/>
      <c r="R49" s="141"/>
      <c r="S49" s="295">
        <f>F49*K49</f>
        <v>0.42258070647705109</v>
      </c>
      <c r="T49" s="87"/>
      <c r="U49" s="89"/>
      <c r="V49" s="90"/>
      <c r="W49" s="69"/>
      <c r="X49" s="98"/>
      <c r="Y49" s="141"/>
      <c r="Z49" s="88"/>
      <c r="AA49" s="87"/>
      <c r="AB49" s="89"/>
      <c r="AC49" s="90"/>
      <c r="AD49" s="69"/>
      <c r="AE49" s="98"/>
      <c r="AF49" s="141"/>
      <c r="AG49" s="88"/>
      <c r="AH49" s="87"/>
      <c r="AI49" s="89"/>
      <c r="AJ49" s="90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</row>
    <row r="50" spans="1:60" x14ac:dyDescent="0.25">
      <c r="A50" s="1"/>
      <c r="B50" s="132" t="s">
        <v>81</v>
      </c>
      <c r="C50" s="110"/>
      <c r="D50" s="110"/>
      <c r="E50" s="110"/>
      <c r="F50" s="142"/>
      <c r="G50" s="135"/>
      <c r="H50" s="136">
        <f>SUM(H47:H49)</f>
        <v>7.8199749163779337</v>
      </c>
      <c r="I50" s="146"/>
      <c r="J50" s="142"/>
      <c r="K50" s="145"/>
      <c r="L50" s="136">
        <f>SUM(L47:L49)</f>
        <v>8.1920863016833554</v>
      </c>
      <c r="M50" s="146"/>
      <c r="N50" s="117">
        <f>L50-H50</f>
        <v>0.37211138530542165</v>
      </c>
      <c r="O50" s="138">
        <f>IF(OR(H50=0,L50=0),"",(N50/H50))</f>
        <v>4.7584728759945523E-2</v>
      </c>
      <c r="Q50" s="146"/>
      <c r="R50" s="146"/>
      <c r="S50" s="296">
        <f>S48+S49</f>
        <v>0.95853672444794502</v>
      </c>
      <c r="T50" s="146"/>
      <c r="U50" s="121"/>
      <c r="V50" s="139"/>
      <c r="W50" s="69"/>
      <c r="X50" s="146"/>
      <c r="Y50" s="146"/>
      <c r="Z50" s="121"/>
      <c r="AA50" s="146"/>
      <c r="AB50" s="121"/>
      <c r="AC50" s="139"/>
      <c r="AD50" s="69"/>
      <c r="AE50" s="146"/>
      <c r="AF50" s="146"/>
      <c r="AG50" s="121"/>
      <c r="AH50" s="146"/>
      <c r="AI50" s="121"/>
      <c r="AJ50" s="13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</row>
    <row r="51" spans="1:60" ht="28.5" x14ac:dyDescent="0.25">
      <c r="A51" s="4" t="s">
        <v>17</v>
      </c>
      <c r="B51" s="271" t="str">
        <f>IF(Rates!D8='USL CND'!$A$51,Rates!B8," ")</f>
        <v>Standard Supply Service – Administrative Charge (if applicable)</v>
      </c>
      <c r="C51" s="79"/>
      <c r="D51" s="271" t="str">
        <f>IF(Rates!D8='USL CND'!$A$51,Rates!E8," ")</f>
        <v>customer</v>
      </c>
      <c r="E51" s="79"/>
      <c r="F51" s="235">
        <f>IF(Rates!$G$1="CND 2018",Rates!G8," ")</f>
        <v>0.25</v>
      </c>
      <c r="G51" s="81">
        <f t="shared" si="17"/>
        <v>1</v>
      </c>
      <c r="H51" s="370">
        <f t="shared" ref="H51:H60" si="22">G51*F51</f>
        <v>0.25</v>
      </c>
      <c r="I51" s="87"/>
      <c r="J51" s="80">
        <f>IF(Rates!$L$1="E+ 2019",Rates!L8," ")</f>
        <v>0.25</v>
      </c>
      <c r="K51" s="81">
        <f t="shared" ref="K51" si="23">IF(H51="customer",1,IF(H51="kWh",$F$18,IF(H51="kW",$F$17,1)))</f>
        <v>1</v>
      </c>
      <c r="L51" s="148">
        <f t="shared" ref="L51:L60" si="24">K51*J51</f>
        <v>0.25</v>
      </c>
      <c r="M51" s="87"/>
      <c r="N51" s="149">
        <f t="shared" si="1"/>
        <v>0</v>
      </c>
      <c r="O51" s="85">
        <f>IF(OR(H51=0,L51=0),"",(N51/H51))</f>
        <v>0</v>
      </c>
      <c r="Q51" s="150"/>
      <c r="R51" s="141"/>
      <c r="S51" s="151"/>
      <c r="T51" s="87"/>
      <c r="U51" s="89"/>
      <c r="V51" s="90"/>
      <c r="W51" s="69"/>
      <c r="X51" s="150"/>
      <c r="Y51" s="141"/>
      <c r="Z51" s="151"/>
      <c r="AA51" s="87"/>
      <c r="AB51" s="89"/>
      <c r="AC51" s="90"/>
      <c r="AD51" s="69"/>
      <c r="AE51" s="150"/>
      <c r="AF51" s="141"/>
      <c r="AG51" s="151"/>
      <c r="AH51" s="87"/>
      <c r="AI51" s="89"/>
      <c r="AJ51" s="90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</row>
    <row r="52" spans="1:60" x14ac:dyDescent="0.25">
      <c r="A52" s="1"/>
      <c r="B52" s="271" t="str">
        <f>IF(Rates!D9='USL CND'!$A$51,Rates!B9," ")</f>
        <v xml:space="preserve">Wholesale Market Service Rate </v>
      </c>
      <c r="C52" s="79"/>
      <c r="D52" s="271" t="str">
        <f>IF(Rates!D9='USL CND'!$A$51,Rates!E9," ")</f>
        <v>kWh</v>
      </c>
      <c r="E52" s="79"/>
      <c r="F52" s="235">
        <f>IF(Rates!$G$1="CND 2018",Rates!G9," ")</f>
        <v>3.2000000000000002E-3</v>
      </c>
      <c r="G52" s="140">
        <f>$F18*(1+$F69)</f>
        <v>103.35000000000001</v>
      </c>
      <c r="H52" s="370">
        <f t="shared" si="22"/>
        <v>0.33072000000000007</v>
      </c>
      <c r="I52" s="87"/>
      <c r="J52" s="235">
        <f>IF(Rates!$L$1="E+ 2019",Rates!L9," ")</f>
        <v>3.2000000000000002E-3</v>
      </c>
      <c r="K52" s="140">
        <f>$F$18*(1+$J$69)</f>
        <v>103.0684649944027</v>
      </c>
      <c r="L52" s="148">
        <f t="shared" si="24"/>
        <v>0.32981908798208864</v>
      </c>
      <c r="M52" s="87"/>
      <c r="N52" s="84">
        <f t="shared" si="1"/>
        <v>-9.0091201791142606E-4</v>
      </c>
      <c r="O52" s="85">
        <f t="shared" ref="O52:O66" si="25">IF(OR(H52=0,L52=0),"",(N52/H52))</f>
        <v>-2.7240929424027149E-3</v>
      </c>
      <c r="Q52" s="150"/>
      <c r="R52" s="141"/>
      <c r="S52" s="151"/>
      <c r="T52" s="87"/>
      <c r="U52" s="89"/>
      <c r="V52" s="90"/>
      <c r="W52" s="69"/>
      <c r="X52" s="150"/>
      <c r="Y52" s="141"/>
      <c r="Z52" s="151"/>
      <c r="AA52" s="87"/>
      <c r="AB52" s="89"/>
      <c r="AC52" s="90"/>
      <c r="AD52" s="69"/>
      <c r="AE52" s="150"/>
      <c r="AF52" s="141"/>
      <c r="AG52" s="151"/>
      <c r="AH52" s="87"/>
      <c r="AI52" s="89"/>
      <c r="AJ52" s="90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</row>
    <row r="53" spans="1:60" x14ac:dyDescent="0.25">
      <c r="A53" s="1"/>
      <c r="B53" s="271" t="str">
        <f>IF(Rates!D10='USL CND'!$A$51,Rates!B10," ")</f>
        <v>Capacity Based Rcovery(CBR) - Class B Customers</v>
      </c>
      <c r="C53" s="79"/>
      <c r="D53" s="271" t="str">
        <f>IF(Rates!D10='USL CND'!$A$51,Rates!E10," ")</f>
        <v>kWh</v>
      </c>
      <c r="E53" s="79"/>
      <c r="F53" s="235">
        <f>IF(Rates!$G$1="CND 2018",Rates!G10," ")</f>
        <v>4.0000000000000002E-4</v>
      </c>
      <c r="G53" s="140">
        <f>$F18*(1+$F69)</f>
        <v>103.35000000000001</v>
      </c>
      <c r="H53" s="370">
        <f t="shared" si="22"/>
        <v>4.1340000000000009E-2</v>
      </c>
      <c r="I53" s="87"/>
      <c r="J53" s="235">
        <f>IF(Rates!$L$1="E+ 2019",Rates!L10," ")</f>
        <v>4.0000000000000002E-4</v>
      </c>
      <c r="K53" s="140">
        <f t="shared" ref="K53" si="26">$F$18*(1+$J$69)</f>
        <v>103.0684649944027</v>
      </c>
      <c r="L53" s="148">
        <f t="shared" si="24"/>
        <v>4.122738599776108E-2</v>
      </c>
      <c r="M53" s="87"/>
      <c r="N53" s="84">
        <f t="shared" si="1"/>
        <v>-1.1261400223892826E-4</v>
      </c>
      <c r="O53" s="85">
        <f t="shared" si="25"/>
        <v>-2.7240929424027149E-3</v>
      </c>
      <c r="Q53" s="150"/>
      <c r="R53" s="141"/>
      <c r="S53" s="151"/>
      <c r="T53" s="87"/>
      <c r="U53" s="89"/>
      <c r="V53" s="90"/>
      <c r="W53" s="69"/>
      <c r="X53" s="150"/>
      <c r="Y53" s="141"/>
      <c r="Z53" s="151"/>
      <c r="AA53" s="87"/>
      <c r="AB53" s="89"/>
      <c r="AC53" s="90"/>
      <c r="AD53" s="69"/>
      <c r="AE53" s="150"/>
      <c r="AF53" s="141"/>
      <c r="AG53" s="151"/>
      <c r="AH53" s="87"/>
      <c r="AI53" s="89"/>
      <c r="AJ53" s="90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</row>
    <row r="54" spans="1:60" x14ac:dyDescent="0.25">
      <c r="A54" s="1"/>
      <c r="B54" s="271" t="str">
        <f>IF(Rates!D11='USL CND'!$A$51,Rates!B11," ")</f>
        <v xml:space="preserve">Rural Rate Protection Charge </v>
      </c>
      <c r="C54" s="79"/>
      <c r="D54" s="271" t="str">
        <f>IF(Rates!D11='USL CND'!$A$51,Rates!E11," ")</f>
        <v>kWh</v>
      </c>
      <c r="E54" s="79"/>
      <c r="F54" s="235">
        <f>IF(Rates!$G$1="CND 2018",Rates!G11," ")</f>
        <v>2.9999999999999997E-4</v>
      </c>
      <c r="G54" s="140">
        <f>$F18*(1+$F69)</f>
        <v>103.35000000000001</v>
      </c>
      <c r="H54" s="370">
        <f t="shared" si="22"/>
        <v>3.1005000000000001E-2</v>
      </c>
      <c r="I54" s="87"/>
      <c r="J54" s="235">
        <f>IF(Rates!$L$1="E+ 2019",Rates!L11," ")</f>
        <v>2.9999999999999997E-4</v>
      </c>
      <c r="K54" s="404">
        <f t="shared" ref="K54:K55" si="27">IF(D54="customer",1,IF(D54="kWh",$F$18,IF(D54="kW",$F$17,1)))</f>
        <v>100</v>
      </c>
      <c r="L54" s="148">
        <f t="shared" si="24"/>
        <v>0.03</v>
      </c>
      <c r="M54" s="87"/>
      <c r="N54" s="84">
        <f t="shared" si="1"/>
        <v>-1.0050000000000024E-3</v>
      </c>
      <c r="O54" s="85">
        <f t="shared" si="25"/>
        <v>-3.2414126753749474E-2</v>
      </c>
      <c r="Q54" s="153"/>
      <c r="R54" s="87"/>
      <c r="S54" s="151"/>
      <c r="T54" s="87"/>
      <c r="U54" s="89"/>
      <c r="V54" s="90"/>
      <c r="W54" s="69"/>
      <c r="X54" s="153"/>
      <c r="Y54" s="87"/>
      <c r="Z54" s="151"/>
      <c r="AA54" s="87"/>
      <c r="AB54" s="89"/>
      <c r="AC54" s="90"/>
      <c r="AD54" s="69"/>
      <c r="AE54" s="153"/>
      <c r="AF54" s="87"/>
      <c r="AG54" s="151"/>
      <c r="AH54" s="87"/>
      <c r="AI54" s="89"/>
      <c r="AJ54" s="90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</row>
    <row r="55" spans="1:60" x14ac:dyDescent="0.25">
      <c r="A55" s="1"/>
      <c r="B55" s="271" t="str">
        <f>IF(Rates!D12=$A$51,Rates!B12," ")</f>
        <v>Debt Retirement Charge</v>
      </c>
      <c r="C55" s="78"/>
      <c r="D55" s="271" t="str">
        <f>IF(Rates!D12=$A$51,Rates!E12," ")</f>
        <v>kWh</v>
      </c>
      <c r="E55" s="79"/>
      <c r="F55" s="235">
        <f>IF(Rates!$G$1="CND 2018",Rates!G12," ")</f>
        <v>7.0000000000000001E-3</v>
      </c>
      <c r="G55" s="81">
        <f t="shared" ref="G55" si="28">IF(D55="customer",1,IF(D55="kWh",$F$18,IF(D55="kW",$F$17,1)))</f>
        <v>100</v>
      </c>
      <c r="H55" s="148">
        <f t="shared" si="22"/>
        <v>0.70000000000000007</v>
      </c>
      <c r="I55" s="87"/>
      <c r="J55" s="235">
        <f>IF(Rates!$L$1="E+ 2019",Rates!L12," ")</f>
        <v>7.0000000000000001E-3</v>
      </c>
      <c r="K55" s="97">
        <f t="shared" si="27"/>
        <v>100</v>
      </c>
      <c r="L55" s="148">
        <f t="shared" si="24"/>
        <v>0.70000000000000007</v>
      </c>
      <c r="M55" s="399"/>
      <c r="N55" s="84">
        <f t="shared" si="1"/>
        <v>0</v>
      </c>
      <c r="O55" s="85">
        <f t="shared" si="25"/>
        <v>0</v>
      </c>
      <c r="Q55" s="153"/>
      <c r="R55" s="87"/>
      <c r="S55" s="151"/>
      <c r="T55" s="87"/>
      <c r="U55" s="89"/>
      <c r="V55" s="90"/>
      <c r="W55" s="69"/>
      <c r="X55" s="153"/>
      <c r="Y55" s="87"/>
      <c r="Z55" s="151"/>
      <c r="AA55" s="87"/>
      <c r="AB55" s="89"/>
      <c r="AC55" s="90"/>
      <c r="AD55" s="69"/>
      <c r="AE55" s="153"/>
      <c r="AF55" s="87"/>
      <c r="AG55" s="151"/>
      <c r="AH55" s="87"/>
      <c r="AI55" s="89"/>
      <c r="AJ55" s="90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</row>
    <row r="56" spans="1:60" x14ac:dyDescent="0.25">
      <c r="A56" s="6" t="s">
        <v>14</v>
      </c>
      <c r="B56" s="271" t="str">
        <f>IF(Rates!D2='USL CND'!$A$56,Rates!B2," ")</f>
        <v>TOU - Off Peak</v>
      </c>
      <c r="C56" s="79"/>
      <c r="D56" s="271" t="str">
        <f>IF(Rates!D2='USL CND'!$A$56,Rates!E2," ")</f>
        <v>kWh</v>
      </c>
      <c r="E56" s="79"/>
      <c r="F56" s="235">
        <f>IF(Rates!$G$1="CND 2018",Rates!G2," ")</f>
        <v>6.5000000000000002E-2</v>
      </c>
      <c r="G56" s="154">
        <f>IF($D$16="TOU",0.65*$F$18,0)</f>
        <v>65</v>
      </c>
      <c r="H56" s="148">
        <f t="shared" si="22"/>
        <v>4.2250000000000005</v>
      </c>
      <c r="I56" s="87"/>
      <c r="J56" s="235">
        <f>IF(Rates!$L$1="E+ 2019",Rates!L2," ")</f>
        <v>6.5000000000000002E-2</v>
      </c>
      <c r="K56" s="154">
        <f>$G56</f>
        <v>65</v>
      </c>
      <c r="L56" s="155">
        <f t="shared" si="24"/>
        <v>4.2250000000000005</v>
      </c>
      <c r="M56" s="87"/>
      <c r="N56" s="84">
        <f t="shared" si="1"/>
        <v>0</v>
      </c>
      <c r="O56" s="156">
        <f t="shared" si="25"/>
        <v>0</v>
      </c>
      <c r="Q56" s="157"/>
      <c r="R56" s="158"/>
      <c r="S56" s="151"/>
      <c r="T56" s="87"/>
      <c r="U56" s="89"/>
      <c r="V56" s="90"/>
      <c r="W56" s="69"/>
      <c r="X56" s="157"/>
      <c r="Y56" s="158"/>
      <c r="Z56" s="151"/>
      <c r="AA56" s="87"/>
      <c r="AB56" s="89"/>
      <c r="AC56" s="90"/>
      <c r="AD56" s="69"/>
      <c r="AE56" s="157"/>
      <c r="AF56" s="158"/>
      <c r="AG56" s="151"/>
      <c r="AH56" s="87"/>
      <c r="AI56" s="89"/>
      <c r="AJ56" s="90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</row>
    <row r="57" spans="1:60" x14ac:dyDescent="0.25">
      <c r="A57" s="1"/>
      <c r="B57" s="271" t="str">
        <f>IF(Rates!D3='USL CND'!$A$56,Rates!B3," ")</f>
        <v>TOU - Mid Peak</v>
      </c>
      <c r="C57" s="79"/>
      <c r="D57" s="271" t="str">
        <f>IF(Rates!D3='USL CND'!$A$56,Rates!E3," ")</f>
        <v>kWh</v>
      </c>
      <c r="E57" s="79"/>
      <c r="F57" s="235">
        <f>IF(Rates!$G$1="CND 2018",Rates!G3," ")</f>
        <v>9.5000000000000001E-2</v>
      </c>
      <c r="G57" s="154">
        <f>IF($D$16="TOU",0.17*$F$18,0)</f>
        <v>17</v>
      </c>
      <c r="H57" s="155">
        <f t="shared" si="22"/>
        <v>1.615</v>
      </c>
      <c r="I57" s="87"/>
      <c r="J57" s="235">
        <f>IF(Rates!$L$1="E+ 2019",Rates!L3," ")</f>
        <v>9.5000000000000001E-2</v>
      </c>
      <c r="K57" s="154">
        <f>$G57</f>
        <v>17</v>
      </c>
      <c r="L57" s="155">
        <f t="shared" si="24"/>
        <v>1.615</v>
      </c>
      <c r="M57" s="87"/>
      <c r="N57" s="84">
        <f t="shared" si="1"/>
        <v>0</v>
      </c>
      <c r="O57" s="156">
        <f t="shared" si="25"/>
        <v>0</v>
      </c>
      <c r="Q57" s="157"/>
      <c r="R57" s="158"/>
      <c r="S57" s="151"/>
      <c r="T57" s="87"/>
      <c r="U57" s="89"/>
      <c r="V57" s="90"/>
      <c r="W57" s="69"/>
      <c r="X57" s="157"/>
      <c r="Y57" s="158"/>
      <c r="Z57" s="151"/>
      <c r="AA57" s="87"/>
      <c r="AB57" s="89"/>
      <c r="AC57" s="90"/>
      <c r="AD57" s="69"/>
      <c r="AE57" s="157"/>
      <c r="AF57" s="158"/>
      <c r="AG57" s="151"/>
      <c r="AH57" s="87"/>
      <c r="AI57" s="89"/>
      <c r="AJ57" s="90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</row>
    <row r="58" spans="1:60" x14ac:dyDescent="0.25">
      <c r="A58" s="1"/>
      <c r="B58" s="271" t="str">
        <f>IF(Rates!D4='USL CND'!$A$56,Rates!B4," ")</f>
        <v>TOU - On Peak</v>
      </c>
      <c r="C58" s="79"/>
      <c r="D58" s="271" t="str">
        <f>IF(Rates!D4='USL CND'!$A$56,Rates!E4," ")</f>
        <v>kWh</v>
      </c>
      <c r="E58" s="79"/>
      <c r="F58" s="235">
        <f>IF(Rates!$G$1="CND 2018",Rates!G4," ")</f>
        <v>0.13200000000000001</v>
      </c>
      <c r="G58" s="154">
        <f>IF($D$16="TOU",0.18*$F$18,0)</f>
        <v>18</v>
      </c>
      <c r="H58" s="155">
        <f t="shared" si="22"/>
        <v>2.3760000000000003</v>
      </c>
      <c r="I58" s="87"/>
      <c r="J58" s="235">
        <f>IF(Rates!$L$1="E+ 2019",Rates!L4," ")</f>
        <v>0.13200000000000001</v>
      </c>
      <c r="K58" s="154">
        <f>$G58</f>
        <v>18</v>
      </c>
      <c r="L58" s="155">
        <f t="shared" si="24"/>
        <v>2.3760000000000003</v>
      </c>
      <c r="M58" s="87"/>
      <c r="N58" s="84">
        <f t="shared" si="1"/>
        <v>0</v>
      </c>
      <c r="O58" s="156">
        <f t="shared" si="25"/>
        <v>0</v>
      </c>
      <c r="Q58" s="157"/>
      <c r="R58" s="158"/>
      <c r="S58" s="151"/>
      <c r="T58" s="87"/>
      <c r="U58" s="89"/>
      <c r="V58" s="90"/>
      <c r="W58" s="69"/>
      <c r="X58" s="157"/>
      <c r="Y58" s="158"/>
      <c r="Z58" s="151"/>
      <c r="AA58" s="87"/>
      <c r="AB58" s="89"/>
      <c r="AC58" s="90"/>
      <c r="AD58" s="69"/>
      <c r="AE58" s="157"/>
      <c r="AF58" s="158"/>
      <c r="AG58" s="151"/>
      <c r="AH58" s="87"/>
      <c r="AI58" s="89"/>
      <c r="AJ58" s="90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</row>
    <row r="59" spans="1:60" x14ac:dyDescent="0.25">
      <c r="A59" s="159"/>
      <c r="B59" s="271" t="str">
        <f>IF(Rates!D5='USL CND'!$A$56,Rates!B5," ")</f>
        <v>Commodity</v>
      </c>
      <c r="C59" s="79"/>
      <c r="D59" s="271" t="str">
        <f>IF(Rates!D5='USL CND'!$A$56,Rates!E5," ")</f>
        <v>kWh</v>
      </c>
      <c r="E59" s="161"/>
      <c r="F59" s="235">
        <f>IF(Rates!$G$1="CND 2018",Rates!G5," ")</f>
        <v>1.8855833333333332E-2</v>
      </c>
      <c r="G59" s="162">
        <f>IF($D$16="TOU", 0,$F$18)</f>
        <v>0</v>
      </c>
      <c r="H59" s="155">
        <f t="shared" si="22"/>
        <v>0</v>
      </c>
      <c r="I59" s="166"/>
      <c r="J59" s="235">
        <f>IF(Rates!$L$1="E+ 2019",Rates!L5," ")</f>
        <v>1.8855833333333332E-2</v>
      </c>
      <c r="K59" s="162">
        <f>G59</f>
        <v>0</v>
      </c>
      <c r="L59" s="155">
        <f t="shared" si="24"/>
        <v>0</v>
      </c>
      <c r="M59" s="166"/>
      <c r="N59" s="164">
        <f t="shared" si="1"/>
        <v>0</v>
      </c>
      <c r="O59" s="156" t="str">
        <f t="shared" si="25"/>
        <v/>
      </c>
      <c r="Q59" s="157"/>
      <c r="R59" s="165"/>
      <c r="S59" s="151"/>
      <c r="T59" s="166"/>
      <c r="U59" s="89"/>
      <c r="V59" s="90"/>
      <c r="W59" s="69"/>
      <c r="X59" s="157"/>
      <c r="Y59" s="165"/>
      <c r="Z59" s="151"/>
      <c r="AA59" s="166"/>
      <c r="AB59" s="89"/>
      <c r="AC59" s="90"/>
      <c r="AD59" s="69"/>
      <c r="AE59" s="157"/>
      <c r="AF59" s="165"/>
      <c r="AG59" s="151"/>
      <c r="AH59" s="166"/>
      <c r="AI59" s="89"/>
      <c r="AJ59" s="90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</row>
    <row r="60" spans="1:60" x14ac:dyDescent="0.25">
      <c r="A60" s="159"/>
      <c r="B60" s="271" t="str">
        <f>IF(Rates!D6='USL CND'!$A$56,Rates!B6," ")</f>
        <v>Global Adjustment</v>
      </c>
      <c r="C60" s="79"/>
      <c r="D60" s="271" t="str">
        <f>IF(Rates!D6='USL CND'!$A$56,Rates!E6," ")</f>
        <v>kWh</v>
      </c>
      <c r="E60" s="161"/>
      <c r="F60" s="235">
        <f>IF(Rates!$G$1="CND 2018",Rates!G6," ")</f>
        <v>0.10303000000000001</v>
      </c>
      <c r="G60" s="162">
        <f>IF($D$16="TOU", 0,$F$18)</f>
        <v>0</v>
      </c>
      <c r="H60" s="155">
        <f t="shared" si="22"/>
        <v>0</v>
      </c>
      <c r="I60" s="166"/>
      <c r="J60" s="235">
        <f>IF(Rates!$L$1="E+ 2019",Rates!L6," ")</f>
        <v>0.10303000000000001</v>
      </c>
      <c r="K60" s="162">
        <f>$G60</f>
        <v>0</v>
      </c>
      <c r="L60" s="155">
        <f t="shared" si="24"/>
        <v>0</v>
      </c>
      <c r="M60" s="166"/>
      <c r="N60" s="164">
        <f t="shared" si="1"/>
        <v>0</v>
      </c>
      <c r="O60" s="156" t="str">
        <f t="shared" si="25"/>
        <v/>
      </c>
      <c r="Q60" s="157"/>
      <c r="R60" s="165"/>
      <c r="S60" s="151"/>
      <c r="T60" s="166"/>
      <c r="U60" s="89"/>
      <c r="V60" s="90"/>
      <c r="W60" s="69"/>
      <c r="X60" s="157"/>
      <c r="Y60" s="165"/>
      <c r="Z60" s="151"/>
      <c r="AA60" s="166"/>
      <c r="AB60" s="89"/>
      <c r="AC60" s="90"/>
      <c r="AD60" s="69"/>
      <c r="AE60" s="157"/>
      <c r="AF60" s="165"/>
      <c r="AG60" s="151"/>
      <c r="AH60" s="166"/>
      <c r="AI60" s="89"/>
      <c r="AJ60" s="90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</row>
    <row r="61" spans="1:60" hidden="1" x14ac:dyDescent="0.25">
      <c r="A61" s="159"/>
      <c r="B61" s="167"/>
      <c r="C61" s="160"/>
      <c r="D61" s="160"/>
      <c r="E61" s="161"/>
      <c r="F61" s="147"/>
      <c r="G61" s="162"/>
      <c r="H61" s="155"/>
      <c r="I61" s="166"/>
      <c r="J61" s="169">
        <f t="shared" ref="J61" si="29">+F61</f>
        <v>0</v>
      </c>
      <c r="K61" s="168"/>
      <c r="L61" s="155"/>
      <c r="M61" s="166"/>
      <c r="N61" s="164">
        <f t="shared" si="1"/>
        <v>0</v>
      </c>
      <c r="O61" s="156" t="str">
        <f t="shared" si="25"/>
        <v/>
      </c>
      <c r="Q61" s="157"/>
      <c r="R61" s="165"/>
      <c r="S61" s="151"/>
      <c r="T61" s="166"/>
      <c r="U61" s="89"/>
      <c r="V61" s="90"/>
      <c r="W61" s="69"/>
      <c r="X61" s="157"/>
      <c r="Y61" s="165"/>
      <c r="Z61" s="151"/>
      <c r="AA61" s="166"/>
      <c r="AB61" s="89"/>
      <c r="AC61" s="90"/>
      <c r="AD61" s="69"/>
      <c r="AE61" s="157"/>
      <c r="AF61" s="165"/>
      <c r="AG61" s="151"/>
      <c r="AH61" s="166"/>
      <c r="AI61" s="89"/>
      <c r="AJ61" s="90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</row>
    <row r="62" spans="1:60" x14ac:dyDescent="0.25">
      <c r="A62" s="1"/>
      <c r="B62" s="170"/>
      <c r="C62" s="171"/>
      <c r="D62" s="171"/>
      <c r="E62" s="171"/>
      <c r="F62" s="387"/>
      <c r="G62" s="172"/>
      <c r="H62" s="388"/>
      <c r="I62" s="87"/>
      <c r="J62" s="387"/>
      <c r="K62" s="173"/>
      <c r="L62" s="388"/>
      <c r="M62" s="87"/>
      <c r="N62" s="394"/>
      <c r="O62" s="395"/>
      <c r="Q62" s="157"/>
      <c r="R62" s="120"/>
      <c r="S62" s="151"/>
      <c r="T62" s="87"/>
      <c r="U62" s="89"/>
      <c r="V62" s="174"/>
      <c r="W62" s="69"/>
      <c r="X62" s="157"/>
      <c r="Y62" s="120"/>
      <c r="Z62" s="151"/>
      <c r="AA62" s="87"/>
      <c r="AB62" s="89"/>
      <c r="AC62" s="174"/>
      <c r="AD62" s="69"/>
      <c r="AE62" s="157"/>
      <c r="AF62" s="120"/>
      <c r="AG62" s="151"/>
      <c r="AH62" s="87"/>
      <c r="AI62" s="89"/>
      <c r="AJ62" s="174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</row>
    <row r="63" spans="1:60" x14ac:dyDescent="0.25">
      <c r="A63" s="1"/>
      <c r="B63" s="175" t="s">
        <v>82</v>
      </c>
      <c r="C63" s="78"/>
      <c r="D63" s="78"/>
      <c r="E63" s="78"/>
      <c r="F63" s="176"/>
      <c r="G63" s="177"/>
      <c r="H63" s="179">
        <f>SUM(H51:H58,H50)</f>
        <v>17.389039916377936</v>
      </c>
      <c r="I63" s="146"/>
      <c r="J63" s="178"/>
      <c r="K63" s="178"/>
      <c r="L63" s="179">
        <f>SUM(L51:L58,L50)</f>
        <v>17.759132775663204</v>
      </c>
      <c r="M63" s="146"/>
      <c r="N63" s="179">
        <f>L63-H63</f>
        <v>0.37009285928526836</v>
      </c>
      <c r="O63" s="180">
        <f t="shared" si="25"/>
        <v>2.1283110572234351E-2</v>
      </c>
      <c r="Q63" s="181"/>
      <c r="R63" s="181"/>
      <c r="S63" s="121"/>
      <c r="T63" s="146"/>
      <c r="U63" s="89"/>
      <c r="V63" s="90"/>
      <c r="W63" s="69"/>
      <c r="X63" s="181"/>
      <c r="Y63" s="181"/>
      <c r="Z63" s="121"/>
      <c r="AA63" s="146"/>
      <c r="AB63" s="89"/>
      <c r="AC63" s="90"/>
      <c r="AD63" s="69"/>
      <c r="AE63" s="181"/>
      <c r="AF63" s="181"/>
      <c r="AG63" s="121"/>
      <c r="AH63" s="146"/>
      <c r="AI63" s="89"/>
      <c r="AJ63" s="90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</row>
    <row r="64" spans="1:60" x14ac:dyDescent="0.25">
      <c r="A64" s="1"/>
      <c r="B64" s="182" t="s">
        <v>9</v>
      </c>
      <c r="C64" s="78"/>
      <c r="D64" s="78"/>
      <c r="E64" s="78"/>
      <c r="F64" s="183">
        <v>0.13</v>
      </c>
      <c r="G64" s="87"/>
      <c r="H64" s="188">
        <f>$H$63*F64</f>
        <v>2.2605751891291317</v>
      </c>
      <c r="I64" s="187"/>
      <c r="J64" s="185">
        <v>0.13</v>
      </c>
      <c r="K64" s="184"/>
      <c r="L64" s="186">
        <f>$L$63*J64</f>
        <v>2.3086872608362166</v>
      </c>
      <c r="M64" s="187"/>
      <c r="N64" s="188">
        <f>L64-H64</f>
        <v>4.8112071707084869E-2</v>
      </c>
      <c r="O64" s="85">
        <f t="shared" si="25"/>
        <v>2.1283110572234341E-2</v>
      </c>
      <c r="Q64" s="189"/>
      <c r="R64" s="187"/>
      <c r="S64" s="190"/>
      <c r="T64" s="187"/>
      <c r="U64" s="89"/>
      <c r="V64" s="90"/>
      <c r="W64" s="69"/>
      <c r="X64" s="189"/>
      <c r="Y64" s="187"/>
      <c r="Z64" s="190"/>
      <c r="AA64" s="187"/>
      <c r="AB64" s="89"/>
      <c r="AC64" s="90"/>
      <c r="AD64" s="69"/>
      <c r="AE64" s="189"/>
      <c r="AF64" s="187"/>
      <c r="AG64" s="190"/>
      <c r="AH64" s="187"/>
      <c r="AI64" s="89"/>
      <c r="AJ64" s="90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</row>
    <row r="65" spans="1:60" x14ac:dyDescent="0.25">
      <c r="A65" s="1"/>
      <c r="B65" s="182" t="s">
        <v>106</v>
      </c>
      <c r="C65" s="78"/>
      <c r="D65" s="78"/>
      <c r="E65" s="78"/>
      <c r="F65" s="183">
        <v>-0.05</v>
      </c>
      <c r="G65" s="87"/>
      <c r="H65" s="188">
        <f>$H$63*F65</f>
        <v>-0.86945199581889687</v>
      </c>
      <c r="I65" s="187"/>
      <c r="J65" s="183">
        <v>-0.05</v>
      </c>
      <c r="K65" s="184"/>
      <c r="L65" s="186">
        <f>$L$63*J65</f>
        <v>-0.88795663878316022</v>
      </c>
      <c r="M65" s="187"/>
      <c r="N65" s="188">
        <f>L65-H65</f>
        <v>-1.8504642964263351E-2</v>
      </c>
      <c r="O65" s="85">
        <f t="shared" si="25"/>
        <v>2.1283110572234271E-2</v>
      </c>
      <c r="Q65" s="189"/>
      <c r="R65" s="187"/>
      <c r="S65" s="190"/>
      <c r="T65" s="187"/>
      <c r="U65" s="89"/>
      <c r="V65" s="90"/>
      <c r="W65" s="69"/>
      <c r="X65" s="189"/>
      <c r="Y65" s="187"/>
      <c r="Z65" s="190"/>
      <c r="AA65" s="187"/>
      <c r="AB65" s="89"/>
      <c r="AC65" s="90"/>
      <c r="AD65" s="69"/>
      <c r="AE65" s="189"/>
      <c r="AF65" s="187"/>
      <c r="AG65" s="190"/>
      <c r="AH65" s="187"/>
      <c r="AI65" s="89"/>
      <c r="AJ65" s="90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</row>
    <row r="66" spans="1:60" ht="15.75" thickBot="1" x14ac:dyDescent="0.3">
      <c r="A66" s="1"/>
      <c r="B66" s="191" t="s">
        <v>83</v>
      </c>
      <c r="C66" s="192"/>
      <c r="D66" s="192"/>
      <c r="E66" s="192"/>
      <c r="F66" s="193"/>
      <c r="G66" s="194"/>
      <c r="H66" s="389">
        <f>SUM(H63:H65)</f>
        <v>18.780163109688171</v>
      </c>
      <c r="I66" s="187"/>
      <c r="J66" s="195"/>
      <c r="K66" s="195"/>
      <c r="L66" s="389">
        <f>SUM(L63:L65)</f>
        <v>19.179863397716261</v>
      </c>
      <c r="M66" s="187"/>
      <c r="N66" s="196">
        <f>L66-H66</f>
        <v>0.39970028802808955</v>
      </c>
      <c r="O66" s="197">
        <f t="shared" si="25"/>
        <v>2.1283110572234334E-2</v>
      </c>
      <c r="Q66" s="187"/>
      <c r="R66" s="187"/>
      <c r="S66" s="190"/>
      <c r="T66" s="187"/>
      <c r="U66" s="89"/>
      <c r="V66" s="90"/>
      <c r="W66" s="69"/>
      <c r="X66" s="187"/>
      <c r="Y66" s="187"/>
      <c r="Z66" s="190"/>
      <c r="AA66" s="187"/>
      <c r="AB66" s="89"/>
      <c r="AC66" s="90"/>
      <c r="AD66" s="69"/>
      <c r="AE66" s="187"/>
      <c r="AF66" s="187"/>
      <c r="AG66" s="190"/>
      <c r="AH66" s="187"/>
      <c r="AI66" s="89"/>
      <c r="AJ66" s="90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</row>
    <row r="67" spans="1:60" ht="15.75" thickBot="1" x14ac:dyDescent="0.3">
      <c r="A67" s="159"/>
      <c r="B67" s="198" t="s">
        <v>67</v>
      </c>
      <c r="C67" s="199"/>
      <c r="D67" s="199"/>
      <c r="E67" s="199"/>
      <c r="F67" s="390"/>
      <c r="G67" s="391"/>
      <c r="H67" s="392"/>
      <c r="I67" s="166"/>
      <c r="J67" s="390"/>
      <c r="K67" s="393"/>
      <c r="L67" s="392"/>
      <c r="M67" s="166"/>
      <c r="N67" s="396"/>
      <c r="O67" s="397"/>
      <c r="Q67" s="157"/>
      <c r="R67" s="206"/>
      <c r="S67" s="151"/>
      <c r="T67" s="166"/>
      <c r="U67" s="207"/>
      <c r="V67" s="174"/>
      <c r="W67" s="69"/>
      <c r="X67" s="157"/>
      <c r="Y67" s="206"/>
      <c r="Z67" s="151"/>
      <c r="AA67" s="166"/>
      <c r="AB67" s="207"/>
      <c r="AC67" s="174"/>
      <c r="AD67" s="69"/>
      <c r="AE67" s="157"/>
      <c r="AF67" s="206"/>
      <c r="AG67" s="151"/>
      <c r="AH67" s="166"/>
      <c r="AI67" s="207"/>
      <c r="AJ67" s="174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</row>
    <row r="68" spans="1:60" x14ac:dyDescent="0.25">
      <c r="A68" s="1"/>
      <c r="B68" s="1"/>
      <c r="C68" s="1"/>
      <c r="D68" s="1"/>
      <c r="E68" s="1"/>
      <c r="F68" s="1"/>
      <c r="G68" s="1"/>
      <c r="H68" s="1"/>
      <c r="I68" s="2"/>
      <c r="J68" s="1"/>
      <c r="K68" s="1"/>
      <c r="L68" s="67"/>
      <c r="M68" s="2"/>
      <c r="N68" s="1"/>
      <c r="O68" s="1"/>
      <c r="Q68" s="2"/>
      <c r="R68" s="2"/>
      <c r="S68" s="208"/>
      <c r="T68" s="2"/>
      <c r="U68" s="2"/>
      <c r="V68" s="2"/>
      <c r="W68" s="69"/>
      <c r="X68" s="2"/>
      <c r="Y68" s="2"/>
      <c r="Z68" s="208"/>
      <c r="AA68" s="2"/>
      <c r="AB68" s="2"/>
      <c r="AC68" s="2"/>
      <c r="AD68" s="69"/>
      <c r="AE68" s="2"/>
      <c r="AF68" s="2"/>
      <c r="AG68" s="208"/>
      <c r="AH68" s="2"/>
      <c r="AI68" s="2"/>
      <c r="AJ68" s="2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</row>
    <row r="69" spans="1:60" x14ac:dyDescent="0.25">
      <c r="A69" s="1"/>
      <c r="B69" s="65" t="s">
        <v>10</v>
      </c>
      <c r="C69" s="1"/>
      <c r="D69" s="1"/>
      <c r="E69" s="1"/>
      <c r="F69" s="209">
        <f>Rates!$R$2-1</f>
        <v>3.3500000000000085E-2</v>
      </c>
      <c r="G69" s="1"/>
      <c r="H69" s="1"/>
      <c r="I69" s="1"/>
      <c r="J69" s="209">
        <f>Rates!$T$2-1</f>
        <v>3.0684649944026976E-2</v>
      </c>
      <c r="K69" s="1"/>
      <c r="L69" s="1"/>
      <c r="M69" s="3"/>
      <c r="N69" s="1"/>
      <c r="O69" s="1"/>
      <c r="Q69" s="210"/>
      <c r="R69" s="2"/>
      <c r="S69" s="2"/>
      <c r="T69" s="2"/>
      <c r="U69" s="2"/>
      <c r="V69" s="2"/>
      <c r="W69" s="69"/>
      <c r="X69" s="210"/>
      <c r="Y69" s="2"/>
      <c r="Z69" s="2"/>
      <c r="AA69" s="2"/>
      <c r="AB69" s="2"/>
      <c r="AC69" s="2"/>
      <c r="AD69" s="69"/>
      <c r="AE69" s="210"/>
      <c r="AF69" s="2"/>
      <c r="AG69" s="2"/>
      <c r="AH69" s="2"/>
      <c r="AI69" s="2"/>
      <c r="AJ69" s="2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</row>
    <row r="70" spans="1:6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3"/>
      <c r="N70" s="1"/>
      <c r="O70" s="1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</row>
    <row r="71" spans="1:60" x14ac:dyDescent="0.25">
      <c r="A71" s="1" t="s">
        <v>84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3"/>
      <c r="N71" s="1"/>
      <c r="O71" s="1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</row>
    <row r="72" spans="1:60" x14ac:dyDescent="0.25">
      <c r="A72" s="1" t="s">
        <v>85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3"/>
      <c r="N72" s="1"/>
      <c r="O72" s="1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</row>
    <row r="73" spans="1:6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3"/>
      <c r="N73" s="1"/>
      <c r="O73" s="1"/>
    </row>
    <row r="74" spans="1:60" x14ac:dyDescent="0.25">
      <c r="A74" s="64" t="s">
        <v>86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3"/>
      <c r="N74" s="1"/>
      <c r="O74" s="1"/>
    </row>
    <row r="75" spans="1:60" x14ac:dyDescent="0.25">
      <c r="A75" s="64" t="s">
        <v>87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3"/>
      <c r="N75" s="1"/>
      <c r="O75" s="1"/>
    </row>
    <row r="76" spans="1:6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3"/>
      <c r="N76" s="1"/>
      <c r="O76" s="1"/>
    </row>
    <row r="77" spans="1:60" x14ac:dyDescent="0.25">
      <c r="A77" s="1" t="s">
        <v>88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3"/>
      <c r="N77" s="1"/>
      <c r="O77" s="1"/>
    </row>
    <row r="78" spans="1:60" x14ac:dyDescent="0.25">
      <c r="A78" s="1" t="s">
        <v>89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3"/>
      <c r="N78" s="1"/>
      <c r="O78" s="1"/>
    </row>
    <row r="79" spans="1:60" x14ac:dyDescent="0.25">
      <c r="A79" s="1" t="s">
        <v>90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3"/>
      <c r="N79" s="1"/>
      <c r="O79" s="1"/>
    </row>
    <row r="80" spans="1:60" x14ac:dyDescent="0.25">
      <c r="A80" s="1" t="s">
        <v>91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3"/>
      <c r="N80" s="1"/>
      <c r="O80" s="1"/>
    </row>
    <row r="81" spans="1:15" x14ac:dyDescent="0.25">
      <c r="A81" s="1" t="s">
        <v>92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3"/>
      <c r="N81" s="1"/>
      <c r="O81" s="1"/>
    </row>
  </sheetData>
  <sheetProtection selectLockedCells="1"/>
  <mergeCells count="21">
    <mergeCell ref="AI20:AJ20"/>
    <mergeCell ref="A3:K3"/>
    <mergeCell ref="B10:O10"/>
    <mergeCell ref="B11:O11"/>
    <mergeCell ref="D14:O14"/>
    <mergeCell ref="F20:H20"/>
    <mergeCell ref="J20:L20"/>
    <mergeCell ref="N20:O20"/>
    <mergeCell ref="Q20:S20"/>
    <mergeCell ref="U20:V20"/>
    <mergeCell ref="X20:Z20"/>
    <mergeCell ref="AB20:AC20"/>
    <mergeCell ref="AE20:AG20"/>
    <mergeCell ref="AI21:AI22"/>
    <mergeCell ref="AJ21:AJ22"/>
    <mergeCell ref="N21:N22"/>
    <mergeCell ref="O21:O22"/>
    <mergeCell ref="U21:U22"/>
    <mergeCell ref="V21:V22"/>
    <mergeCell ref="AB21:AB22"/>
    <mergeCell ref="AC21:AC22"/>
  </mergeCells>
  <dataValidations count="3">
    <dataValidation type="list" allowBlank="1" showInputMessage="1" showErrorMessage="1" sqref="E48:E49 E37:E46 E56:E62 E67 E51:E54 E23:E35">
      <formula1>#REF!</formula1>
    </dataValidation>
    <dataValidation type="list" allowBlank="1" showInputMessage="1" showErrorMessage="1" sqref="D16">
      <formula1>"TOU, non-TOU"</formula1>
    </dataValidation>
    <dataValidation type="list" allowBlank="1" showInputMessage="1" showErrorMessage="1" sqref="E55">
      <formula1>#REF!</formula1>
    </dataValidation>
  </dataValidations>
  <printOptions horizontalCentered="1"/>
  <pageMargins left="0.3" right="0.35" top="0.92" bottom="0.7" header="0.56999999999999995" footer="0.41"/>
  <pageSetup paperSize="3" scale="60" fitToHeight="0" orientation="landscape" r:id="rId1"/>
  <headerFooter>
    <oddFooter>&amp;C&amp;A</oddFooter>
  </headerFooter>
  <ignoredErrors>
    <ignoredError sqref="J23:J25 J35:J36 J38 J56:J60 J47:J5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8241" r:id="rId4" name="Option Button 1">
              <controlPr defaultSize="0" autoFill="0" autoLine="0" autoPict="0">
                <anchor moveWithCells="1">
                  <from>
                    <xdr:col>9</xdr:col>
                    <xdr:colOff>361950</xdr:colOff>
                    <xdr:row>82</xdr:row>
                    <xdr:rowOff>0</xdr:rowOff>
                  </from>
                  <to>
                    <xdr:col>17</xdr:col>
                    <xdr:colOff>190500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42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82</xdr:row>
                    <xdr:rowOff>0</xdr:rowOff>
                  </from>
                  <to>
                    <xdr:col>9</xdr:col>
                    <xdr:colOff>600075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43" r:id="rId6" name="Option Button 3">
              <controlPr defaultSize="0" autoFill="0" autoLine="0" autoPict="0">
                <anchor moveWithCells="1">
                  <from>
                    <xdr:col>9</xdr:col>
                    <xdr:colOff>361950</xdr:colOff>
                    <xdr:row>82</xdr:row>
                    <xdr:rowOff>0</xdr:rowOff>
                  </from>
                  <to>
                    <xdr:col>17</xdr:col>
                    <xdr:colOff>190500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44" r:id="rId7" name="Option Button 4">
              <controlPr defaultSize="0" autoFill="0" autoLine="0" autoPict="0">
                <anchor moveWithCells="1">
                  <from>
                    <xdr:col>6</xdr:col>
                    <xdr:colOff>381000</xdr:colOff>
                    <xdr:row>82</xdr:row>
                    <xdr:rowOff>0</xdr:rowOff>
                  </from>
                  <to>
                    <xdr:col>9</xdr:col>
                    <xdr:colOff>600075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45" r:id="rId8" name="Option Button 5">
              <controlPr defaultSize="0" autoFill="0" autoLine="0" autoPict="0">
                <anchor moveWithCells="1">
                  <from>
                    <xdr:col>9</xdr:col>
                    <xdr:colOff>361950</xdr:colOff>
                    <xdr:row>82</xdr:row>
                    <xdr:rowOff>0</xdr:rowOff>
                  </from>
                  <to>
                    <xdr:col>17</xdr:col>
                    <xdr:colOff>190500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46" r:id="rId9" name="Option Button 6">
              <controlPr defaultSize="0" autoFill="0" autoLine="0" autoPict="0">
                <anchor moveWithCells="1">
                  <from>
                    <xdr:col>6</xdr:col>
                    <xdr:colOff>381000</xdr:colOff>
                    <xdr:row>82</xdr:row>
                    <xdr:rowOff>0</xdr:rowOff>
                  </from>
                  <to>
                    <xdr:col>9</xdr:col>
                    <xdr:colOff>600075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47" r:id="rId10" name="Option Button 7">
              <controlPr defaultSize="0" autoFill="0" autoLine="0" autoPict="0">
                <anchor moveWithCells="1">
                  <from>
                    <xdr:col>9</xdr:col>
                    <xdr:colOff>361950</xdr:colOff>
                    <xdr:row>82</xdr:row>
                    <xdr:rowOff>0</xdr:rowOff>
                  </from>
                  <to>
                    <xdr:col>17</xdr:col>
                    <xdr:colOff>190500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48" r:id="rId11" name="Option Button 8">
              <controlPr defaultSize="0" autoFill="0" autoLine="0" autoPict="0">
                <anchor moveWithCells="1">
                  <from>
                    <xdr:col>6</xdr:col>
                    <xdr:colOff>381000</xdr:colOff>
                    <xdr:row>82</xdr:row>
                    <xdr:rowOff>0</xdr:rowOff>
                  </from>
                  <to>
                    <xdr:col>9</xdr:col>
                    <xdr:colOff>600075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49" r:id="rId12" name="Option Button 9">
              <controlPr defaultSize="0" autoFill="0" autoLine="0" autoPict="0">
                <anchor moveWithCells="1">
                  <from>
                    <xdr:col>9</xdr:col>
                    <xdr:colOff>361950</xdr:colOff>
                    <xdr:row>82</xdr:row>
                    <xdr:rowOff>0</xdr:rowOff>
                  </from>
                  <to>
                    <xdr:col>17</xdr:col>
                    <xdr:colOff>190500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50" r:id="rId13" name="Option Button 10">
              <controlPr defaultSize="0" autoFill="0" autoLine="0" autoPict="0">
                <anchor moveWithCells="1">
                  <from>
                    <xdr:col>6</xdr:col>
                    <xdr:colOff>381000</xdr:colOff>
                    <xdr:row>82</xdr:row>
                    <xdr:rowOff>0</xdr:rowOff>
                  </from>
                  <to>
                    <xdr:col>9</xdr:col>
                    <xdr:colOff>600075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51" r:id="rId14" name="Option Button 11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52" r:id="rId15" name="Option Button 12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600075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53" r:id="rId16" name="Option Button 13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54" r:id="rId17" name="Option Button 14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600075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55" r:id="rId18" name="Option Button 15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56" r:id="rId19" name="Option Button 16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600075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57" r:id="rId20" name="Option Button 17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58" r:id="rId21" name="Option Button 18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600075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59" r:id="rId22" name="Option Button 19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60" r:id="rId23" name="Option Button 20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600075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61" r:id="rId24" name="Option Button 21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62" r:id="rId25" name="Option Button 22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600075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63" r:id="rId26" name="Option Button 23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64" r:id="rId27" name="Option Button 24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600075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65" r:id="rId28" name="Option Button 25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66" r:id="rId29" name="Option Button 26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600075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67" r:id="rId30" name="Option Button 27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68" r:id="rId31" name="Option Button 28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600075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69" r:id="rId32" name="Option Button 29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70" r:id="rId33" name="Option Button 30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600075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71" r:id="rId34" name="Option Button 31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72" r:id="rId35" name="Option Button 32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73" r:id="rId36" name="Option Button 33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8168889431442"/>
  </sheetPr>
  <dimension ref="A1:BH85"/>
  <sheetViews>
    <sheetView showGridLines="0" topLeftCell="A18" zoomScale="80" zoomScaleNormal="80" workbookViewId="0">
      <selection activeCell="L47" sqref="L47"/>
    </sheetView>
  </sheetViews>
  <sheetFormatPr defaultRowHeight="15" x14ac:dyDescent="0.25"/>
  <cols>
    <col min="1" max="1" width="26.28515625" customWidth="1"/>
    <col min="2" max="2" width="121.85546875" customWidth="1"/>
    <col min="3" max="3" width="1.140625" customWidth="1"/>
    <col min="4" max="4" width="12.28515625" customWidth="1"/>
    <col min="5" max="5" width="1.7109375" customWidth="1"/>
    <col min="6" max="6" width="11" customWidth="1"/>
    <col min="7" max="7" width="10.140625" bestFit="1" customWidth="1"/>
    <col min="8" max="8" width="10.5703125" customWidth="1"/>
    <col min="9" max="9" width="1.28515625" customWidth="1"/>
    <col min="10" max="10" width="12.140625" customWidth="1"/>
    <col min="11" max="11" width="10.140625" bestFit="1" customWidth="1"/>
    <col min="12" max="12" width="10.5703125" customWidth="1"/>
    <col min="13" max="13" width="1.28515625" style="94" customWidth="1"/>
    <col min="14" max="14" width="11.140625" customWidth="1"/>
    <col min="15" max="15" width="9.140625" customWidth="1"/>
    <col min="16" max="16" width="1.42578125" customWidth="1"/>
    <col min="17" max="17" width="6" customWidth="1"/>
    <col min="18" max="18" width="10.140625" bestFit="1" customWidth="1"/>
    <col min="19" max="19" width="9.5703125" customWidth="1"/>
    <col min="20" max="20" width="2" bestFit="1" customWidth="1"/>
    <col min="21" max="21" width="9.140625" customWidth="1"/>
    <col min="22" max="22" width="10.140625" customWidth="1"/>
    <col min="23" max="23" width="1.28515625" customWidth="1"/>
    <col min="24" max="24" width="11" customWidth="1"/>
    <col min="25" max="25" width="10.140625" bestFit="1" customWidth="1"/>
    <col min="26" max="26" width="9.85546875" customWidth="1"/>
    <col min="27" max="27" width="1.28515625" customWidth="1"/>
    <col min="30" max="30" width="0.85546875" customWidth="1"/>
    <col min="31" max="31" width="11.140625" customWidth="1"/>
    <col min="32" max="32" width="10.140625" bestFit="1" customWidth="1"/>
    <col min="33" max="33" width="9.28515625" customWidth="1"/>
    <col min="34" max="34" width="1.140625" customWidth="1"/>
    <col min="37" max="37" width="0.85546875" customWidth="1"/>
  </cols>
  <sheetData>
    <row r="1" spans="1:21" ht="21.75" x14ac:dyDescent="0.25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0"/>
      <c r="M1" s="2"/>
      <c r="N1" s="52" t="s">
        <v>68</v>
      </c>
      <c r="O1" s="53">
        <v>0</v>
      </c>
      <c r="T1">
        <v>2</v>
      </c>
      <c r="U1">
        <v>1</v>
      </c>
    </row>
    <row r="2" spans="1:21" ht="18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0"/>
      <c r="M2" s="2"/>
      <c r="N2" s="52" t="s">
        <v>69</v>
      </c>
      <c r="O2" s="55"/>
    </row>
    <row r="3" spans="1:21" ht="18" x14ac:dyDescent="0.25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"/>
      <c r="M3" s="2"/>
      <c r="N3" s="52" t="s">
        <v>70</v>
      </c>
      <c r="O3" s="55"/>
    </row>
    <row r="4" spans="1:21" ht="18" x14ac:dyDescent="0.25">
      <c r="A4" s="54"/>
      <c r="B4" s="54"/>
      <c r="C4" s="54"/>
      <c r="D4" s="54"/>
      <c r="E4" s="54"/>
      <c r="F4" s="54"/>
      <c r="G4" s="54"/>
      <c r="H4" s="54"/>
      <c r="I4" s="56"/>
      <c r="J4" s="56"/>
      <c r="K4" s="56"/>
      <c r="L4" s="50"/>
      <c r="M4" s="2"/>
      <c r="N4" s="52" t="s">
        <v>71</v>
      </c>
      <c r="O4" s="55"/>
    </row>
    <row r="5" spans="1:21" ht="15.75" x14ac:dyDescent="0.25">
      <c r="A5" s="50"/>
      <c r="B5" s="50"/>
      <c r="C5" s="57"/>
      <c r="D5" s="57"/>
      <c r="E5" s="57"/>
      <c r="F5" s="50"/>
      <c r="G5" s="50"/>
      <c r="H5" s="50"/>
      <c r="I5" s="50"/>
      <c r="J5" s="50"/>
      <c r="K5" s="50"/>
      <c r="L5" s="50"/>
      <c r="M5" s="2"/>
      <c r="N5" s="52" t="s">
        <v>72</v>
      </c>
      <c r="O5" s="58"/>
    </row>
    <row r="6" spans="1:2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2"/>
      <c r="N6" s="52"/>
      <c r="O6" s="53"/>
    </row>
    <row r="7" spans="1:2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2"/>
      <c r="N7" s="52" t="s">
        <v>73</v>
      </c>
      <c r="O7" s="58"/>
    </row>
    <row r="8" spans="1:21" x14ac:dyDescent="0.25">
      <c r="A8" s="5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2"/>
      <c r="N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1" ht="18" x14ac:dyDescent="0.25">
      <c r="A10" s="1"/>
      <c r="B10" s="508" t="s">
        <v>74</v>
      </c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508"/>
      <c r="N10" s="508"/>
      <c r="O10" s="508"/>
    </row>
    <row r="11" spans="1:21" ht="18" x14ac:dyDescent="0.25">
      <c r="A11" s="1"/>
      <c r="B11" s="508" t="s">
        <v>75</v>
      </c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T13">
        <v>2</v>
      </c>
    </row>
    <row r="14" spans="1:21" ht="15.75" x14ac:dyDescent="0.25">
      <c r="A14" s="1"/>
      <c r="B14" s="60" t="s">
        <v>0</v>
      </c>
      <c r="C14" s="1"/>
      <c r="D14" s="509" t="s">
        <v>128</v>
      </c>
      <c r="E14" s="509"/>
      <c r="F14" s="509"/>
      <c r="G14" s="509"/>
      <c r="H14" s="509"/>
      <c r="I14" s="509"/>
      <c r="J14" s="509"/>
      <c r="K14" s="509"/>
      <c r="L14" s="509"/>
      <c r="M14" s="509"/>
      <c r="N14" s="509"/>
      <c r="O14" s="509"/>
    </row>
    <row r="15" spans="1:21" ht="15.75" x14ac:dyDescent="0.25">
      <c r="A15" s="1"/>
      <c r="B15" s="61"/>
      <c r="C15" s="1"/>
      <c r="D15" s="62"/>
      <c r="E15" s="62"/>
      <c r="F15" s="62"/>
      <c r="G15" s="62"/>
      <c r="H15" s="62"/>
      <c r="I15" s="62"/>
      <c r="J15" s="62"/>
      <c r="K15" s="62"/>
      <c r="L15" s="62"/>
      <c r="M15" s="276"/>
      <c r="N15" s="62"/>
      <c r="O15" s="62"/>
    </row>
    <row r="16" spans="1:21" ht="15.75" x14ac:dyDescent="0.25">
      <c r="A16" s="1"/>
      <c r="B16" s="60" t="s">
        <v>76</v>
      </c>
      <c r="C16" s="1"/>
      <c r="D16" s="63" t="s">
        <v>77</v>
      </c>
      <c r="E16" s="62"/>
      <c r="F16" s="62"/>
      <c r="G16" s="62"/>
      <c r="H16" s="62"/>
      <c r="I16" s="62"/>
      <c r="J16" s="62"/>
      <c r="K16" s="62"/>
      <c r="L16" s="62"/>
      <c r="M16" s="276"/>
      <c r="N16" s="62"/>
      <c r="O16" s="62"/>
    </row>
    <row r="17" spans="1:60" ht="15.75" x14ac:dyDescent="0.25">
      <c r="A17" s="1"/>
      <c r="B17" s="61"/>
      <c r="C17" s="1"/>
      <c r="D17" s="62"/>
      <c r="E17" s="62"/>
      <c r="F17" s="62"/>
      <c r="G17" s="62"/>
      <c r="H17" s="62"/>
      <c r="I17" s="62"/>
      <c r="J17" s="62"/>
      <c r="K17" s="62"/>
      <c r="L17" s="62"/>
      <c r="M17" s="276"/>
      <c r="N17" s="62"/>
      <c r="O17" s="62"/>
    </row>
    <row r="18" spans="1:60" x14ac:dyDescent="0.25">
      <c r="A18" s="1"/>
      <c r="B18" s="64"/>
      <c r="C18" s="1"/>
      <c r="D18" s="65" t="s">
        <v>1</v>
      </c>
      <c r="E18" s="65"/>
      <c r="F18" s="66">
        <v>100</v>
      </c>
      <c r="G18" s="65" t="s">
        <v>78</v>
      </c>
      <c r="H18" s="1"/>
      <c r="I18" s="1"/>
      <c r="J18" s="1"/>
      <c r="K18" s="1"/>
      <c r="L18" s="1"/>
      <c r="M18" s="3"/>
      <c r="N18" s="1"/>
      <c r="O18" s="1"/>
    </row>
    <row r="19" spans="1:60" x14ac:dyDescent="0.25">
      <c r="A19" s="1"/>
      <c r="B19" s="64"/>
      <c r="C19" s="1"/>
      <c r="D19" s="1"/>
      <c r="E19" s="1"/>
      <c r="F19" s="1"/>
      <c r="G19" s="1"/>
      <c r="H19" s="1"/>
      <c r="I19" s="1"/>
      <c r="J19" s="1"/>
      <c r="K19" s="1"/>
      <c r="L19" s="67"/>
      <c r="M19" s="3"/>
      <c r="N19" s="1"/>
      <c r="O19" s="1"/>
    </row>
    <row r="20" spans="1:60" x14ac:dyDescent="0.25">
      <c r="A20" s="1"/>
      <c r="B20" s="64"/>
      <c r="C20" s="1"/>
      <c r="D20" s="68"/>
      <c r="E20" s="68"/>
      <c r="F20" s="510" t="s">
        <v>105</v>
      </c>
      <c r="G20" s="511"/>
      <c r="H20" s="512"/>
      <c r="I20" s="1"/>
      <c r="J20" s="510" t="s">
        <v>104</v>
      </c>
      <c r="K20" s="511"/>
      <c r="L20" s="512"/>
      <c r="M20" s="3"/>
      <c r="N20" s="510" t="s">
        <v>61</v>
      </c>
      <c r="O20" s="512"/>
      <c r="Q20" s="506"/>
      <c r="R20" s="506"/>
      <c r="S20" s="506"/>
      <c r="T20" s="2"/>
      <c r="U20" s="506"/>
      <c r="V20" s="506"/>
      <c r="W20" s="69"/>
      <c r="X20" s="506"/>
      <c r="Y20" s="506"/>
      <c r="Z20" s="506"/>
      <c r="AA20" s="2"/>
      <c r="AB20" s="506"/>
      <c r="AC20" s="506"/>
      <c r="AD20" s="69"/>
      <c r="AE20" s="506"/>
      <c r="AF20" s="506"/>
      <c r="AG20" s="506"/>
      <c r="AH20" s="2"/>
      <c r="AI20" s="506"/>
      <c r="AJ20" s="506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</row>
    <row r="21" spans="1:60" ht="15" customHeight="1" x14ac:dyDescent="0.25">
      <c r="A21" s="1"/>
      <c r="B21" s="64"/>
      <c r="C21" s="1"/>
      <c r="D21" s="1"/>
      <c r="E21" s="70"/>
      <c r="F21" s="71" t="s">
        <v>2</v>
      </c>
      <c r="G21" s="71" t="s">
        <v>3</v>
      </c>
      <c r="H21" s="72" t="s">
        <v>4</v>
      </c>
      <c r="I21" s="1"/>
      <c r="J21" s="71" t="s">
        <v>2</v>
      </c>
      <c r="K21" s="73" t="s">
        <v>3</v>
      </c>
      <c r="L21" s="72" t="s">
        <v>4</v>
      </c>
      <c r="M21" s="3"/>
      <c r="N21" s="502" t="s">
        <v>62</v>
      </c>
      <c r="O21" s="504" t="s">
        <v>63</v>
      </c>
      <c r="Q21" s="270"/>
      <c r="R21" s="270"/>
      <c r="S21" s="270"/>
      <c r="T21" s="2"/>
      <c r="U21" s="501"/>
      <c r="V21" s="501"/>
      <c r="W21" s="69"/>
      <c r="X21" s="270"/>
      <c r="Y21" s="270"/>
      <c r="Z21" s="270"/>
      <c r="AA21" s="2"/>
      <c r="AB21" s="501"/>
      <c r="AC21" s="501"/>
      <c r="AD21" s="69"/>
      <c r="AE21" s="270"/>
      <c r="AF21" s="270"/>
      <c r="AG21" s="270"/>
      <c r="AH21" s="2"/>
      <c r="AI21" s="501"/>
      <c r="AJ21" s="501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</row>
    <row r="22" spans="1:60" x14ac:dyDescent="0.25">
      <c r="A22" s="1"/>
      <c r="B22" s="64"/>
      <c r="C22" s="1"/>
      <c r="D22" s="1"/>
      <c r="E22" s="70"/>
      <c r="F22" s="75" t="s">
        <v>79</v>
      </c>
      <c r="G22" s="75"/>
      <c r="H22" s="76" t="s">
        <v>79</v>
      </c>
      <c r="I22" s="1"/>
      <c r="J22" s="75" t="s">
        <v>79</v>
      </c>
      <c r="K22" s="76"/>
      <c r="L22" s="76" t="s">
        <v>79</v>
      </c>
      <c r="M22" s="3"/>
      <c r="N22" s="503"/>
      <c r="O22" s="505"/>
      <c r="Q22" s="77"/>
      <c r="R22" s="77"/>
      <c r="S22" s="77"/>
      <c r="T22" s="2"/>
      <c r="U22" s="501"/>
      <c r="V22" s="501"/>
      <c r="W22" s="69"/>
      <c r="X22" s="77"/>
      <c r="Y22" s="77"/>
      <c r="Z22" s="77"/>
      <c r="AA22" s="2"/>
      <c r="AB22" s="501"/>
      <c r="AC22" s="501"/>
      <c r="AD22" s="69"/>
      <c r="AE22" s="77"/>
      <c r="AF22" s="77"/>
      <c r="AG22" s="77"/>
      <c r="AH22" s="2"/>
      <c r="AI22" s="501"/>
      <c r="AJ22" s="501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</row>
    <row r="23" spans="1:60" x14ac:dyDescent="0.25">
      <c r="A23" s="7" t="s">
        <v>15</v>
      </c>
      <c r="B23" s="271" t="str">
        <f>IF(Rates!D283='USL BRT'!$A$23,Rates!B283," ")</f>
        <v>Service Charge</v>
      </c>
      <c r="C23" s="79"/>
      <c r="D23" s="271" t="str">
        <f>IF(Rates!D283='USL BRT'!$A$23,Rates!E283," ")</f>
        <v>connection</v>
      </c>
      <c r="E23" s="79"/>
      <c r="F23" s="80">
        <f>IF(Rates!$J$1="BRT 2018",Rates!J283," ")</f>
        <v>2.04</v>
      </c>
      <c r="G23" s="81">
        <f>IF(D23="customer",1,IF(D23="kWh",$F$18,IF(D23="kW",$F$17,1)))</f>
        <v>1</v>
      </c>
      <c r="H23" s="82">
        <f>G23*F23</f>
        <v>2.04</v>
      </c>
      <c r="I23" s="83"/>
      <c r="J23" s="487">
        <f>IF(Rates!$L$1="E+ 2019",Rates!L283," ")</f>
        <v>5.7904999999999998</v>
      </c>
      <c r="K23" s="97">
        <f>IF(D23="customer",1,IF(D23="kWh",$F$18,IF(D23="kW",$F$17,1)))</f>
        <v>1</v>
      </c>
      <c r="L23" s="82">
        <f t="shared" ref="L23:L35" si="0">K23*J23</f>
        <v>5.7904999999999998</v>
      </c>
      <c r="M23" s="91"/>
      <c r="N23" s="84">
        <f t="shared" ref="N23:N61" si="1">L23-H23</f>
        <v>3.7504999999999997</v>
      </c>
      <c r="O23" s="85">
        <f>IF(OR(H23=0,L23=0),"",(N23/H23))</f>
        <v>1.8384803921568627</v>
      </c>
      <c r="Q23" s="86"/>
      <c r="R23" s="87"/>
      <c r="S23" s="88"/>
      <c r="T23" s="87"/>
      <c r="U23" s="89"/>
      <c r="V23" s="90"/>
      <c r="W23" s="69"/>
      <c r="X23" s="86"/>
      <c r="Y23" s="87"/>
      <c r="Z23" s="88"/>
      <c r="AA23" s="87"/>
      <c r="AB23" s="89"/>
      <c r="AC23" s="90"/>
      <c r="AD23" s="69"/>
      <c r="AE23" s="86"/>
      <c r="AF23" s="87"/>
      <c r="AG23" s="88"/>
      <c r="AH23" s="87"/>
      <c r="AI23" s="89"/>
      <c r="AJ23" s="90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</row>
    <row r="24" spans="1:60" x14ac:dyDescent="0.25">
      <c r="A24" s="1"/>
      <c r="B24" s="271" t="str">
        <f>IF(Rates!D284='USL BRT'!$A$23,Rates!B284," ")</f>
        <v>Rate Rider ACM</v>
      </c>
      <c r="C24" s="79"/>
      <c r="D24" s="271" t="str">
        <f>IF(Rates!D284='USL BRT'!$A$23,Rates!E284," ")</f>
        <v>connection</v>
      </c>
      <c r="E24" s="79"/>
      <c r="F24" s="80">
        <f>IF(Rates!$J$1="BRT 2018",Rates!J284," ")</f>
        <v>0</v>
      </c>
      <c r="G24" s="81">
        <f t="shared" ref="G24:G33" si="2">IF(D24="customer",1,IF(D24="kWh",$F$18,IF(D24="kW",$F$17,1)))</f>
        <v>1</v>
      </c>
      <c r="H24" s="82">
        <f t="shared" ref="H24:H35" si="3">G24*F24</f>
        <v>0</v>
      </c>
      <c r="I24" s="83"/>
      <c r="J24" s="337">
        <f>IF(Rates!$L$1="E+ 2019",Rates!L284," ")</f>
        <v>0</v>
      </c>
      <c r="K24" s="97">
        <f t="shared" ref="K24:K33" si="4">IF(D24="customer",1,IF(D24="kWh",$F$18,IF(D24="kW",$F$17,1)))</f>
        <v>1</v>
      </c>
      <c r="L24" s="82">
        <f t="shared" si="0"/>
        <v>0</v>
      </c>
      <c r="M24" s="91"/>
      <c r="N24" s="84">
        <f t="shared" si="1"/>
        <v>0</v>
      </c>
      <c r="O24" s="85" t="str">
        <f t="shared" ref="O24:O35" si="5">IF(OR(H24=0,L24=0),"",(N24/H24))</f>
        <v/>
      </c>
      <c r="Q24" s="86"/>
      <c r="R24" s="87"/>
      <c r="S24" s="88"/>
      <c r="T24" s="87"/>
      <c r="U24" s="89"/>
      <c r="V24" s="90"/>
      <c r="W24" s="69"/>
      <c r="X24" s="86"/>
      <c r="Y24" s="87"/>
      <c r="Z24" s="88"/>
      <c r="AA24" s="87"/>
      <c r="AB24" s="89"/>
      <c r="AC24" s="90"/>
      <c r="AD24" s="69"/>
      <c r="AE24" s="86"/>
      <c r="AF24" s="87"/>
      <c r="AG24" s="88"/>
      <c r="AH24" s="87"/>
      <c r="AI24" s="89"/>
      <c r="AJ24" s="90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</row>
    <row r="25" spans="1:60" s="94" customFormat="1" x14ac:dyDescent="0.25">
      <c r="A25" s="3"/>
      <c r="B25" s="271" t="str">
        <f>IF(Rates!D285='USL BRT'!$A$23,Rates!B285," ")</f>
        <v>Distribution Volumetric Rate</v>
      </c>
      <c r="C25" s="79"/>
      <c r="D25" s="271" t="str">
        <f>IF(Rates!D285='USL BRT'!$A$23,Rates!E285," ")</f>
        <v>kWh</v>
      </c>
      <c r="E25" s="79"/>
      <c r="F25" s="235">
        <f>IF(Rates!$J$1="BRT 2018",Rates!J285," ")</f>
        <v>2.3300000000000001E-2</v>
      </c>
      <c r="G25" s="81">
        <f t="shared" si="2"/>
        <v>100</v>
      </c>
      <c r="H25" s="82">
        <f t="shared" si="3"/>
        <v>2.33</v>
      </c>
      <c r="I25" s="91"/>
      <c r="J25" s="337">
        <f>IF(Rates!$L$1="E+ 2019",Rates!L285," ")</f>
        <v>1.43E-2</v>
      </c>
      <c r="K25" s="97">
        <f t="shared" si="4"/>
        <v>100</v>
      </c>
      <c r="L25" s="92">
        <f t="shared" si="0"/>
        <v>1.43</v>
      </c>
      <c r="M25" s="91"/>
      <c r="N25" s="84">
        <f t="shared" si="1"/>
        <v>-0.90000000000000013</v>
      </c>
      <c r="O25" s="85">
        <f t="shared" si="5"/>
        <v>-0.38626609442060089</v>
      </c>
      <c r="Q25" s="95"/>
      <c r="R25" s="87"/>
      <c r="S25" s="88"/>
      <c r="T25" s="87"/>
      <c r="U25" s="89"/>
      <c r="V25" s="90"/>
      <c r="W25" s="69"/>
      <c r="X25" s="95"/>
      <c r="Y25" s="87"/>
      <c r="Z25" s="88"/>
      <c r="AA25" s="87"/>
      <c r="AB25" s="89"/>
      <c r="AC25" s="90"/>
      <c r="AD25" s="69"/>
      <c r="AE25" s="95"/>
      <c r="AF25" s="87"/>
      <c r="AG25" s="88"/>
      <c r="AH25" s="87"/>
      <c r="AI25" s="89"/>
      <c r="AJ25" s="90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</row>
    <row r="26" spans="1:60" s="94" customFormat="1" x14ac:dyDescent="0.25">
      <c r="A26" s="3"/>
      <c r="B26" s="271" t="str">
        <f>IF(Rates!D286='USL BRT'!$A$23,Rates!B286," ")</f>
        <v>Rate Rider ACM</v>
      </c>
      <c r="C26" s="79"/>
      <c r="D26" s="271" t="str">
        <f>IF(Rates!D286='USL BRT'!$A$23,Rates!E286," ")</f>
        <v>kWh</v>
      </c>
      <c r="E26" s="79"/>
      <c r="F26" s="80">
        <f>IF(Rates!$J$1="BRT 2018",Rates!J286," ")</f>
        <v>0</v>
      </c>
      <c r="G26" s="81">
        <f t="shared" si="2"/>
        <v>100</v>
      </c>
      <c r="H26" s="82">
        <f t="shared" si="3"/>
        <v>0</v>
      </c>
      <c r="I26" s="91"/>
      <c r="J26" s="337">
        <f>IF(Rates!$L$1="E+ 2019",Rates!L286," ")</f>
        <v>0</v>
      </c>
      <c r="K26" s="97">
        <f t="shared" si="4"/>
        <v>100</v>
      </c>
      <c r="L26" s="92">
        <f t="shared" si="0"/>
        <v>0</v>
      </c>
      <c r="M26" s="91"/>
      <c r="N26" s="84">
        <f t="shared" si="1"/>
        <v>0</v>
      </c>
      <c r="O26" s="85" t="str">
        <f t="shared" si="5"/>
        <v/>
      </c>
      <c r="Q26" s="95"/>
      <c r="R26" s="87"/>
      <c r="S26" s="88"/>
      <c r="T26" s="87"/>
      <c r="U26" s="89"/>
      <c r="V26" s="90"/>
      <c r="W26" s="69"/>
      <c r="X26" s="95"/>
      <c r="Y26" s="87"/>
      <c r="Z26" s="88"/>
      <c r="AA26" s="87"/>
      <c r="AB26" s="89"/>
      <c r="AC26" s="90"/>
      <c r="AD26" s="69"/>
      <c r="AE26" s="95"/>
      <c r="AF26" s="87"/>
      <c r="AG26" s="88"/>
      <c r="AH26" s="87"/>
      <c r="AI26" s="89"/>
      <c r="AJ26" s="90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</row>
    <row r="27" spans="1:60" x14ac:dyDescent="0.25">
      <c r="A27" s="3"/>
      <c r="B27" s="271" t="str">
        <f>IF(Rates!D287='USL BRT'!$A$23,Rates!B287," ")</f>
        <v>Rate Rider for Disposition of Account 1575 and 1576</v>
      </c>
      <c r="C27" s="79"/>
      <c r="D27" s="271" t="str">
        <f>IF(Rates!D287='USL BRT'!$A$23,Rates!E287," ")</f>
        <v>connection</v>
      </c>
      <c r="E27" s="79"/>
      <c r="F27" s="80">
        <f>IF(Rates!$J$1="BRT 2018",Rates!J287," ")</f>
        <v>0</v>
      </c>
      <c r="G27" s="81">
        <f t="shared" si="2"/>
        <v>1</v>
      </c>
      <c r="H27" s="92">
        <f t="shared" si="3"/>
        <v>0</v>
      </c>
      <c r="I27" s="83"/>
      <c r="J27" s="337">
        <f>IF(Rates!$L$1="E+ 2019",Rates!L287," ")</f>
        <v>0</v>
      </c>
      <c r="K27" s="97">
        <f t="shared" si="4"/>
        <v>1</v>
      </c>
      <c r="L27" s="92">
        <f t="shared" si="0"/>
        <v>0</v>
      </c>
      <c r="M27" s="91"/>
      <c r="N27" s="84">
        <f t="shared" si="1"/>
        <v>0</v>
      </c>
      <c r="O27" s="85" t="str">
        <f t="shared" si="5"/>
        <v/>
      </c>
      <c r="Q27" s="86"/>
      <c r="R27" s="87"/>
      <c r="S27" s="88"/>
      <c r="T27" s="87"/>
      <c r="U27" s="89"/>
      <c r="V27" s="90"/>
      <c r="W27" s="69"/>
      <c r="X27" s="86"/>
      <c r="Y27" s="87"/>
      <c r="Z27" s="88"/>
      <c r="AA27" s="87"/>
      <c r="AB27" s="89"/>
      <c r="AC27" s="90"/>
      <c r="AD27" s="69"/>
      <c r="AE27" s="86"/>
      <c r="AF27" s="87"/>
      <c r="AG27" s="88"/>
      <c r="AH27" s="87"/>
      <c r="AI27" s="89"/>
      <c r="AJ27" s="90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</row>
    <row r="28" spans="1:60" s="94" customFormat="1" x14ac:dyDescent="0.25">
      <c r="A28" s="3"/>
      <c r="B28" s="271" t="str">
        <f>IF(Rates!D288='USL BRT'!$A$23,Rates!B288," ")</f>
        <v>Rate Rider for Disposition of Account 1575 and 1576</v>
      </c>
      <c r="C28" s="79"/>
      <c r="D28" s="271" t="str">
        <f>IF(Rates!D288='USL BRT'!$A$23,Rates!E288," ")</f>
        <v>kWh</v>
      </c>
      <c r="E28" s="79"/>
      <c r="F28" s="80">
        <f>IF(Rates!$J$1="BRT 2018",Rates!J288," ")</f>
        <v>0</v>
      </c>
      <c r="G28" s="81">
        <f t="shared" si="2"/>
        <v>100</v>
      </c>
      <c r="H28" s="92">
        <f t="shared" si="3"/>
        <v>0</v>
      </c>
      <c r="I28" s="91"/>
      <c r="J28" s="337">
        <f>IF(Rates!$L$1="E+ 2019",Rates!L288," ")</f>
        <v>-3.2126915242846417E-4</v>
      </c>
      <c r="K28" s="97">
        <f t="shared" si="4"/>
        <v>100</v>
      </c>
      <c r="L28" s="92">
        <f t="shared" si="0"/>
        <v>-3.2126915242846416E-2</v>
      </c>
      <c r="M28" s="91"/>
      <c r="N28" s="84">
        <f t="shared" si="1"/>
        <v>-3.2126915242846416E-2</v>
      </c>
      <c r="O28" s="85" t="str">
        <f t="shared" si="5"/>
        <v/>
      </c>
      <c r="Q28" s="86"/>
      <c r="R28" s="87"/>
      <c r="S28" s="88"/>
      <c r="T28" s="87"/>
      <c r="U28" s="89"/>
      <c r="V28" s="90"/>
      <c r="W28" s="69"/>
      <c r="X28" s="86"/>
      <c r="Y28" s="87"/>
      <c r="Z28" s="88"/>
      <c r="AA28" s="87"/>
      <c r="AB28" s="89"/>
      <c r="AC28" s="90"/>
      <c r="AD28" s="69"/>
      <c r="AE28" s="86"/>
      <c r="AF28" s="87"/>
      <c r="AG28" s="88"/>
      <c r="AH28" s="87"/>
      <c r="AI28" s="89"/>
      <c r="AJ28" s="90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</row>
    <row r="29" spans="1:60" s="94" customFormat="1" x14ac:dyDescent="0.25">
      <c r="A29" s="3"/>
      <c r="B29" s="271" t="str">
        <f>IF(Rates!D289='USL BRT'!$A$23,Rates!B289," ")</f>
        <v>Rate Rider for Disposition of Account 1575 and 1576</v>
      </c>
      <c r="C29" s="79"/>
      <c r="D29" s="271" t="str">
        <f>IF(Rates!D289='USL BRT'!$A$23,Rates!E289," ")</f>
        <v>connection</v>
      </c>
      <c r="E29" s="79"/>
      <c r="F29" s="80">
        <f>IF(Rates!$J$1="BRT 2018",Rates!J289," ")</f>
        <v>0</v>
      </c>
      <c r="G29" s="81">
        <f t="shared" si="2"/>
        <v>1</v>
      </c>
      <c r="H29" s="92">
        <f t="shared" si="3"/>
        <v>0</v>
      </c>
      <c r="I29" s="91"/>
      <c r="J29" s="337">
        <f>IF(Rates!$L$1="E+ 2019",Rates!L289," ")</f>
        <v>0</v>
      </c>
      <c r="K29" s="97">
        <f t="shared" si="4"/>
        <v>1</v>
      </c>
      <c r="L29" s="92">
        <f t="shared" si="0"/>
        <v>0</v>
      </c>
      <c r="M29" s="91"/>
      <c r="N29" s="84">
        <f t="shared" si="1"/>
        <v>0</v>
      </c>
      <c r="O29" s="85" t="str">
        <f t="shared" si="5"/>
        <v/>
      </c>
      <c r="Q29" s="98"/>
      <c r="R29" s="87"/>
      <c r="S29" s="88"/>
      <c r="T29" s="87"/>
      <c r="U29" s="89"/>
      <c r="V29" s="90"/>
      <c r="W29" s="69"/>
      <c r="X29" s="98"/>
      <c r="Y29" s="87"/>
      <c r="Z29" s="88"/>
      <c r="AA29" s="87"/>
      <c r="AB29" s="89"/>
      <c r="AC29" s="90"/>
      <c r="AD29" s="69"/>
      <c r="AE29" s="98"/>
      <c r="AF29" s="87"/>
      <c r="AG29" s="88"/>
      <c r="AH29" s="87"/>
      <c r="AI29" s="89"/>
      <c r="AJ29" s="90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</row>
    <row r="30" spans="1:60" s="101" customFormat="1" x14ac:dyDescent="0.25">
      <c r="A30" s="99"/>
      <c r="B30" s="271" t="str">
        <f>IF(Rates!D290='USL BRT'!$A$23,Rates!B290," ")</f>
        <v>Rate Rider for Disposition of Account 1575 and 1576</v>
      </c>
      <c r="C30" s="79"/>
      <c r="D30" s="271" t="str">
        <f>IF(Rates!D290='USL BRT'!$A$23,Rates!E290," ")</f>
        <v>kWh</v>
      </c>
      <c r="E30" s="79"/>
      <c r="F30" s="80">
        <f>IF(Rates!$J$1="BRT 2018",Rates!J290," ")</f>
        <v>0</v>
      </c>
      <c r="G30" s="81">
        <f t="shared" si="2"/>
        <v>100</v>
      </c>
      <c r="H30" s="92">
        <f t="shared" si="3"/>
        <v>0</v>
      </c>
      <c r="I30" s="91"/>
      <c r="J30" s="337">
        <f>IF(Rates!$L$1="E+ 2019",Rates!L290," ")</f>
        <v>0</v>
      </c>
      <c r="K30" s="97">
        <f t="shared" si="4"/>
        <v>100</v>
      </c>
      <c r="L30" s="92">
        <f t="shared" si="0"/>
        <v>0</v>
      </c>
      <c r="M30" s="91"/>
      <c r="N30" s="84">
        <f t="shared" si="1"/>
        <v>0</v>
      </c>
      <c r="O30" s="85" t="str">
        <f t="shared" si="5"/>
        <v/>
      </c>
      <c r="Q30" s="102"/>
      <c r="R30" s="103"/>
      <c r="S30" s="104"/>
      <c r="T30" s="103"/>
      <c r="U30" s="105"/>
      <c r="V30" s="106"/>
      <c r="W30" s="107"/>
      <c r="X30" s="102"/>
      <c r="Y30" s="103"/>
      <c r="Z30" s="104"/>
      <c r="AA30" s="103"/>
      <c r="AB30" s="105"/>
      <c r="AC30" s="106"/>
      <c r="AD30" s="107"/>
      <c r="AE30" s="102"/>
      <c r="AF30" s="103"/>
      <c r="AG30" s="104"/>
      <c r="AH30" s="103"/>
      <c r="AI30" s="105"/>
      <c r="AJ30" s="106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</row>
    <row r="31" spans="1:60" s="94" customFormat="1" x14ac:dyDescent="0.25">
      <c r="A31" s="3"/>
      <c r="B31" s="271" t="str">
        <f>IF(Rates!D291='USL BRT'!$A$23,Rates!B291," ")</f>
        <v>Rate Rider for LRAMVA</v>
      </c>
      <c r="C31" s="79"/>
      <c r="D31" s="271" t="str">
        <f>IF(Rates!D291='USL BRT'!$A$23,Rates!E291," ")</f>
        <v>kWh</v>
      </c>
      <c r="E31" s="79"/>
      <c r="F31" s="80">
        <f>IF(Rates!$J$1="BRT 2018",Rates!J291," ")</f>
        <v>0</v>
      </c>
      <c r="G31" s="81">
        <f t="shared" si="2"/>
        <v>100</v>
      </c>
      <c r="H31" s="92">
        <f t="shared" si="3"/>
        <v>0</v>
      </c>
      <c r="I31" s="91"/>
      <c r="J31" s="337">
        <f>IF(Rates!$L$1="E+ 2019",Rates!L291," ")</f>
        <v>-1.0838623612552882E-3</v>
      </c>
      <c r="K31" s="97">
        <f t="shared" si="4"/>
        <v>100</v>
      </c>
      <c r="L31" s="92">
        <f t="shared" si="0"/>
        <v>-0.10838623612552882</v>
      </c>
      <c r="M31" s="91"/>
      <c r="N31" s="84">
        <f t="shared" si="1"/>
        <v>-0.10838623612552882</v>
      </c>
      <c r="O31" s="85" t="str">
        <f t="shared" si="5"/>
        <v/>
      </c>
      <c r="Q31" s="98"/>
      <c r="R31" s="87"/>
      <c r="S31" s="88"/>
      <c r="T31" s="87"/>
      <c r="U31" s="89"/>
      <c r="V31" s="90"/>
      <c r="W31" s="69"/>
      <c r="X31" s="98"/>
      <c r="Y31" s="87"/>
      <c r="Z31" s="88"/>
      <c r="AA31" s="87"/>
      <c r="AB31" s="89"/>
      <c r="AC31" s="90"/>
      <c r="AD31" s="69"/>
      <c r="AE31" s="98"/>
      <c r="AF31" s="87"/>
      <c r="AG31" s="88"/>
      <c r="AH31" s="87"/>
      <c r="AI31" s="89"/>
      <c r="AJ31" s="90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</row>
    <row r="32" spans="1:60" s="94" customFormat="1" x14ac:dyDescent="0.25">
      <c r="A32" s="3"/>
      <c r="B32" s="271" t="str">
        <f>IF(Rates!D292='USL BRT'!$A$23,Rates!B292," ")</f>
        <v>Other Fixed</v>
      </c>
      <c r="C32" s="79"/>
      <c r="D32" s="271" t="str">
        <f>IF(Rates!D292='USL BRT'!$A$23,Rates!E292," ")</f>
        <v>connection</v>
      </c>
      <c r="E32" s="79"/>
      <c r="F32" s="80">
        <f>IF(Rates!$J$1="BRT 2018",Rates!J292," ")</f>
        <v>0</v>
      </c>
      <c r="G32" s="81">
        <f t="shared" si="2"/>
        <v>1</v>
      </c>
      <c r="H32" s="92">
        <f t="shared" si="3"/>
        <v>0</v>
      </c>
      <c r="I32" s="91"/>
      <c r="J32" s="337">
        <f>IF(Rates!$L$1="E+ 2019",Rates!L292," ")</f>
        <v>0</v>
      </c>
      <c r="K32" s="97">
        <f t="shared" si="4"/>
        <v>1</v>
      </c>
      <c r="L32" s="92">
        <f t="shared" si="0"/>
        <v>0</v>
      </c>
      <c r="M32" s="91"/>
      <c r="N32" s="84">
        <f t="shared" si="1"/>
        <v>0</v>
      </c>
      <c r="O32" s="85" t="str">
        <f t="shared" si="5"/>
        <v/>
      </c>
      <c r="Q32" s="98"/>
      <c r="R32" s="87"/>
      <c r="S32" s="88"/>
      <c r="T32" s="87"/>
      <c r="U32" s="89"/>
      <c r="V32" s="90"/>
      <c r="W32" s="69"/>
      <c r="X32" s="98"/>
      <c r="Y32" s="87"/>
      <c r="Z32" s="88"/>
      <c r="AA32" s="87"/>
      <c r="AB32" s="89"/>
      <c r="AC32" s="90"/>
      <c r="AD32" s="69"/>
      <c r="AE32" s="98"/>
      <c r="AF32" s="87"/>
      <c r="AG32" s="88"/>
      <c r="AH32" s="87"/>
      <c r="AI32" s="89"/>
      <c r="AJ32" s="90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</row>
    <row r="33" spans="1:60" s="94" customFormat="1" x14ac:dyDescent="0.25">
      <c r="A33" s="3"/>
      <c r="B33" s="271" t="str">
        <f>IF(Rates!D293='USL BRT'!$A$23,Rates!B293," ")</f>
        <v>Other Volumetric</v>
      </c>
      <c r="C33" s="79"/>
      <c r="D33" s="271" t="str">
        <f>IF(Rates!D293='USL BRT'!$A$23,Rates!E293," ")</f>
        <v>kWh</v>
      </c>
      <c r="E33" s="79"/>
      <c r="F33" s="80">
        <f>IF(Rates!$J$1="BRT 2018",Rates!J293," ")</f>
        <v>0</v>
      </c>
      <c r="G33" s="81">
        <f t="shared" si="2"/>
        <v>100</v>
      </c>
      <c r="H33" s="92">
        <f t="shared" si="3"/>
        <v>0</v>
      </c>
      <c r="I33" s="91"/>
      <c r="J33" s="337">
        <f>IF(Rates!$L$1="E+ 2019",Rates!L293," ")</f>
        <v>0</v>
      </c>
      <c r="K33" s="97">
        <f t="shared" si="4"/>
        <v>100</v>
      </c>
      <c r="L33" s="92">
        <f t="shared" si="0"/>
        <v>0</v>
      </c>
      <c r="M33" s="91"/>
      <c r="N33" s="84">
        <f t="shared" si="1"/>
        <v>0</v>
      </c>
      <c r="O33" s="85" t="str">
        <f t="shared" si="5"/>
        <v/>
      </c>
      <c r="Q33" s="95"/>
      <c r="R33" s="87"/>
      <c r="S33" s="88"/>
      <c r="T33" s="87"/>
      <c r="U33" s="89"/>
      <c r="V33" s="90"/>
      <c r="W33" s="69"/>
      <c r="X33" s="95"/>
      <c r="Y33" s="87"/>
      <c r="Z33" s="88"/>
      <c r="AA33" s="87"/>
      <c r="AB33" s="89"/>
      <c r="AC33" s="90"/>
      <c r="AD33" s="69"/>
      <c r="AE33" s="95"/>
      <c r="AF33" s="87"/>
      <c r="AG33" s="88"/>
      <c r="AH33" s="87"/>
      <c r="AI33" s="89"/>
      <c r="AJ33" s="90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</row>
    <row r="34" spans="1:60" s="94" customFormat="1" x14ac:dyDescent="0.25">
      <c r="A34" s="3"/>
      <c r="B34" s="271" t="str">
        <f>IF(Rates!D294='USL BRT'!$A$23,Rates!B294," ")</f>
        <v>Rate Rider for gain on Sale of Property</v>
      </c>
      <c r="C34" s="79"/>
      <c r="D34" s="271" t="str">
        <f>IF(Rates!D294='USL BRT'!$A$23,Rates!E294," ")</f>
        <v>kWh</v>
      </c>
      <c r="E34" s="79"/>
      <c r="F34" s="80">
        <f>IF(Rates!$J$1="BRT 2018",Rates!J294," ")</f>
        <v>0</v>
      </c>
      <c r="G34" s="81">
        <f t="shared" ref="G34" si="6">IF(D34="customer",1,IF(D34="kWh",$F$18,IF(D34="kW",$F$17,1)))</f>
        <v>100</v>
      </c>
      <c r="H34" s="92">
        <f t="shared" ref="H34" si="7">G34*F34</f>
        <v>0</v>
      </c>
      <c r="I34" s="91"/>
      <c r="J34" s="337">
        <f>IF(Rates!$L$1="E+ 2019",Rates!L294," ")</f>
        <v>-2.4661231261194995E-4</v>
      </c>
      <c r="K34" s="97">
        <f t="shared" ref="K34" si="8">IF(D34="customer",1,IF(D34="kWh",$F$18,IF(D34="kW",$F$17,1)))</f>
        <v>100</v>
      </c>
      <c r="L34" s="92">
        <f t="shared" ref="L34" si="9">K34*J34</f>
        <v>-2.4661231261194995E-2</v>
      </c>
      <c r="M34" s="91"/>
      <c r="N34" s="84">
        <f t="shared" ref="N34" si="10">L34-H34</f>
        <v>-2.4661231261194995E-2</v>
      </c>
      <c r="O34" s="85" t="str">
        <f t="shared" ref="O34" si="11">IF(OR(H34=0,L34=0),"",(N34/H34))</f>
        <v/>
      </c>
      <c r="Q34" s="95"/>
      <c r="R34" s="87"/>
      <c r="S34" s="88"/>
      <c r="T34" s="87"/>
      <c r="U34" s="89"/>
      <c r="V34" s="90"/>
      <c r="W34" s="69"/>
      <c r="X34" s="95"/>
      <c r="Y34" s="87"/>
      <c r="Z34" s="88"/>
      <c r="AA34" s="87"/>
      <c r="AB34" s="89"/>
      <c r="AC34" s="90"/>
      <c r="AD34" s="69"/>
      <c r="AE34" s="95"/>
      <c r="AF34" s="87"/>
      <c r="AG34" s="88"/>
      <c r="AH34" s="87"/>
      <c r="AI34" s="89"/>
      <c r="AJ34" s="90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</row>
    <row r="35" spans="1:60" s="94" customFormat="1" hidden="1" x14ac:dyDescent="0.25">
      <c r="A35" s="3"/>
      <c r="B35" s="271"/>
      <c r="C35" s="79"/>
      <c r="D35" s="271"/>
      <c r="E35" s="79"/>
      <c r="F35" s="96"/>
      <c r="G35" s="97"/>
      <c r="H35" s="92">
        <f t="shared" si="3"/>
        <v>0</v>
      </c>
      <c r="I35" s="87"/>
      <c r="J35" s="337"/>
      <c r="K35" s="97"/>
      <c r="L35" s="92">
        <f t="shared" si="0"/>
        <v>0</v>
      </c>
      <c r="M35" s="87"/>
      <c r="N35" s="84">
        <f t="shared" si="1"/>
        <v>0</v>
      </c>
      <c r="O35" s="85" t="str">
        <f t="shared" si="5"/>
        <v/>
      </c>
      <c r="Q35" s="98"/>
      <c r="R35" s="87"/>
      <c r="S35" s="88"/>
      <c r="T35" s="87"/>
      <c r="U35" s="89"/>
      <c r="V35" s="90"/>
      <c r="W35" s="69"/>
      <c r="X35" s="98"/>
      <c r="Y35" s="87"/>
      <c r="Z35" s="88"/>
      <c r="AA35" s="87"/>
      <c r="AB35" s="89"/>
      <c r="AC35" s="90"/>
      <c r="AD35" s="69"/>
      <c r="AE35" s="98"/>
      <c r="AF35" s="87"/>
      <c r="AG35" s="88"/>
      <c r="AH35" s="87"/>
      <c r="AI35" s="89"/>
      <c r="AJ35" s="90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</row>
    <row r="36" spans="1:60" s="94" customFormat="1" x14ac:dyDescent="0.25">
      <c r="A36" s="3"/>
      <c r="B36" s="109" t="s">
        <v>64</v>
      </c>
      <c r="C36" s="110"/>
      <c r="D36" s="110"/>
      <c r="E36" s="110"/>
      <c r="F36" s="111"/>
      <c r="G36" s="112"/>
      <c r="H36" s="113">
        <f>SUM(H23:H35)</f>
        <v>4.37</v>
      </c>
      <c r="I36" s="87"/>
      <c r="J36" s="115"/>
      <c r="K36" s="116"/>
      <c r="L36" s="113">
        <f>SUM(L23:L35)</f>
        <v>7.0553256173704284</v>
      </c>
      <c r="M36" s="87"/>
      <c r="N36" s="117">
        <f t="shared" si="1"/>
        <v>2.6853256173704283</v>
      </c>
      <c r="O36" s="118">
        <f>IF(OR(H36=0, L36=0),"",(N36/H36))</f>
        <v>0.61449098795661972</v>
      </c>
      <c r="Q36" s="119"/>
      <c r="R36" s="120"/>
      <c r="S36" s="88"/>
      <c r="T36" s="87"/>
      <c r="U36" s="121"/>
      <c r="V36" s="122"/>
      <c r="W36" s="69"/>
      <c r="X36" s="119"/>
      <c r="Y36" s="120"/>
      <c r="Z36" s="88"/>
      <c r="AA36" s="87"/>
      <c r="AB36" s="121"/>
      <c r="AC36" s="122"/>
      <c r="AD36" s="69"/>
      <c r="AE36" s="119"/>
      <c r="AF36" s="120"/>
      <c r="AG36" s="88"/>
      <c r="AH36" s="87"/>
      <c r="AI36" s="121"/>
      <c r="AJ36" s="122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</row>
    <row r="37" spans="1:60" s="94" customFormat="1" x14ac:dyDescent="0.25">
      <c r="A37" s="5" t="s">
        <v>18</v>
      </c>
      <c r="B37" s="271" t="str">
        <f>IF(Rates!D295='USL BRT'!$A$37,Rates!B295," ")</f>
        <v>Low Voltage Service Rate</v>
      </c>
      <c r="C37" s="79"/>
      <c r="D37" s="271" t="str">
        <f>IF(Rates!D295='USL BRT'!$A$37,Rates!E295," ")</f>
        <v>kWh</v>
      </c>
      <c r="E37" s="79"/>
      <c r="F37" s="337">
        <f>IF(Rates!$J$1="BRT 2018",Rates!J295," ")</f>
        <v>2.3999999999999998E-3</v>
      </c>
      <c r="G37" s="81">
        <f t="shared" ref="G37" si="12">IF(D37="customer",1,IF(D37="kWh",$F$18,IF(D37="kW",$F$17,1)))</f>
        <v>100</v>
      </c>
      <c r="H37" s="92">
        <f t="shared" ref="H37:H42" si="13">G37*F37</f>
        <v>0.24</v>
      </c>
      <c r="I37" s="87"/>
      <c r="J37" s="337">
        <f>IF(Rates!$L$1="E+ 2019",Rates!L295," ")</f>
        <v>4.0000000000000002E-4</v>
      </c>
      <c r="K37" s="97">
        <f t="shared" ref="K37" si="14">IF(D37="customer",1,IF(D37="kWh",$F$18,IF(D37="kW",$F$17,1)))</f>
        <v>100</v>
      </c>
      <c r="L37" s="92">
        <f t="shared" ref="L37:L44" si="15">K37*J37</f>
        <v>0.04</v>
      </c>
      <c r="M37" s="87"/>
      <c r="N37" s="123">
        <f t="shared" si="1"/>
        <v>-0.19999999999999998</v>
      </c>
      <c r="O37" s="93">
        <f t="shared" ref="O37:O44" si="16">IF(OR(H37=0,L37=0),"",(N37/H37))</f>
        <v>-0.83333333333333326</v>
      </c>
      <c r="Q37" s="119"/>
      <c r="R37" s="87"/>
      <c r="S37" s="88"/>
      <c r="T37" s="87"/>
      <c r="U37" s="89"/>
      <c r="V37" s="90"/>
      <c r="W37" s="69"/>
      <c r="X37" s="119"/>
      <c r="Y37" s="87"/>
      <c r="Z37" s="88"/>
      <c r="AA37" s="87"/>
      <c r="AB37" s="89"/>
      <c r="AC37" s="90"/>
      <c r="AD37" s="69"/>
      <c r="AE37" s="119"/>
      <c r="AF37" s="87"/>
      <c r="AG37" s="88"/>
      <c r="AH37" s="87"/>
      <c r="AI37" s="89"/>
      <c r="AJ37" s="90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</row>
    <row r="38" spans="1:60" x14ac:dyDescent="0.25">
      <c r="A38" s="1"/>
      <c r="B38" s="272" t="s">
        <v>5</v>
      </c>
      <c r="C38" s="79"/>
      <c r="D38" s="271" t="s">
        <v>13</v>
      </c>
      <c r="E38" s="79"/>
      <c r="F38" s="337">
        <f>IF(ISBLANK($D16)=TRUE, 0, IF($D16="TOU", 0.65*$F56+0.17*$F57+0.18*$F58, IF(AND($D16="non-TOU", G60&gt;0), $F60,$F59)))</f>
        <v>8.2160000000000011E-2</v>
      </c>
      <c r="G38" s="125">
        <f>$F18*(1+$F69)-$F18</f>
        <v>4.9500000000000171</v>
      </c>
      <c r="H38" s="126">
        <f t="shared" si="13"/>
        <v>0.40669200000000144</v>
      </c>
      <c r="I38" s="87"/>
      <c r="J38" s="337">
        <f>IF(ISBLANK($D16)=TRUE, 0, IF($D16="TOU", 0.65*$F56+0.17*$F57+0.18*$F58, IF(AND($D16="non-TOU", K60&gt;0), $F60,$F59)))</f>
        <v>8.2160000000000011E-2</v>
      </c>
      <c r="K38" s="125">
        <f>$F18*(1+$J69)-$F18</f>
        <v>3.0684649944027029</v>
      </c>
      <c r="L38" s="126">
        <f t="shared" si="15"/>
        <v>0.2521050839401261</v>
      </c>
      <c r="M38" s="87"/>
      <c r="N38" s="123">
        <f t="shared" si="1"/>
        <v>-0.15458691605987535</v>
      </c>
      <c r="O38" s="93">
        <f t="shared" si="16"/>
        <v>-0.38010808193885004</v>
      </c>
      <c r="Q38" s="128"/>
      <c r="R38" s="129"/>
      <c r="S38" s="88"/>
      <c r="T38" s="87"/>
      <c r="U38" s="89"/>
      <c r="V38" s="90"/>
      <c r="W38" s="69"/>
      <c r="X38" s="128"/>
      <c r="Y38" s="129"/>
      <c r="Z38" s="88"/>
      <c r="AA38" s="87"/>
      <c r="AB38" s="89"/>
      <c r="AC38" s="90"/>
      <c r="AD38" s="69"/>
      <c r="AE38" s="128"/>
      <c r="AF38" s="129"/>
      <c r="AG38" s="88"/>
      <c r="AH38" s="87"/>
      <c r="AI38" s="89"/>
      <c r="AJ38" s="90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</row>
    <row r="39" spans="1:60" s="101" customFormat="1" x14ac:dyDescent="0.25">
      <c r="A39" s="130"/>
      <c r="B39" s="271" t="str">
        <f>IF(Rates!D296='USL BRT'!$A$37,Rates!B296," ")</f>
        <v>Rate Rider Other Fixed</v>
      </c>
      <c r="C39" s="79"/>
      <c r="D39" s="271" t="str">
        <f>IF(Rates!D296='USL BRT'!$A$37,Rates!E296," ")</f>
        <v>connection</v>
      </c>
      <c r="E39" s="79"/>
      <c r="F39" s="337">
        <f>IF(Rates!$J$1="BRT 2018",Rates!J296," ")</f>
        <v>0</v>
      </c>
      <c r="G39" s="81">
        <f t="shared" ref="G39:G45" si="17">IF(D39="customer",1,IF(D39="kWh",$F$18,IF(D39="kW",$F$17,1)))</f>
        <v>1</v>
      </c>
      <c r="H39" s="92">
        <f t="shared" si="13"/>
        <v>0</v>
      </c>
      <c r="I39" s="87"/>
      <c r="J39" s="337">
        <f>IF(Rates!$L$1="E+ 2019",Rates!L296," ")</f>
        <v>0</v>
      </c>
      <c r="K39" s="97">
        <f t="shared" ref="K39:K45" si="18">IF(D39="customer",1,IF(D39="kWh",$F$18,IF(D39="kW",$F$17,1)))</f>
        <v>1</v>
      </c>
      <c r="L39" s="126">
        <f t="shared" si="15"/>
        <v>0</v>
      </c>
      <c r="M39" s="87"/>
      <c r="N39" s="123">
        <f t="shared" si="1"/>
        <v>0</v>
      </c>
      <c r="O39" s="93" t="str">
        <f t="shared" si="16"/>
        <v/>
      </c>
      <c r="Q39" s="102"/>
      <c r="R39" s="103"/>
      <c r="S39" s="104"/>
      <c r="T39" s="103"/>
      <c r="U39" s="105"/>
      <c r="V39" s="106"/>
      <c r="W39" s="107"/>
      <c r="X39" s="102"/>
      <c r="Y39" s="103"/>
      <c r="Z39" s="104"/>
      <c r="AA39" s="103"/>
      <c r="AB39" s="105"/>
      <c r="AC39" s="106"/>
      <c r="AD39" s="107"/>
      <c r="AE39" s="102"/>
      <c r="AF39" s="103"/>
      <c r="AG39" s="104"/>
      <c r="AH39" s="103"/>
      <c r="AI39" s="105"/>
      <c r="AJ39" s="106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</row>
    <row r="40" spans="1:60" s="101" customFormat="1" x14ac:dyDescent="0.25">
      <c r="A40" s="130"/>
      <c r="B40" s="271" t="str">
        <f>IF(Rates!D297='USL BRT'!$A$37,Rates!B297," ")</f>
        <v>Rate Rider Other Volumetric</v>
      </c>
      <c r="C40" s="79"/>
      <c r="D40" s="271" t="str">
        <f>IF(Rates!D297='USL BRT'!$A$37,Rates!E297," ")</f>
        <v>kWh</v>
      </c>
      <c r="E40" s="79"/>
      <c r="F40" s="337">
        <f>IF(Rates!$J$1="BRT 2018",Rates!J297," ")</f>
        <v>0</v>
      </c>
      <c r="G40" s="81">
        <f t="shared" si="17"/>
        <v>100</v>
      </c>
      <c r="H40" s="92">
        <f t="shared" si="13"/>
        <v>0</v>
      </c>
      <c r="I40" s="87"/>
      <c r="J40" s="337">
        <f>IF(Rates!$L$1="E+ 2019",Rates!L297," ")</f>
        <v>9.8018286493145698E-4</v>
      </c>
      <c r="K40" s="97">
        <f t="shared" si="18"/>
        <v>100</v>
      </c>
      <c r="L40" s="126">
        <f t="shared" si="15"/>
        <v>9.8018286493145701E-2</v>
      </c>
      <c r="M40" s="87"/>
      <c r="N40" s="123">
        <f t="shared" si="1"/>
        <v>9.8018286493145701E-2</v>
      </c>
      <c r="O40" s="93" t="str">
        <f>IF(OR(H40=0,L40=0),"",(N40/H40))</f>
        <v/>
      </c>
      <c r="Q40" s="102"/>
      <c r="R40" s="103"/>
      <c r="S40" s="104"/>
      <c r="T40" s="103"/>
      <c r="U40" s="105"/>
      <c r="V40" s="106"/>
      <c r="W40" s="107"/>
      <c r="X40" s="102"/>
      <c r="Y40" s="103"/>
      <c r="Z40" s="104"/>
      <c r="AA40" s="103"/>
      <c r="AB40" s="105"/>
      <c r="AC40" s="106"/>
      <c r="AD40" s="107"/>
      <c r="AE40" s="102"/>
      <c r="AF40" s="103"/>
      <c r="AG40" s="104"/>
      <c r="AH40" s="103"/>
      <c r="AI40" s="105"/>
      <c r="AJ40" s="106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</row>
    <row r="41" spans="1:60" s="101" customFormat="1" x14ac:dyDescent="0.25">
      <c r="A41" s="130"/>
      <c r="B41" s="271" t="str">
        <f>IF(Rates!D298='USL BRT'!$A$37,Rates!B298," ")</f>
        <v>Rate Rider Other Volumetric</v>
      </c>
      <c r="C41" s="79"/>
      <c r="D41" s="271" t="str">
        <f>IF(Rates!D298='USL BRT'!$A$37,Rates!E298," ")</f>
        <v>kWh</v>
      </c>
      <c r="E41" s="79"/>
      <c r="F41" s="337">
        <f>IF(Rates!$J$1="BRT 2018",Rates!J298," ")</f>
        <v>0</v>
      </c>
      <c r="G41" s="81">
        <f t="shared" si="17"/>
        <v>100</v>
      </c>
      <c r="H41" s="92">
        <f t="shared" si="13"/>
        <v>0</v>
      </c>
      <c r="I41" s="87"/>
      <c r="J41" s="337">
        <f>IF(Rates!$L$1="E+ 2019",Rates!L298," ")</f>
        <v>0</v>
      </c>
      <c r="K41" s="97">
        <f t="shared" si="18"/>
        <v>100</v>
      </c>
      <c r="L41" s="126">
        <f t="shared" si="15"/>
        <v>0</v>
      </c>
      <c r="M41" s="87"/>
      <c r="N41" s="123">
        <f t="shared" si="1"/>
        <v>0</v>
      </c>
      <c r="O41" s="93" t="str">
        <f t="shared" si="16"/>
        <v/>
      </c>
      <c r="Q41" s="102"/>
      <c r="R41" s="103"/>
      <c r="S41" s="104"/>
      <c r="T41" s="103"/>
      <c r="U41" s="105"/>
      <c r="V41" s="106"/>
      <c r="W41" s="107"/>
      <c r="X41" s="102"/>
      <c r="Y41" s="103"/>
      <c r="Z41" s="104"/>
      <c r="AA41" s="103"/>
      <c r="AB41" s="105"/>
      <c r="AC41" s="106"/>
      <c r="AD41" s="107"/>
      <c r="AE41" s="102"/>
      <c r="AF41" s="103"/>
      <c r="AG41" s="104"/>
      <c r="AH41" s="103"/>
      <c r="AI41" s="105"/>
      <c r="AJ41" s="106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</row>
    <row r="42" spans="1:60" s="101" customFormat="1" x14ac:dyDescent="0.25">
      <c r="A42" s="130"/>
      <c r="B42" s="271" t="str">
        <f>IF(Rates!D299='USL BRT'!$A$37,Rates!B299," ")</f>
        <v xml:space="preserve">Rate Rider for Disposition of Deferral/Variance Accounts </v>
      </c>
      <c r="C42" s="79"/>
      <c r="D42" s="271" t="str">
        <f>IF(Rates!D299='USL BRT'!$A$37,Rates!E299," ")</f>
        <v>kWh</v>
      </c>
      <c r="E42" s="79"/>
      <c r="F42" s="337">
        <f>IF(Rates!$J$1="BRT 2018",Rates!J299," ")</f>
        <v>-6.340831193566771E-3</v>
      </c>
      <c r="G42" s="81">
        <f t="shared" si="17"/>
        <v>100</v>
      </c>
      <c r="H42" s="92">
        <f t="shared" si="13"/>
        <v>-0.63408311935667705</v>
      </c>
      <c r="I42" s="87"/>
      <c r="J42" s="337">
        <f>IF(Rates!$L$1="E+ 2019",Rates!L299," ")</f>
        <v>-1.6676763934089817E-3</v>
      </c>
      <c r="K42" s="97">
        <f t="shared" si="18"/>
        <v>100</v>
      </c>
      <c r="L42" s="92">
        <f t="shared" si="15"/>
        <v>-0.16676763934089817</v>
      </c>
      <c r="M42" s="87"/>
      <c r="N42" s="123">
        <f t="shared" si="1"/>
        <v>0.46731548001577888</v>
      </c>
      <c r="O42" s="93">
        <f t="shared" si="16"/>
        <v>-0.73699404029223181</v>
      </c>
      <c r="Q42" s="102"/>
      <c r="R42" s="103"/>
      <c r="S42" s="104"/>
      <c r="T42" s="103"/>
      <c r="U42" s="105"/>
      <c r="V42" s="106"/>
      <c r="W42" s="107"/>
      <c r="X42" s="102"/>
      <c r="Y42" s="103"/>
      <c r="Z42" s="104"/>
      <c r="AA42" s="103"/>
      <c r="AB42" s="105"/>
      <c r="AC42" s="106"/>
      <c r="AD42" s="107"/>
      <c r="AE42" s="102"/>
      <c r="AF42" s="103"/>
      <c r="AG42" s="104"/>
      <c r="AH42" s="103"/>
      <c r="AI42" s="105"/>
      <c r="AJ42" s="106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</row>
    <row r="43" spans="1:60" s="101" customFormat="1" x14ac:dyDescent="0.25">
      <c r="A43" s="130"/>
      <c r="B43" s="271" t="str">
        <f>IF(Rates!D300='USL BRT'!$A$37,Rates!B300," ")</f>
        <v>Rate Rider for Disposition of Deferral/Variance Accounts Non-WMP Customers</v>
      </c>
      <c r="C43" s="79"/>
      <c r="D43" s="271" t="str">
        <f>IF(Rates!D300='USL BRT'!$A$37,Rates!E300," ")</f>
        <v>kWh</v>
      </c>
      <c r="E43" s="79"/>
      <c r="F43" s="337">
        <f>IF(Rates!$J$1="BRT 2018",Rates!J300," ")</f>
        <v>0</v>
      </c>
      <c r="G43" s="81">
        <f t="shared" si="17"/>
        <v>100</v>
      </c>
      <c r="H43" s="92"/>
      <c r="I43" s="87"/>
      <c r="J43" s="337">
        <f>IF(Rates!$L$1="E+ 2019",Rates!L300," ")</f>
        <v>0</v>
      </c>
      <c r="K43" s="97">
        <f t="shared" si="18"/>
        <v>100</v>
      </c>
      <c r="L43" s="92">
        <f t="shared" si="15"/>
        <v>0</v>
      </c>
      <c r="M43" s="87"/>
      <c r="N43" s="123">
        <f t="shared" si="1"/>
        <v>0</v>
      </c>
      <c r="O43" s="93" t="str">
        <f t="shared" si="16"/>
        <v/>
      </c>
      <c r="Q43" s="102"/>
      <c r="R43" s="103"/>
      <c r="S43" s="104"/>
      <c r="T43" s="103"/>
      <c r="U43" s="105"/>
      <c r="V43" s="106"/>
      <c r="W43" s="107"/>
      <c r="X43" s="102"/>
      <c r="Y43" s="103"/>
      <c r="Z43" s="104"/>
      <c r="AA43" s="103"/>
      <c r="AB43" s="105"/>
      <c r="AC43" s="106"/>
      <c r="AD43" s="107"/>
      <c r="AE43" s="102"/>
      <c r="AF43" s="103"/>
      <c r="AG43" s="104"/>
      <c r="AH43" s="103"/>
      <c r="AI43" s="105"/>
      <c r="AJ43" s="106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</row>
    <row r="44" spans="1:60" x14ac:dyDescent="0.25">
      <c r="A44" s="1"/>
      <c r="B44" s="271" t="str">
        <f>IF(Rates!D301='USL BRT'!$A$37,Rates!B301," ")</f>
        <v>Rate Rider for Disposition of GA DV</v>
      </c>
      <c r="C44" s="79"/>
      <c r="D44" s="271" t="str">
        <f>IF(Rates!D301='USL BRT'!$A$37,Rates!E301," ")</f>
        <v>kWh</v>
      </c>
      <c r="E44" s="79"/>
      <c r="F44" s="337">
        <f>IF(Rates!$J$1="BRT 2018",Rates!J301," ")</f>
        <v>1.4200000000000001E-2</v>
      </c>
      <c r="G44" s="81">
        <f t="shared" si="17"/>
        <v>100</v>
      </c>
      <c r="H44" s="126">
        <f>G44*F44</f>
        <v>1.4200000000000002</v>
      </c>
      <c r="I44" s="87"/>
      <c r="J44" s="337">
        <f>IF(Rates!$L$1="E+ 2019",Rates!L301," ")</f>
        <v>3.8449181889326276E-4</v>
      </c>
      <c r="K44" s="97">
        <f t="shared" si="18"/>
        <v>100</v>
      </c>
      <c r="L44" s="126">
        <f t="shared" si="15"/>
        <v>3.8449181889326278E-2</v>
      </c>
      <c r="M44" s="87"/>
      <c r="N44" s="123">
        <f t="shared" si="1"/>
        <v>-1.3815508181106739</v>
      </c>
      <c r="O44" s="93">
        <f t="shared" si="16"/>
        <v>-0.97292311134554488</v>
      </c>
      <c r="Q44" s="131"/>
      <c r="R44" s="87"/>
      <c r="S44" s="88"/>
      <c r="T44" s="87"/>
      <c r="U44" s="89"/>
      <c r="V44" s="90"/>
      <c r="W44" s="69"/>
      <c r="X44" s="131"/>
      <c r="Y44" s="87"/>
      <c r="Z44" s="88"/>
      <c r="AA44" s="87"/>
      <c r="AB44" s="89"/>
      <c r="AC44" s="90"/>
      <c r="AD44" s="69"/>
      <c r="AE44" s="131"/>
      <c r="AF44" s="87"/>
      <c r="AG44" s="88"/>
      <c r="AH44" s="87"/>
      <c r="AI44" s="89"/>
      <c r="AJ44" s="90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</row>
    <row r="45" spans="1:60" x14ac:dyDescent="0.25">
      <c r="A45" s="1"/>
      <c r="B45" s="271" t="str">
        <f>IF(Rates!D302='USL BRT'!$A$37,Rates!B302," ")</f>
        <v>Rate Rider for Disposition of Capacity Based Recovery Account (2018) - Applicable only for Class B Customers</v>
      </c>
      <c r="C45" s="79"/>
      <c r="D45" s="271" t="str">
        <f>IF(Rates!D302='USL BRT'!$A$37,Rates!E302," ")</f>
        <v>kWh</v>
      </c>
      <c r="E45" s="79"/>
      <c r="F45" s="337">
        <f>IF(Rates!$J$1="BRT 2018",Rates!J302," ")</f>
        <v>0</v>
      </c>
      <c r="G45" s="81">
        <f t="shared" si="17"/>
        <v>100</v>
      </c>
      <c r="H45" s="126">
        <f>G45*F45</f>
        <v>0</v>
      </c>
      <c r="I45" s="87"/>
      <c r="J45" s="337">
        <f>IF(Rates!$L$1="E+ 2019",Rates!L302," ")</f>
        <v>4.9568533837617714E-6</v>
      </c>
      <c r="K45" s="97">
        <f t="shared" si="18"/>
        <v>100</v>
      </c>
      <c r="L45" s="126">
        <f t="shared" ref="L45" si="19">K45*J45</f>
        <v>4.9568533837617717E-4</v>
      </c>
      <c r="M45" s="87"/>
      <c r="N45" s="123">
        <f t="shared" ref="N45" si="20">L45-H45</f>
        <v>4.9568533837617717E-4</v>
      </c>
      <c r="O45" s="93" t="str">
        <f t="shared" ref="O45" si="21">IF(OR(H45=0,L45=0),"",(N45/H45))</f>
        <v/>
      </c>
      <c r="Q45" s="131"/>
      <c r="R45" s="87"/>
      <c r="S45" s="88"/>
      <c r="T45" s="87"/>
      <c r="U45" s="89"/>
      <c r="V45" s="90"/>
      <c r="W45" s="69"/>
      <c r="X45" s="131"/>
      <c r="Y45" s="87"/>
      <c r="Z45" s="88"/>
      <c r="AA45" s="87"/>
      <c r="AB45" s="89"/>
      <c r="AC45" s="90"/>
      <c r="AD45" s="69"/>
      <c r="AE45" s="131"/>
      <c r="AF45" s="87"/>
      <c r="AG45" s="88"/>
      <c r="AH45" s="87"/>
      <c r="AI45" s="89"/>
      <c r="AJ45" s="90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</row>
    <row r="46" spans="1:60" hidden="1" x14ac:dyDescent="0.25">
      <c r="A46" s="1"/>
      <c r="B46" s="271"/>
      <c r="C46" s="79"/>
      <c r="D46" s="271"/>
      <c r="E46" s="79"/>
      <c r="F46" s="337"/>
      <c r="G46" s="81"/>
      <c r="H46" s="126"/>
      <c r="I46" s="87"/>
      <c r="J46" s="337"/>
      <c r="K46" s="97"/>
      <c r="L46" s="126"/>
      <c r="M46" s="87"/>
      <c r="N46" s="123"/>
      <c r="O46" s="93"/>
      <c r="Q46" s="131"/>
      <c r="R46" s="87"/>
      <c r="S46" s="88"/>
      <c r="T46" s="87"/>
      <c r="U46" s="89"/>
      <c r="V46" s="90"/>
      <c r="W46" s="69"/>
      <c r="X46" s="131"/>
      <c r="Y46" s="87"/>
      <c r="Z46" s="88"/>
      <c r="AA46" s="87"/>
      <c r="AB46" s="89"/>
      <c r="AC46" s="90"/>
      <c r="AD46" s="69"/>
      <c r="AE46" s="131"/>
      <c r="AF46" s="87"/>
      <c r="AG46" s="88"/>
      <c r="AH46" s="87"/>
      <c r="AI46" s="89"/>
      <c r="AJ46" s="90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</row>
    <row r="47" spans="1:60" x14ac:dyDescent="0.25">
      <c r="A47" s="1"/>
      <c r="B47" s="132" t="s">
        <v>80</v>
      </c>
      <c r="C47" s="133"/>
      <c r="D47" s="133"/>
      <c r="E47" s="133"/>
      <c r="F47" s="134"/>
      <c r="G47" s="135"/>
      <c r="H47" s="136">
        <f>SUM(H37:H46)+H36-H44</f>
        <v>4.3826088806433248</v>
      </c>
      <c r="I47" s="87"/>
      <c r="J47" s="135"/>
      <c r="K47" s="137"/>
      <c r="L47" s="136">
        <f>SUM(L37:L46)+L36-L44</f>
        <v>7.2791770338011776</v>
      </c>
      <c r="M47" s="87"/>
      <c r="N47" s="117">
        <f>L47-H47</f>
        <v>2.8965681531578529</v>
      </c>
      <c r="O47" s="138">
        <f>IF(OR(H47=0,L47=0),"",(N47/H47))</f>
        <v>0.66092326101722876</v>
      </c>
      <c r="Q47" s="87"/>
      <c r="R47" s="87"/>
      <c r="S47" s="121"/>
      <c r="T47" s="87"/>
      <c r="U47" s="121"/>
      <c r="V47" s="139"/>
      <c r="W47" s="69"/>
      <c r="X47" s="87"/>
      <c r="Y47" s="87"/>
      <c r="Z47" s="121"/>
      <c r="AA47" s="87"/>
      <c r="AB47" s="121"/>
      <c r="AC47" s="139"/>
      <c r="AD47" s="69"/>
      <c r="AE47" s="87"/>
      <c r="AF47" s="87"/>
      <c r="AG47" s="121"/>
      <c r="AH47" s="87"/>
      <c r="AI47" s="121"/>
      <c r="AJ47" s="13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</row>
    <row r="48" spans="1:60" x14ac:dyDescent="0.25">
      <c r="A48" s="38" t="s">
        <v>16</v>
      </c>
      <c r="B48" s="271" t="str">
        <f>IF(Rates!D303='USL BRT'!$A$48,Rates!B303," ")</f>
        <v>Retail Transmission Rate – Network Service Rate</v>
      </c>
      <c r="C48" s="79"/>
      <c r="D48" s="271" t="str">
        <f>IF(Rates!D303='USL BRT'!$A$48,Rates!E303," ")</f>
        <v>kWh</v>
      </c>
      <c r="E48" s="91"/>
      <c r="F48" s="235">
        <f>IF(Rates!$J$1="BRT 2018",Rates!J303," ")</f>
        <v>5.5999999999999999E-3</v>
      </c>
      <c r="G48" s="140">
        <f>$F18*(1+$F69)</f>
        <v>104.95000000000002</v>
      </c>
      <c r="H48" s="82">
        <f>G48*F48</f>
        <v>0.58772000000000013</v>
      </c>
      <c r="I48" s="87"/>
      <c r="J48" s="235">
        <f>IF(Rates!$L$1="E+ 2019",Rates!L303," ")</f>
        <v>4.9679962660321014E-3</v>
      </c>
      <c r="K48" s="140">
        <f>$F18*(1+$J$69)</f>
        <v>103.0684649944027</v>
      </c>
      <c r="L48" s="82">
        <f>K48*J48</f>
        <v>0.51204374923785301</v>
      </c>
      <c r="M48" s="87"/>
      <c r="N48" s="84">
        <f t="shared" si="1"/>
        <v>-7.5676250762147124E-2</v>
      </c>
      <c r="O48" s="85">
        <f>IF(OR(H48=0,L48=0),"",(N48/H48))</f>
        <v>-0.12876242217747755</v>
      </c>
      <c r="Q48" s="98"/>
      <c r="R48" s="141"/>
      <c r="S48" s="294">
        <f>F48*K48</f>
        <v>0.57718340396865508</v>
      </c>
      <c r="T48" s="87"/>
      <c r="U48" s="89"/>
      <c r="V48" s="90"/>
      <c r="W48" s="69"/>
      <c r="X48" s="98"/>
      <c r="Y48" s="141"/>
      <c r="Z48" s="88"/>
      <c r="AA48" s="87"/>
      <c r="AB48" s="89"/>
      <c r="AC48" s="90"/>
      <c r="AD48" s="69"/>
      <c r="AE48" s="98"/>
      <c r="AF48" s="141"/>
      <c r="AG48" s="88"/>
      <c r="AH48" s="87"/>
      <c r="AI48" s="89"/>
      <c r="AJ48" s="90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</row>
    <row r="49" spans="1:60" x14ac:dyDescent="0.25">
      <c r="A49" s="1"/>
      <c r="B49" s="271" t="str">
        <f>IF(Rates!D304='USL BRT'!$A$48,Rates!B304," ")</f>
        <v>Retail Transmission Rate – Line and Transformation Connection Service Rate</v>
      </c>
      <c r="C49" s="79"/>
      <c r="D49" s="271" t="str">
        <f>IF(Rates!D304='USL BRT'!$A$48,Rates!E304," ")</f>
        <v>kWh</v>
      </c>
      <c r="E49" s="91"/>
      <c r="F49" s="235">
        <f>IF(Rates!$J$1="BRT 2018",Rates!J304," ")</f>
        <v>2.8E-3</v>
      </c>
      <c r="G49" s="140">
        <f>$G48</f>
        <v>104.95000000000002</v>
      </c>
      <c r="H49" s="82">
        <f>G49*F49</f>
        <v>0.29386000000000007</v>
      </c>
      <c r="I49" s="87"/>
      <c r="J49" s="235">
        <f>IF(Rates!$L$1="E+ 2019",Rates!L304," ")</f>
        <v>3.8893129791551149E-3</v>
      </c>
      <c r="K49" s="140">
        <f>$F$18*(1+$J$69)</f>
        <v>103.0684649944027</v>
      </c>
      <c r="L49" s="82">
        <f>K49*J49</f>
        <v>0.40086551864432507</v>
      </c>
      <c r="M49" s="87"/>
      <c r="N49" s="84">
        <f t="shared" si="1"/>
        <v>0.107005518644325</v>
      </c>
      <c r="O49" s="85">
        <f>IF(OR(H49=0,L49=0),"",(N49/H49))</f>
        <v>0.36413774805800375</v>
      </c>
      <c r="Q49" s="98"/>
      <c r="R49" s="141"/>
      <c r="S49" s="295">
        <f>F49*K49</f>
        <v>0.28859170198432754</v>
      </c>
      <c r="T49" s="87"/>
      <c r="U49" s="89"/>
      <c r="V49" s="90"/>
      <c r="W49" s="69"/>
      <c r="X49" s="98"/>
      <c r="Y49" s="141"/>
      <c r="Z49" s="88"/>
      <c r="AA49" s="87"/>
      <c r="AB49" s="89"/>
      <c r="AC49" s="90"/>
      <c r="AD49" s="69"/>
      <c r="AE49" s="98"/>
      <c r="AF49" s="141"/>
      <c r="AG49" s="88"/>
      <c r="AH49" s="87"/>
      <c r="AI49" s="89"/>
      <c r="AJ49" s="90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</row>
    <row r="50" spans="1:60" x14ac:dyDescent="0.25">
      <c r="A50" s="1"/>
      <c r="B50" s="132" t="s">
        <v>81</v>
      </c>
      <c r="C50" s="110"/>
      <c r="D50" s="110"/>
      <c r="E50" s="110"/>
      <c r="F50" s="142"/>
      <c r="G50" s="135"/>
      <c r="H50" s="136">
        <f>SUM(H47:H49)</f>
        <v>5.2641888806433252</v>
      </c>
      <c r="I50" s="146"/>
      <c r="J50" s="142"/>
      <c r="K50" s="145"/>
      <c r="L50" s="136">
        <f>SUM(L47:L49)</f>
        <v>8.1920863016833554</v>
      </c>
      <c r="M50" s="146"/>
      <c r="N50" s="117">
        <f>L50-H50</f>
        <v>2.9278974210400301</v>
      </c>
      <c r="O50" s="138">
        <f>IF(OR(H50=0,L50=0),"",(N50/H50))</f>
        <v>0.55619155912244134</v>
      </c>
      <c r="Q50" s="146"/>
      <c r="R50" s="146"/>
      <c r="S50" s="296">
        <f>S48+S49</f>
        <v>0.86577510595298257</v>
      </c>
      <c r="T50" s="146"/>
      <c r="U50" s="121"/>
      <c r="V50" s="139"/>
      <c r="W50" s="69"/>
      <c r="X50" s="146"/>
      <c r="Y50" s="146"/>
      <c r="Z50" s="121"/>
      <c r="AA50" s="146"/>
      <c r="AB50" s="121"/>
      <c r="AC50" s="139"/>
      <c r="AD50" s="69"/>
      <c r="AE50" s="146"/>
      <c r="AF50" s="146"/>
      <c r="AG50" s="121"/>
      <c r="AH50" s="146"/>
      <c r="AI50" s="121"/>
      <c r="AJ50" s="13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</row>
    <row r="51" spans="1:60" x14ac:dyDescent="0.25">
      <c r="A51" s="4" t="s">
        <v>17</v>
      </c>
      <c r="B51" s="271" t="str">
        <f>IF(Rates!D8='USL BRT'!$A$51,Rates!B8," ")</f>
        <v>Standard Supply Service – Administrative Charge (if applicable)</v>
      </c>
      <c r="C51" s="79"/>
      <c r="D51" s="271" t="str">
        <f>IF(Rates!D8='USL BRT'!$A$51,Rates!E8," ")</f>
        <v>customer</v>
      </c>
      <c r="E51" s="79"/>
      <c r="F51" s="235">
        <f>IF(Rates!$J$1="BRT 2018",Rates!J8," ")</f>
        <v>0.25</v>
      </c>
      <c r="G51" s="108">
        <v>1</v>
      </c>
      <c r="H51" s="148">
        <f t="shared" ref="H51:H60" si="22">G51*F51</f>
        <v>0.25</v>
      </c>
      <c r="I51" s="87"/>
      <c r="J51" s="80">
        <f>IF(Rates!$L$1="E+ 2019",Rates!L8," ")</f>
        <v>0.25</v>
      </c>
      <c r="K51" s="97">
        <f t="shared" ref="K51" si="23">IF(D51="customer",1,IF(D51="kWh",$F$18,IF(D51="kW",$F$17,1)))</f>
        <v>1</v>
      </c>
      <c r="L51" s="148">
        <f t="shared" ref="L51:L60" si="24">K51*J51</f>
        <v>0.25</v>
      </c>
      <c r="M51" s="87"/>
      <c r="N51" s="149">
        <f t="shared" si="1"/>
        <v>0</v>
      </c>
      <c r="O51" s="85">
        <f>IF(OR(H51=0,L51=0),"",(N51/H51))</f>
        <v>0</v>
      </c>
      <c r="Q51" s="150"/>
      <c r="R51" s="141"/>
      <c r="S51" s="151"/>
      <c r="T51" s="87"/>
      <c r="U51" s="89"/>
      <c r="V51" s="90"/>
      <c r="W51" s="69"/>
      <c r="X51" s="150"/>
      <c r="Y51" s="141"/>
      <c r="Z51" s="151"/>
      <c r="AA51" s="87"/>
      <c r="AB51" s="89"/>
      <c r="AC51" s="90"/>
      <c r="AD51" s="69"/>
      <c r="AE51" s="150"/>
      <c r="AF51" s="141"/>
      <c r="AG51" s="151"/>
      <c r="AH51" s="87"/>
      <c r="AI51" s="89"/>
      <c r="AJ51" s="90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</row>
    <row r="52" spans="1:60" x14ac:dyDescent="0.25">
      <c r="A52" s="1"/>
      <c r="B52" s="271" t="str">
        <f>IF(Rates!D9='USL BRT'!$A$51,Rates!B9," ")</f>
        <v xml:space="preserve">Wholesale Market Service Rate </v>
      </c>
      <c r="C52" s="79"/>
      <c r="D52" s="271" t="str">
        <f>IF(Rates!D9='USL BRT'!$A$51,Rates!E9," ")</f>
        <v>kWh</v>
      </c>
      <c r="E52" s="79"/>
      <c r="F52" s="235">
        <f>IF(Rates!$J$1="BRT 2018",Rates!J9," ")</f>
        <v>3.2000000000000002E-3</v>
      </c>
      <c r="G52" s="140">
        <f>$F18*(1+$F69)</f>
        <v>104.95000000000002</v>
      </c>
      <c r="H52" s="148">
        <f t="shared" si="22"/>
        <v>0.33584000000000008</v>
      </c>
      <c r="I52" s="87"/>
      <c r="J52" s="235">
        <f>IF(Rates!$L$1="E+ 2019",Rates!L9," ")</f>
        <v>3.2000000000000002E-3</v>
      </c>
      <c r="K52" s="140">
        <f t="shared" ref="K52:K54" si="25">$F$18*(1+$J$69)</f>
        <v>103.0684649944027</v>
      </c>
      <c r="L52" s="148">
        <f t="shared" si="24"/>
        <v>0.32981908798208864</v>
      </c>
      <c r="M52" s="87"/>
      <c r="N52" s="84">
        <f t="shared" si="1"/>
        <v>-6.0209120179114395E-3</v>
      </c>
      <c r="O52" s="85">
        <f t="shared" ref="O52:O66" si="26">IF(OR(H52=0,L52=0),"",(N52/H52))</f>
        <v>-1.7927918109550495E-2</v>
      </c>
      <c r="Q52" s="150"/>
      <c r="R52" s="141"/>
      <c r="S52" s="151"/>
      <c r="T52" s="87"/>
      <c r="U52" s="89"/>
      <c r="V52" s="90"/>
      <c r="W52" s="69"/>
      <c r="X52" s="150"/>
      <c r="Y52" s="141"/>
      <c r="Z52" s="151"/>
      <c r="AA52" s="87"/>
      <c r="AB52" s="89"/>
      <c r="AC52" s="90"/>
      <c r="AD52" s="69"/>
      <c r="AE52" s="150"/>
      <c r="AF52" s="141"/>
      <c r="AG52" s="151"/>
      <c r="AH52" s="87"/>
      <c r="AI52" s="89"/>
      <c r="AJ52" s="90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</row>
    <row r="53" spans="1:60" x14ac:dyDescent="0.25">
      <c r="A53" s="1"/>
      <c r="B53" s="271" t="str">
        <f>IF(Rates!D10='USL BRT'!$A$51,Rates!B10," ")</f>
        <v>Capacity Based Rcovery(CBR) - Class B Customers</v>
      </c>
      <c r="C53" s="79"/>
      <c r="D53" s="271" t="str">
        <f>IF(Rates!D10='USL BRT'!$A$51,Rates!E10," ")</f>
        <v>kWh</v>
      </c>
      <c r="E53" s="79"/>
      <c r="F53" s="235">
        <f>IF(Rates!$J$1="BRT 2018",Rates!J10," ")</f>
        <v>4.0000000000000002E-4</v>
      </c>
      <c r="G53" s="140">
        <f>$F18*(1+$F69)</f>
        <v>104.95000000000002</v>
      </c>
      <c r="H53" s="148">
        <f t="shared" si="22"/>
        <v>4.198000000000001E-2</v>
      </c>
      <c r="I53" s="87"/>
      <c r="J53" s="235">
        <f>IF(Rates!$L$1="E+ 2019",Rates!L10," ")</f>
        <v>4.0000000000000002E-4</v>
      </c>
      <c r="K53" s="140">
        <f t="shared" si="25"/>
        <v>103.0684649944027</v>
      </c>
      <c r="L53" s="148">
        <f t="shared" si="24"/>
        <v>4.122738599776108E-2</v>
      </c>
      <c r="M53" s="87"/>
      <c r="N53" s="84">
        <f t="shared" si="1"/>
        <v>-7.5261400223892994E-4</v>
      </c>
      <c r="O53" s="85">
        <f t="shared" si="26"/>
        <v>-1.7927918109550495E-2</v>
      </c>
      <c r="Q53" s="150"/>
      <c r="R53" s="141"/>
      <c r="S53" s="151"/>
      <c r="T53" s="87"/>
      <c r="U53" s="89"/>
      <c r="V53" s="90"/>
      <c r="W53" s="69"/>
      <c r="X53" s="150"/>
      <c r="Y53" s="141"/>
      <c r="Z53" s="151"/>
      <c r="AA53" s="87"/>
      <c r="AB53" s="89"/>
      <c r="AC53" s="90"/>
      <c r="AD53" s="69"/>
      <c r="AE53" s="150"/>
      <c r="AF53" s="141"/>
      <c r="AG53" s="151"/>
      <c r="AH53" s="87"/>
      <c r="AI53" s="89"/>
      <c r="AJ53" s="90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</row>
    <row r="54" spans="1:60" x14ac:dyDescent="0.25">
      <c r="A54" s="1"/>
      <c r="B54" s="271" t="str">
        <f>IF(Rates!D11='USL BRT'!$A$51,Rates!B11," ")</f>
        <v xml:space="preserve">Rural Rate Protection Charge </v>
      </c>
      <c r="C54" s="79"/>
      <c r="D54" s="271" t="str">
        <f>IF(Rates!D11='USL BRT'!$A$51,Rates!E11," ")</f>
        <v>kWh</v>
      </c>
      <c r="E54" s="79"/>
      <c r="F54" s="235">
        <f>IF(Rates!$J$1="BRT 2018",Rates!J11," ")</f>
        <v>2.9999999999999997E-4</v>
      </c>
      <c r="G54" s="140">
        <f>$F18*(1+$F69)</f>
        <v>104.95000000000002</v>
      </c>
      <c r="H54" s="148">
        <f t="shared" si="22"/>
        <v>3.1484999999999999E-2</v>
      </c>
      <c r="I54" s="87"/>
      <c r="J54" s="235">
        <f>IF(Rates!$L$1="E+ 2019",Rates!L11," ")</f>
        <v>2.9999999999999997E-4</v>
      </c>
      <c r="K54" s="140">
        <f t="shared" si="25"/>
        <v>103.0684649944027</v>
      </c>
      <c r="L54" s="148">
        <f t="shared" si="24"/>
        <v>3.0920539498320809E-2</v>
      </c>
      <c r="M54" s="87"/>
      <c r="N54" s="84">
        <f t="shared" si="1"/>
        <v>-5.6446050167919051E-4</v>
      </c>
      <c r="O54" s="85">
        <f t="shared" si="26"/>
        <v>-1.792791810955028E-2</v>
      </c>
      <c r="Q54" s="153"/>
      <c r="R54" s="87"/>
      <c r="S54" s="151"/>
      <c r="T54" s="87"/>
      <c r="U54" s="89"/>
      <c r="V54" s="90"/>
      <c r="W54" s="69"/>
      <c r="X54" s="153"/>
      <c r="Y54" s="87"/>
      <c r="Z54" s="151"/>
      <c r="AA54" s="87"/>
      <c r="AB54" s="89"/>
      <c r="AC54" s="90"/>
      <c r="AD54" s="69"/>
      <c r="AE54" s="153"/>
      <c r="AF54" s="87"/>
      <c r="AG54" s="151"/>
      <c r="AH54" s="87"/>
      <c r="AI54" s="89"/>
      <c r="AJ54" s="90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</row>
    <row r="55" spans="1:60" x14ac:dyDescent="0.25">
      <c r="A55" s="1"/>
      <c r="B55" s="271" t="str">
        <f>IF(Rates!D12=$A$51,Rates!B12," ")</f>
        <v>Debt Retirement Charge</v>
      </c>
      <c r="C55" s="78"/>
      <c r="D55" s="271" t="str">
        <f>IF(Rates!D12=$A$51,Rates!E12," ")</f>
        <v>kWh</v>
      </c>
      <c r="E55" s="79"/>
      <c r="F55" s="235">
        <f>IF(Rates!$J$1="BRT 2018",Rates!J12," ")</f>
        <v>7.0000000000000001E-3</v>
      </c>
      <c r="G55" s="140">
        <f>F18</f>
        <v>100</v>
      </c>
      <c r="H55" s="148">
        <f t="shared" si="22"/>
        <v>0.70000000000000007</v>
      </c>
      <c r="I55" s="87"/>
      <c r="J55" s="235">
        <f>IF(Rates!$L$1="E+ 2019",Rates!L12," ")</f>
        <v>7.0000000000000001E-3</v>
      </c>
      <c r="K55" s="140">
        <f>F18</f>
        <v>100</v>
      </c>
      <c r="L55" s="148">
        <f t="shared" si="24"/>
        <v>0.70000000000000007</v>
      </c>
      <c r="M55" s="87"/>
      <c r="N55" s="84">
        <f t="shared" si="1"/>
        <v>0</v>
      </c>
      <c r="O55" s="85">
        <f t="shared" si="26"/>
        <v>0</v>
      </c>
      <c r="Q55" s="153"/>
      <c r="R55" s="87"/>
      <c r="S55" s="151"/>
      <c r="T55" s="87"/>
      <c r="U55" s="89"/>
      <c r="V55" s="90"/>
      <c r="W55" s="69"/>
      <c r="X55" s="153"/>
      <c r="Y55" s="87"/>
      <c r="Z55" s="151"/>
      <c r="AA55" s="87"/>
      <c r="AB55" s="89"/>
      <c r="AC55" s="90"/>
      <c r="AD55" s="69"/>
      <c r="AE55" s="153"/>
      <c r="AF55" s="87"/>
      <c r="AG55" s="151"/>
      <c r="AH55" s="87"/>
      <c r="AI55" s="89"/>
      <c r="AJ55" s="90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</row>
    <row r="56" spans="1:60" x14ac:dyDescent="0.25">
      <c r="A56" s="6" t="s">
        <v>14</v>
      </c>
      <c r="B56" s="271" t="str">
        <f>IF(Rates!D2='USL BRT'!$A$56,Rates!B2," ")</f>
        <v>TOU - Off Peak</v>
      </c>
      <c r="C56" s="79"/>
      <c r="D56" s="271" t="str">
        <f>IF(Rates!D2='USL BRT'!$A$56,Rates!E2," ")</f>
        <v>kWh</v>
      </c>
      <c r="E56" s="79"/>
      <c r="F56" s="235">
        <f>IF(Rates!$J$1="BRT 2018",Rates!J2," ")</f>
        <v>6.5000000000000002E-2</v>
      </c>
      <c r="G56" s="154">
        <f>IF($D$16="TOU",0.65*$F$18,0)</f>
        <v>65</v>
      </c>
      <c r="H56" s="148">
        <f t="shared" si="22"/>
        <v>4.2250000000000005</v>
      </c>
      <c r="I56" s="87"/>
      <c r="J56" s="235">
        <f>IF(Rates!$L$1="E+ 2019",Rates!L2," ")</f>
        <v>6.5000000000000002E-2</v>
      </c>
      <c r="K56" s="154">
        <f>$G56</f>
        <v>65</v>
      </c>
      <c r="L56" s="155">
        <f t="shared" si="24"/>
        <v>4.2250000000000005</v>
      </c>
      <c r="M56" s="87"/>
      <c r="N56" s="84">
        <f t="shared" si="1"/>
        <v>0</v>
      </c>
      <c r="O56" s="156">
        <f t="shared" si="26"/>
        <v>0</v>
      </c>
      <c r="Q56" s="157"/>
      <c r="R56" s="158"/>
      <c r="S56" s="151"/>
      <c r="T56" s="87"/>
      <c r="U56" s="89"/>
      <c r="V56" s="90"/>
      <c r="W56" s="69"/>
      <c r="X56" s="157"/>
      <c r="Y56" s="158"/>
      <c r="Z56" s="151"/>
      <c r="AA56" s="87"/>
      <c r="AB56" s="89"/>
      <c r="AC56" s="90"/>
      <c r="AD56" s="69"/>
      <c r="AE56" s="157"/>
      <c r="AF56" s="158"/>
      <c r="AG56" s="151"/>
      <c r="AH56" s="87"/>
      <c r="AI56" s="89"/>
      <c r="AJ56" s="90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</row>
    <row r="57" spans="1:60" x14ac:dyDescent="0.25">
      <c r="A57" s="1"/>
      <c r="B57" s="271" t="str">
        <f>IF(Rates!D3='USL BRT'!$A$56,Rates!B3," ")</f>
        <v>TOU - Mid Peak</v>
      </c>
      <c r="C57" s="79"/>
      <c r="D57" s="271" t="str">
        <f>IF(Rates!D3='USL BRT'!$A$56,Rates!E3," ")</f>
        <v>kWh</v>
      </c>
      <c r="E57" s="79"/>
      <c r="F57" s="235">
        <f>IF(Rates!$J$1="BRT 2018",Rates!J3," ")</f>
        <v>9.5000000000000001E-2</v>
      </c>
      <c r="G57" s="154">
        <f>IF($D$16="TOU",0.17*$F$18,0)</f>
        <v>17</v>
      </c>
      <c r="H57" s="155">
        <f t="shared" si="22"/>
        <v>1.615</v>
      </c>
      <c r="I57" s="87"/>
      <c r="J57" s="235">
        <f>IF(Rates!$L$1="E+ 2019",Rates!L3," ")</f>
        <v>9.5000000000000001E-2</v>
      </c>
      <c r="K57" s="154">
        <f>$G57</f>
        <v>17</v>
      </c>
      <c r="L57" s="155">
        <f t="shared" si="24"/>
        <v>1.615</v>
      </c>
      <c r="M57" s="87"/>
      <c r="N57" s="84">
        <f t="shared" si="1"/>
        <v>0</v>
      </c>
      <c r="O57" s="156">
        <f t="shared" si="26"/>
        <v>0</v>
      </c>
      <c r="Q57" s="157"/>
      <c r="R57" s="158"/>
      <c r="S57" s="151"/>
      <c r="T57" s="87"/>
      <c r="U57" s="89"/>
      <c r="V57" s="90"/>
      <c r="W57" s="69"/>
      <c r="X57" s="157"/>
      <c r="Y57" s="158"/>
      <c r="Z57" s="151"/>
      <c r="AA57" s="87"/>
      <c r="AB57" s="89"/>
      <c r="AC57" s="90"/>
      <c r="AD57" s="69"/>
      <c r="AE57" s="157"/>
      <c r="AF57" s="158"/>
      <c r="AG57" s="151"/>
      <c r="AH57" s="87"/>
      <c r="AI57" s="89"/>
      <c r="AJ57" s="90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</row>
    <row r="58" spans="1:60" x14ac:dyDescent="0.25">
      <c r="A58" s="1"/>
      <c r="B58" s="271" t="str">
        <f>IF(Rates!D4='USL BRT'!$A$56,Rates!B4," ")</f>
        <v>TOU - On Peak</v>
      </c>
      <c r="C58" s="79"/>
      <c r="D58" s="271" t="str">
        <f>IF(Rates!D4='USL BRT'!$A$56,Rates!E4," ")</f>
        <v>kWh</v>
      </c>
      <c r="E58" s="79"/>
      <c r="F58" s="235">
        <f>IF(Rates!$J$1="BRT 2018",Rates!J4," ")</f>
        <v>0.13200000000000001</v>
      </c>
      <c r="G58" s="154">
        <f>IF($D$16="TOU",0.18*$F$18,0)</f>
        <v>18</v>
      </c>
      <c r="H58" s="155">
        <f t="shared" si="22"/>
        <v>2.3760000000000003</v>
      </c>
      <c r="I58" s="87"/>
      <c r="J58" s="235">
        <f>IF(Rates!$L$1="E+ 2019",Rates!L4," ")</f>
        <v>0.13200000000000001</v>
      </c>
      <c r="K58" s="154">
        <f>$G58</f>
        <v>18</v>
      </c>
      <c r="L58" s="155">
        <f t="shared" si="24"/>
        <v>2.3760000000000003</v>
      </c>
      <c r="M58" s="87"/>
      <c r="N58" s="84">
        <f t="shared" si="1"/>
        <v>0</v>
      </c>
      <c r="O58" s="156">
        <f t="shared" si="26"/>
        <v>0</v>
      </c>
      <c r="Q58" s="157"/>
      <c r="R58" s="158"/>
      <c r="S58" s="151"/>
      <c r="T58" s="87"/>
      <c r="U58" s="89"/>
      <c r="V58" s="90"/>
      <c r="W58" s="69"/>
      <c r="X58" s="157"/>
      <c r="Y58" s="158"/>
      <c r="Z58" s="151"/>
      <c r="AA58" s="87"/>
      <c r="AB58" s="89"/>
      <c r="AC58" s="90"/>
      <c r="AD58" s="69"/>
      <c r="AE58" s="157"/>
      <c r="AF58" s="158"/>
      <c r="AG58" s="151"/>
      <c r="AH58" s="87"/>
      <c r="AI58" s="89"/>
      <c r="AJ58" s="90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</row>
    <row r="59" spans="1:60" x14ac:dyDescent="0.25">
      <c r="A59" s="159"/>
      <c r="B59" s="271" t="str">
        <f>IF(Rates!D5='USL BRT'!$A$56,Rates!B5," ")</f>
        <v>Commodity</v>
      </c>
      <c r="C59" s="79"/>
      <c r="D59" s="271" t="str">
        <f>IF(Rates!D5='USL BRT'!$A$56,Rates!E5," ")</f>
        <v>kWh</v>
      </c>
      <c r="E59" s="161"/>
      <c r="F59" s="235">
        <f>IF(Rates!$J$1="BRT 2018",Rates!J5," ")</f>
        <v>1.8855833333333332E-2</v>
      </c>
      <c r="G59" s="162">
        <f>IF($D$16="TOU", 0,$F$18)</f>
        <v>0</v>
      </c>
      <c r="H59" s="155">
        <f t="shared" si="22"/>
        <v>0</v>
      </c>
      <c r="I59" s="166"/>
      <c r="J59" s="235">
        <f>IF(Rates!$L$1="E+ 2019",Rates!L5," ")</f>
        <v>1.8855833333333332E-2</v>
      </c>
      <c r="K59" s="162">
        <f>G59</f>
        <v>0</v>
      </c>
      <c r="L59" s="155">
        <f t="shared" si="24"/>
        <v>0</v>
      </c>
      <c r="M59" s="166"/>
      <c r="N59" s="164">
        <f t="shared" si="1"/>
        <v>0</v>
      </c>
      <c r="O59" s="156" t="str">
        <f t="shared" si="26"/>
        <v/>
      </c>
      <c r="Q59" s="157"/>
      <c r="R59" s="165"/>
      <c r="S59" s="151"/>
      <c r="T59" s="166"/>
      <c r="U59" s="89"/>
      <c r="V59" s="90"/>
      <c r="W59" s="69"/>
      <c r="X59" s="157"/>
      <c r="Y59" s="165"/>
      <c r="Z59" s="151"/>
      <c r="AA59" s="166"/>
      <c r="AB59" s="89"/>
      <c r="AC59" s="90"/>
      <c r="AD59" s="69"/>
      <c r="AE59" s="157"/>
      <c r="AF59" s="165"/>
      <c r="AG59" s="151"/>
      <c r="AH59" s="166"/>
      <c r="AI59" s="89"/>
      <c r="AJ59" s="90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</row>
    <row r="60" spans="1:60" x14ac:dyDescent="0.25">
      <c r="A60" s="159"/>
      <c r="B60" s="271" t="str">
        <f>IF(Rates!D6='USL BRT'!$A$56,Rates!B6," ")</f>
        <v>Global Adjustment</v>
      </c>
      <c r="C60" s="79"/>
      <c r="D60" s="271" t="str">
        <f>IF(Rates!D6='USL BRT'!$A$56,Rates!E6," ")</f>
        <v>kWh</v>
      </c>
      <c r="E60" s="161"/>
      <c r="F60" s="235">
        <f>IF(Rates!$J$1="BRT 2018",Rates!J6," ")</f>
        <v>0.10303000000000001</v>
      </c>
      <c r="G60" s="162">
        <f>IF($D$16="TOU", 0,$F$18)</f>
        <v>0</v>
      </c>
      <c r="H60" s="155">
        <f t="shared" si="22"/>
        <v>0</v>
      </c>
      <c r="I60" s="166"/>
      <c r="J60" s="235">
        <f>IF(Rates!$L$1="E+ 2019",Rates!L6," ")</f>
        <v>0.10303000000000001</v>
      </c>
      <c r="K60" s="162">
        <f>$G60</f>
        <v>0</v>
      </c>
      <c r="L60" s="155">
        <f t="shared" si="24"/>
        <v>0</v>
      </c>
      <c r="M60" s="166"/>
      <c r="N60" s="164">
        <f t="shared" si="1"/>
        <v>0</v>
      </c>
      <c r="O60" s="156" t="str">
        <f t="shared" si="26"/>
        <v/>
      </c>
      <c r="Q60" s="157"/>
      <c r="R60" s="165"/>
      <c r="S60" s="151"/>
      <c r="T60" s="166"/>
      <c r="U60" s="89"/>
      <c r="V60" s="90"/>
      <c r="W60" s="69"/>
      <c r="X60" s="157"/>
      <c r="Y60" s="165"/>
      <c r="Z60" s="151"/>
      <c r="AA60" s="166"/>
      <c r="AB60" s="89"/>
      <c r="AC60" s="90"/>
      <c r="AD60" s="69"/>
      <c r="AE60" s="157"/>
      <c r="AF60" s="165"/>
      <c r="AG60" s="151"/>
      <c r="AH60" s="166"/>
      <c r="AI60" s="89"/>
      <c r="AJ60" s="90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</row>
    <row r="61" spans="1:60" hidden="1" x14ac:dyDescent="0.25">
      <c r="A61" s="159"/>
      <c r="B61" s="167"/>
      <c r="C61" s="160"/>
      <c r="D61" s="160"/>
      <c r="E61" s="161"/>
      <c r="F61" s="147"/>
      <c r="G61" s="162"/>
      <c r="H61" s="155"/>
      <c r="I61" s="166"/>
      <c r="J61" s="169">
        <f t="shared" ref="J61" si="27">+F61</f>
        <v>0</v>
      </c>
      <c r="K61" s="168"/>
      <c r="L61" s="155"/>
      <c r="M61" s="166"/>
      <c r="N61" s="164">
        <f t="shared" si="1"/>
        <v>0</v>
      </c>
      <c r="O61" s="156" t="str">
        <f t="shared" si="26"/>
        <v/>
      </c>
      <c r="Q61" s="157"/>
      <c r="R61" s="165"/>
      <c r="S61" s="151"/>
      <c r="T61" s="166"/>
      <c r="U61" s="89"/>
      <c r="V61" s="90"/>
      <c r="W61" s="69"/>
      <c r="X61" s="157"/>
      <c r="Y61" s="165"/>
      <c r="Z61" s="151"/>
      <c r="AA61" s="166"/>
      <c r="AB61" s="89"/>
      <c r="AC61" s="90"/>
      <c r="AD61" s="69"/>
      <c r="AE61" s="157"/>
      <c r="AF61" s="165"/>
      <c r="AG61" s="151"/>
      <c r="AH61" s="166"/>
      <c r="AI61" s="89"/>
      <c r="AJ61" s="90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</row>
    <row r="62" spans="1:60" x14ac:dyDescent="0.25">
      <c r="A62" s="1"/>
      <c r="B62" s="170"/>
      <c r="C62" s="171"/>
      <c r="D62" s="171"/>
      <c r="E62" s="171"/>
      <c r="F62" s="387"/>
      <c r="G62" s="172"/>
      <c r="H62" s="388"/>
      <c r="I62" s="87"/>
      <c r="J62" s="387"/>
      <c r="K62" s="173"/>
      <c r="L62" s="388"/>
      <c r="M62" s="87"/>
      <c r="N62" s="394"/>
      <c r="O62" s="395"/>
      <c r="Q62" s="157"/>
      <c r="R62" s="120"/>
      <c r="S62" s="151"/>
      <c r="T62" s="87"/>
      <c r="U62" s="89"/>
      <c r="V62" s="174"/>
      <c r="W62" s="69"/>
      <c r="X62" s="157"/>
      <c r="Y62" s="120"/>
      <c r="Z62" s="151"/>
      <c r="AA62" s="87"/>
      <c r="AB62" s="89"/>
      <c r="AC62" s="174"/>
      <c r="AD62" s="69"/>
      <c r="AE62" s="157"/>
      <c r="AF62" s="120"/>
      <c r="AG62" s="151"/>
      <c r="AH62" s="87"/>
      <c r="AI62" s="89"/>
      <c r="AJ62" s="174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</row>
    <row r="63" spans="1:60" x14ac:dyDescent="0.25">
      <c r="A63" s="1"/>
      <c r="B63" s="175" t="s">
        <v>82</v>
      </c>
      <c r="C63" s="78"/>
      <c r="D63" s="78"/>
      <c r="E63" s="78"/>
      <c r="F63" s="176"/>
      <c r="G63" s="177"/>
      <c r="H63" s="179">
        <f>SUM(H51:H58,H50)</f>
        <v>14.839493880643325</v>
      </c>
      <c r="I63" s="146"/>
      <c r="J63" s="178"/>
      <c r="K63" s="178"/>
      <c r="L63" s="179">
        <f>SUM(L51:L58,L50)</f>
        <v>17.760053315161528</v>
      </c>
      <c r="M63" s="146"/>
      <c r="N63" s="179">
        <f>L63-H63</f>
        <v>2.9205594345182035</v>
      </c>
      <c r="O63" s="180">
        <f t="shared" si="26"/>
        <v>0.1968099086133786</v>
      </c>
      <c r="Q63" s="181"/>
      <c r="R63" s="181"/>
      <c r="S63" s="121"/>
      <c r="T63" s="146"/>
      <c r="U63" s="89"/>
      <c r="V63" s="90"/>
      <c r="W63" s="69"/>
      <c r="X63" s="181"/>
      <c r="Y63" s="181"/>
      <c r="Z63" s="121"/>
      <c r="AA63" s="146"/>
      <c r="AB63" s="89"/>
      <c r="AC63" s="90"/>
      <c r="AD63" s="69"/>
      <c r="AE63" s="181"/>
      <c r="AF63" s="181"/>
      <c r="AG63" s="121"/>
      <c r="AH63" s="146"/>
      <c r="AI63" s="89"/>
      <c r="AJ63" s="90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</row>
    <row r="64" spans="1:60" x14ac:dyDescent="0.25">
      <c r="A64" s="1"/>
      <c r="B64" s="182" t="s">
        <v>9</v>
      </c>
      <c r="C64" s="78"/>
      <c r="D64" s="78"/>
      <c r="E64" s="78"/>
      <c r="F64" s="183">
        <v>0.13</v>
      </c>
      <c r="G64" s="87"/>
      <c r="H64" s="188">
        <f>$H$63*F64</f>
        <v>1.9291342044836322</v>
      </c>
      <c r="I64" s="187"/>
      <c r="J64" s="185">
        <v>0.13</v>
      </c>
      <c r="K64" s="184"/>
      <c r="L64" s="186">
        <f>$L$63*J64</f>
        <v>2.3088069309709986</v>
      </c>
      <c r="M64" s="187"/>
      <c r="N64" s="188">
        <f>L64-H64</f>
        <v>0.3796727264873665</v>
      </c>
      <c r="O64" s="85">
        <f t="shared" si="26"/>
        <v>0.1968099086133786</v>
      </c>
      <c r="Q64" s="189"/>
      <c r="R64" s="187"/>
      <c r="S64" s="190"/>
      <c r="T64" s="187"/>
      <c r="U64" s="89"/>
      <c r="V64" s="90"/>
      <c r="W64" s="69"/>
      <c r="X64" s="189"/>
      <c r="Y64" s="187"/>
      <c r="Z64" s="190"/>
      <c r="AA64" s="187"/>
      <c r="AB64" s="89"/>
      <c r="AC64" s="90"/>
      <c r="AD64" s="69"/>
      <c r="AE64" s="189"/>
      <c r="AF64" s="187"/>
      <c r="AG64" s="190"/>
      <c r="AH64" s="187"/>
      <c r="AI64" s="89"/>
      <c r="AJ64" s="90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</row>
    <row r="65" spans="1:60" x14ac:dyDescent="0.25">
      <c r="A65" s="1"/>
      <c r="B65" s="182" t="s">
        <v>106</v>
      </c>
      <c r="C65" s="78"/>
      <c r="D65" s="78"/>
      <c r="E65" s="78"/>
      <c r="F65" s="183">
        <v>-0.05</v>
      </c>
      <c r="G65" s="87"/>
      <c r="H65" s="188">
        <f>$H$63*F65</f>
        <v>-0.74197469403216632</v>
      </c>
      <c r="I65" s="187"/>
      <c r="J65" s="183">
        <v>-0.05</v>
      </c>
      <c r="K65" s="184"/>
      <c r="L65" s="186">
        <f>$L$63*J65</f>
        <v>-0.8880026657580764</v>
      </c>
      <c r="M65" s="187"/>
      <c r="N65" s="188">
        <f>L65-H65</f>
        <v>-0.14602797172591009</v>
      </c>
      <c r="O65" s="85">
        <f t="shared" si="26"/>
        <v>0.19680990861337844</v>
      </c>
      <c r="Q65" s="189"/>
      <c r="R65" s="187"/>
      <c r="S65" s="190"/>
      <c r="T65" s="187"/>
      <c r="U65" s="89"/>
      <c r="V65" s="90"/>
      <c r="W65" s="69"/>
      <c r="X65" s="189"/>
      <c r="Y65" s="187"/>
      <c r="Z65" s="190"/>
      <c r="AA65" s="187"/>
      <c r="AB65" s="89"/>
      <c r="AC65" s="90"/>
      <c r="AD65" s="69"/>
      <c r="AE65" s="189"/>
      <c r="AF65" s="187"/>
      <c r="AG65" s="190"/>
      <c r="AH65" s="187"/>
      <c r="AI65" s="89"/>
      <c r="AJ65" s="90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</row>
    <row r="66" spans="1:60" ht="15.75" thickBot="1" x14ac:dyDescent="0.3">
      <c r="A66" s="1"/>
      <c r="B66" s="191" t="s">
        <v>83</v>
      </c>
      <c r="C66" s="192"/>
      <c r="D66" s="192"/>
      <c r="E66" s="192"/>
      <c r="F66" s="193"/>
      <c r="G66" s="194"/>
      <c r="H66" s="389">
        <f>SUM(H63:H65)</f>
        <v>16.02665339109479</v>
      </c>
      <c r="I66" s="187"/>
      <c r="J66" s="195"/>
      <c r="K66" s="195"/>
      <c r="L66" s="389">
        <f>SUM(L63:L65)</f>
        <v>19.18085758037445</v>
      </c>
      <c r="M66" s="187"/>
      <c r="N66" s="196">
        <f>L66-H66</f>
        <v>3.1542041892796604</v>
      </c>
      <c r="O66" s="197">
        <f t="shared" si="26"/>
        <v>0.19680990861337863</v>
      </c>
      <c r="Q66" s="187"/>
      <c r="R66" s="187"/>
      <c r="S66" s="190"/>
      <c r="T66" s="187"/>
      <c r="U66" s="89"/>
      <c r="V66" s="90"/>
      <c r="W66" s="69"/>
      <c r="X66" s="187"/>
      <c r="Y66" s="187"/>
      <c r="Z66" s="190"/>
      <c r="AA66" s="187"/>
      <c r="AB66" s="89"/>
      <c r="AC66" s="90"/>
      <c r="AD66" s="69"/>
      <c r="AE66" s="187"/>
      <c r="AF66" s="187"/>
      <c r="AG66" s="190"/>
      <c r="AH66" s="187"/>
      <c r="AI66" s="89"/>
      <c r="AJ66" s="90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</row>
    <row r="67" spans="1:60" ht="15.75" thickBot="1" x14ac:dyDescent="0.3">
      <c r="A67" s="159"/>
      <c r="B67" s="198" t="s">
        <v>67</v>
      </c>
      <c r="C67" s="199"/>
      <c r="D67" s="199"/>
      <c r="E67" s="199"/>
      <c r="F67" s="390"/>
      <c r="G67" s="391"/>
      <c r="H67" s="392"/>
      <c r="I67" s="166"/>
      <c r="J67" s="390"/>
      <c r="K67" s="393"/>
      <c r="L67" s="392"/>
      <c r="M67" s="166"/>
      <c r="N67" s="396"/>
      <c r="O67" s="397"/>
      <c r="Q67" s="157"/>
      <c r="R67" s="206"/>
      <c r="S67" s="151"/>
      <c r="T67" s="166"/>
      <c r="U67" s="207"/>
      <c r="V67" s="174"/>
      <c r="W67" s="69"/>
      <c r="X67" s="157"/>
      <c r="Y67" s="206"/>
      <c r="Z67" s="151"/>
      <c r="AA67" s="166"/>
      <c r="AB67" s="207"/>
      <c r="AC67" s="174"/>
      <c r="AD67" s="69"/>
      <c r="AE67" s="157"/>
      <c r="AF67" s="206"/>
      <c r="AG67" s="151"/>
      <c r="AH67" s="166"/>
      <c r="AI67" s="207"/>
      <c r="AJ67" s="174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</row>
    <row r="68" spans="1:6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67"/>
      <c r="M68" s="3"/>
      <c r="N68" s="1"/>
      <c r="O68" s="1"/>
      <c r="Q68" s="2"/>
      <c r="R68" s="2"/>
      <c r="S68" s="208"/>
      <c r="T68" s="2"/>
      <c r="U68" s="2"/>
      <c r="V68" s="2"/>
      <c r="W68" s="69"/>
      <c r="X68" s="2"/>
      <c r="Y68" s="2"/>
      <c r="Z68" s="208"/>
      <c r="AA68" s="2"/>
      <c r="AB68" s="2"/>
      <c r="AC68" s="2"/>
      <c r="AD68" s="69"/>
      <c r="AE68" s="2"/>
      <c r="AF68" s="2"/>
      <c r="AG68" s="208"/>
      <c r="AH68" s="2"/>
      <c r="AI68" s="2"/>
      <c r="AJ68" s="2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</row>
    <row r="69" spans="1:60" x14ac:dyDescent="0.25">
      <c r="A69" s="1"/>
      <c r="B69" s="65" t="s">
        <v>10</v>
      </c>
      <c r="C69" s="1"/>
      <c r="D69" s="1"/>
      <c r="E69" s="1"/>
      <c r="F69" s="209">
        <f>Rates!$S$2-1</f>
        <v>4.9500000000000099E-2</v>
      </c>
      <c r="G69" s="1"/>
      <c r="H69" s="1"/>
      <c r="I69" s="1"/>
      <c r="J69" s="209">
        <f>Rates!$T$2-1</f>
        <v>3.0684649944026976E-2</v>
      </c>
      <c r="K69" s="1"/>
      <c r="L69" s="1"/>
      <c r="M69" s="3"/>
      <c r="N69" s="1"/>
      <c r="O69" s="1"/>
      <c r="Q69" s="210"/>
      <c r="R69" s="2"/>
      <c r="S69" s="2"/>
      <c r="T69" s="2"/>
      <c r="U69" s="2"/>
      <c r="V69" s="2"/>
      <c r="W69" s="69"/>
      <c r="X69" s="210"/>
      <c r="Y69" s="2"/>
      <c r="Z69" s="2"/>
      <c r="AA69" s="2"/>
      <c r="AB69" s="2"/>
      <c r="AC69" s="2"/>
      <c r="AD69" s="69"/>
      <c r="AE69" s="210"/>
      <c r="AF69" s="2"/>
      <c r="AG69" s="2"/>
      <c r="AH69" s="2"/>
      <c r="AI69" s="2"/>
      <c r="AJ69" s="2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</row>
    <row r="70" spans="1:6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3"/>
      <c r="N70" s="1"/>
      <c r="O70" s="1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</row>
    <row r="71" spans="1:60" x14ac:dyDescent="0.25">
      <c r="A71" s="1" t="s">
        <v>84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3"/>
      <c r="N71" s="1"/>
      <c r="O71" s="1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</row>
    <row r="72" spans="1:60" x14ac:dyDescent="0.25">
      <c r="A72" s="1" t="s">
        <v>85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3"/>
      <c r="N72" s="1"/>
      <c r="O72" s="1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</row>
    <row r="73" spans="1:6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3"/>
      <c r="N73" s="1"/>
      <c r="O73" s="1"/>
    </row>
    <row r="74" spans="1:60" x14ac:dyDescent="0.25">
      <c r="A74" s="64" t="s">
        <v>86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3"/>
      <c r="N74" s="1"/>
      <c r="O74" s="1"/>
    </row>
    <row r="75" spans="1:60" x14ac:dyDescent="0.25">
      <c r="A75" s="64" t="s">
        <v>87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3"/>
      <c r="N75" s="1"/>
      <c r="O75" s="1"/>
    </row>
    <row r="76" spans="1:6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3"/>
      <c r="N76" s="1"/>
      <c r="O76" s="1"/>
    </row>
    <row r="77" spans="1:60" x14ac:dyDescent="0.25">
      <c r="A77" s="1" t="s">
        <v>88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3"/>
      <c r="N77" s="1"/>
      <c r="O77" s="1"/>
    </row>
    <row r="78" spans="1:60" x14ac:dyDescent="0.25">
      <c r="A78" s="1" t="s">
        <v>89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3"/>
      <c r="N78" s="1"/>
      <c r="O78" s="1"/>
    </row>
    <row r="79" spans="1:60" x14ac:dyDescent="0.25">
      <c r="A79" s="1" t="s">
        <v>90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3"/>
      <c r="N79" s="1"/>
      <c r="O79" s="1"/>
    </row>
    <row r="80" spans="1:60" x14ac:dyDescent="0.25">
      <c r="A80" s="1" t="s">
        <v>91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3"/>
      <c r="N80" s="1"/>
      <c r="O80" s="1"/>
    </row>
    <row r="81" spans="1:15" x14ac:dyDescent="0.25">
      <c r="A81" s="1" t="s">
        <v>92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3"/>
      <c r="N81" s="1"/>
      <c r="O81" s="1"/>
    </row>
    <row r="84" spans="1:15" x14ac:dyDescent="0.25">
      <c r="A84" t="s">
        <v>228</v>
      </c>
    </row>
    <row r="85" spans="1:15" x14ac:dyDescent="0.25">
      <c r="A85" t="s">
        <v>229</v>
      </c>
    </row>
  </sheetData>
  <sheetProtection selectLockedCells="1"/>
  <mergeCells count="21">
    <mergeCell ref="AI20:AJ20"/>
    <mergeCell ref="A3:K3"/>
    <mergeCell ref="B10:O10"/>
    <mergeCell ref="B11:O11"/>
    <mergeCell ref="D14:O14"/>
    <mergeCell ref="F20:H20"/>
    <mergeCell ref="J20:L20"/>
    <mergeCell ref="N20:O20"/>
    <mergeCell ref="Q20:S20"/>
    <mergeCell ref="U20:V20"/>
    <mergeCell ref="X20:Z20"/>
    <mergeCell ref="AB20:AC20"/>
    <mergeCell ref="AE20:AG20"/>
    <mergeCell ref="AI21:AI22"/>
    <mergeCell ref="AJ21:AJ22"/>
    <mergeCell ref="N21:N22"/>
    <mergeCell ref="O21:O22"/>
    <mergeCell ref="U21:U22"/>
    <mergeCell ref="V21:V22"/>
    <mergeCell ref="AB21:AB22"/>
    <mergeCell ref="AC21:AC22"/>
  </mergeCells>
  <dataValidations count="2">
    <dataValidation type="list" allowBlank="1" showInputMessage="1" showErrorMessage="1" sqref="D16">
      <formula1>"TOU, non-TOU"</formula1>
    </dataValidation>
    <dataValidation type="list" allowBlank="1" showInputMessage="1" showErrorMessage="1" sqref="E48:E49 E37:E46 E51:E62 E67 E23:E35">
      <formula1>#REF!</formula1>
    </dataValidation>
  </dataValidations>
  <printOptions horizontalCentered="1"/>
  <pageMargins left="0.3" right="0.35" top="0.92" bottom="0.7" header="0.56999999999999995" footer="0.41"/>
  <pageSetup paperSize="256" scale="60" fitToHeight="0" orientation="landscape" r:id="rId1"/>
  <headerFoot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7217" r:id="rId4" name="Option Button 1">
              <controlPr defaultSize="0" autoFill="0" autoLine="0" autoPict="0">
                <anchor moveWithCells="1">
                  <from>
                    <xdr:col>9</xdr:col>
                    <xdr:colOff>361950</xdr:colOff>
                    <xdr:row>82</xdr:row>
                    <xdr:rowOff>0</xdr:rowOff>
                  </from>
                  <to>
                    <xdr:col>17</xdr:col>
                    <xdr:colOff>161925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18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82</xdr:row>
                    <xdr:rowOff>0</xdr:rowOff>
                  </from>
                  <to>
                    <xdr:col>9</xdr:col>
                    <xdr:colOff>600075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19" r:id="rId6" name="Option Button 3">
              <controlPr defaultSize="0" autoFill="0" autoLine="0" autoPict="0">
                <anchor moveWithCells="1">
                  <from>
                    <xdr:col>9</xdr:col>
                    <xdr:colOff>361950</xdr:colOff>
                    <xdr:row>82</xdr:row>
                    <xdr:rowOff>0</xdr:rowOff>
                  </from>
                  <to>
                    <xdr:col>17</xdr:col>
                    <xdr:colOff>161925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20" r:id="rId7" name="Option Button 4">
              <controlPr defaultSize="0" autoFill="0" autoLine="0" autoPict="0">
                <anchor moveWithCells="1">
                  <from>
                    <xdr:col>6</xdr:col>
                    <xdr:colOff>381000</xdr:colOff>
                    <xdr:row>82</xdr:row>
                    <xdr:rowOff>0</xdr:rowOff>
                  </from>
                  <to>
                    <xdr:col>9</xdr:col>
                    <xdr:colOff>600075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21" r:id="rId8" name="Option Button 5">
              <controlPr defaultSize="0" autoFill="0" autoLine="0" autoPict="0">
                <anchor moveWithCells="1">
                  <from>
                    <xdr:col>9</xdr:col>
                    <xdr:colOff>361950</xdr:colOff>
                    <xdr:row>82</xdr:row>
                    <xdr:rowOff>0</xdr:rowOff>
                  </from>
                  <to>
                    <xdr:col>17</xdr:col>
                    <xdr:colOff>161925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22" r:id="rId9" name="Option Button 6">
              <controlPr defaultSize="0" autoFill="0" autoLine="0" autoPict="0">
                <anchor moveWithCells="1">
                  <from>
                    <xdr:col>6</xdr:col>
                    <xdr:colOff>381000</xdr:colOff>
                    <xdr:row>82</xdr:row>
                    <xdr:rowOff>0</xdr:rowOff>
                  </from>
                  <to>
                    <xdr:col>9</xdr:col>
                    <xdr:colOff>600075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23" r:id="rId10" name="Option Button 7">
              <controlPr defaultSize="0" autoFill="0" autoLine="0" autoPict="0">
                <anchor moveWithCells="1">
                  <from>
                    <xdr:col>9</xdr:col>
                    <xdr:colOff>361950</xdr:colOff>
                    <xdr:row>82</xdr:row>
                    <xdr:rowOff>0</xdr:rowOff>
                  </from>
                  <to>
                    <xdr:col>17</xdr:col>
                    <xdr:colOff>161925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24" r:id="rId11" name="Option Button 8">
              <controlPr defaultSize="0" autoFill="0" autoLine="0" autoPict="0">
                <anchor moveWithCells="1">
                  <from>
                    <xdr:col>6</xdr:col>
                    <xdr:colOff>381000</xdr:colOff>
                    <xdr:row>82</xdr:row>
                    <xdr:rowOff>0</xdr:rowOff>
                  </from>
                  <to>
                    <xdr:col>9</xdr:col>
                    <xdr:colOff>600075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25" r:id="rId12" name="Option Button 9">
              <controlPr defaultSize="0" autoFill="0" autoLine="0" autoPict="0">
                <anchor moveWithCells="1">
                  <from>
                    <xdr:col>9</xdr:col>
                    <xdr:colOff>361950</xdr:colOff>
                    <xdr:row>82</xdr:row>
                    <xdr:rowOff>0</xdr:rowOff>
                  </from>
                  <to>
                    <xdr:col>17</xdr:col>
                    <xdr:colOff>161925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26" r:id="rId13" name="Option Button 10">
              <controlPr defaultSize="0" autoFill="0" autoLine="0" autoPict="0">
                <anchor moveWithCells="1">
                  <from>
                    <xdr:col>6</xdr:col>
                    <xdr:colOff>381000</xdr:colOff>
                    <xdr:row>82</xdr:row>
                    <xdr:rowOff>0</xdr:rowOff>
                  </from>
                  <to>
                    <xdr:col>9</xdr:col>
                    <xdr:colOff>600075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27" r:id="rId14" name="Option Button 11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161925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28" r:id="rId15" name="Option Button 12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600075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29" r:id="rId16" name="Option Button 13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161925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30" r:id="rId17" name="Option Button 14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600075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31" r:id="rId18" name="Option Button 15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161925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32" r:id="rId19" name="Option Button 16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600075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33" r:id="rId20" name="Option Button 17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161925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34" r:id="rId21" name="Option Button 18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600075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35" r:id="rId22" name="Option Button 19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161925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36" r:id="rId23" name="Option Button 20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600075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37" r:id="rId24" name="Option Button 21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161925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38" r:id="rId25" name="Option Button 22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600075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39" r:id="rId26" name="Option Button 23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161925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40" r:id="rId27" name="Option Button 24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600075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41" r:id="rId28" name="Option Button 25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161925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42" r:id="rId29" name="Option Button 26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600075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43" r:id="rId30" name="Option Button 27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161925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44" r:id="rId31" name="Option Button 28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600075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45" r:id="rId32" name="Option Button 29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161925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46" r:id="rId33" name="Option Button 30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600075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47" r:id="rId34" name="Option Button 31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161925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48" r:id="rId35" name="Option Button 32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161925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49" r:id="rId36" name="Option Button 33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161925</xdr:colOff>
                    <xdr:row>83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A1:AW89"/>
  <sheetViews>
    <sheetView showGridLines="0" topLeftCell="A25" zoomScale="80" zoomScaleNormal="80" workbookViewId="0">
      <selection activeCell="U21" sqref="U21:U22"/>
    </sheetView>
  </sheetViews>
  <sheetFormatPr defaultColWidth="9.140625" defaultRowHeight="15" x14ac:dyDescent="0.25"/>
  <cols>
    <col min="1" max="1" width="48.28515625" customWidth="1"/>
    <col min="2" max="2" width="61.42578125" customWidth="1"/>
    <col min="3" max="3" width="1.5703125" customWidth="1"/>
    <col min="4" max="4" width="12.42578125" customWidth="1"/>
    <col min="5" max="5" width="1.7109375" customWidth="1"/>
    <col min="6" max="6" width="12" customWidth="1"/>
    <col min="7" max="7" width="11.7109375" customWidth="1"/>
    <col min="8" max="8" width="16.42578125" customWidth="1"/>
    <col min="9" max="9" width="1.28515625" customWidth="1"/>
    <col min="10" max="10" width="12.28515625" customWidth="1"/>
    <col min="11" max="11" width="10.5703125" customWidth="1"/>
    <col min="12" max="12" width="16.28515625" customWidth="1"/>
    <col min="13" max="13" width="1.28515625" customWidth="1"/>
    <col min="14" max="14" width="14.7109375" customWidth="1"/>
    <col min="15" max="15" width="10.5703125" customWidth="1"/>
    <col min="16" max="16" width="1.42578125" customWidth="1"/>
    <col min="17" max="17" width="1.7109375" customWidth="1"/>
    <col min="18" max="18" width="9.42578125" customWidth="1"/>
    <col min="19" max="19" width="12.5703125" customWidth="1"/>
    <col min="20" max="20" width="1.28515625" customWidth="1"/>
    <col min="21" max="21" width="10.85546875" customWidth="1"/>
    <col min="22" max="22" width="10.140625" customWidth="1"/>
    <col min="23" max="23" width="1.28515625" customWidth="1"/>
    <col min="24" max="24" width="11" customWidth="1"/>
    <col min="25" max="25" width="9.5703125" customWidth="1"/>
    <col min="26" max="26" width="12.42578125" customWidth="1"/>
    <col min="27" max="27" width="1.28515625" customWidth="1"/>
    <col min="28" max="28" width="10" customWidth="1"/>
    <col min="30" max="30" width="0.85546875" customWidth="1"/>
    <col min="31" max="31" width="11.140625" customWidth="1"/>
    <col min="32" max="32" width="9.5703125" customWidth="1"/>
    <col min="33" max="33" width="12.42578125" customWidth="1"/>
    <col min="34" max="34" width="1.140625" customWidth="1"/>
    <col min="35" max="35" width="10.42578125" customWidth="1"/>
    <col min="37" max="37" width="0.85546875" customWidth="1"/>
  </cols>
  <sheetData>
    <row r="1" spans="1:21" ht="21.75" x14ac:dyDescent="0.25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0"/>
      <c r="M1" s="50"/>
      <c r="N1" s="52" t="s">
        <v>68</v>
      </c>
      <c r="O1" s="53">
        <v>0</v>
      </c>
      <c r="T1">
        <v>1</v>
      </c>
      <c r="U1">
        <v>2</v>
      </c>
    </row>
    <row r="2" spans="1:21" ht="18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0"/>
      <c r="M2" s="50"/>
      <c r="N2" s="52" t="s">
        <v>69</v>
      </c>
      <c r="O2" s="55"/>
    </row>
    <row r="3" spans="1:21" ht="18" x14ac:dyDescent="0.25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"/>
      <c r="M3" s="50"/>
      <c r="N3" s="52" t="s">
        <v>70</v>
      </c>
      <c r="O3" s="55"/>
    </row>
    <row r="4" spans="1:21" ht="18" x14ac:dyDescent="0.25">
      <c r="A4" s="54"/>
      <c r="B4" s="54"/>
      <c r="C4" s="54"/>
      <c r="D4" s="54"/>
      <c r="E4" s="54"/>
      <c r="F4" s="54"/>
      <c r="G4" s="54"/>
      <c r="H4" s="54"/>
      <c r="I4" s="56"/>
      <c r="J4" s="56"/>
      <c r="K4" s="56"/>
      <c r="L4" s="50"/>
      <c r="M4" s="50"/>
      <c r="N4" s="52" t="s">
        <v>71</v>
      </c>
      <c r="O4" s="55"/>
    </row>
    <row r="5" spans="1:21" ht="15.75" x14ac:dyDescent="0.25">
      <c r="A5" s="50"/>
      <c r="B5" s="50"/>
      <c r="C5" s="57"/>
      <c r="D5" s="57"/>
      <c r="E5" s="57"/>
      <c r="F5" s="50"/>
      <c r="G5" s="50"/>
      <c r="H5" s="50"/>
      <c r="I5" s="50"/>
      <c r="J5" s="50"/>
      <c r="K5" s="50"/>
      <c r="L5" s="50"/>
      <c r="M5" s="50"/>
      <c r="N5" s="52" t="s">
        <v>72</v>
      </c>
      <c r="O5" s="58"/>
    </row>
    <row r="6" spans="1:2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2"/>
      <c r="O6" s="53"/>
    </row>
    <row r="7" spans="1:2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2" t="s">
        <v>73</v>
      </c>
      <c r="O7" s="58"/>
    </row>
    <row r="8" spans="1:21" x14ac:dyDescent="0.25">
      <c r="A8" s="5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1" ht="18" x14ac:dyDescent="0.25">
      <c r="A10" s="1"/>
      <c r="B10" s="508" t="s">
        <v>74</v>
      </c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508"/>
      <c r="N10" s="508"/>
      <c r="O10" s="508"/>
    </row>
    <row r="11" spans="1:21" ht="18" x14ac:dyDescent="0.25">
      <c r="A11" s="1"/>
      <c r="B11" s="508" t="s">
        <v>75</v>
      </c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1" ht="15.75" x14ac:dyDescent="0.25">
      <c r="A14" s="1"/>
      <c r="B14" s="60" t="s">
        <v>0</v>
      </c>
      <c r="C14" s="1"/>
      <c r="D14" s="509" t="s">
        <v>126</v>
      </c>
      <c r="E14" s="509"/>
      <c r="F14" s="509"/>
      <c r="G14" s="509"/>
      <c r="H14" s="509"/>
      <c r="I14" s="509"/>
      <c r="J14" s="509"/>
      <c r="K14" s="509"/>
      <c r="L14" s="509"/>
      <c r="M14" s="509"/>
      <c r="N14" s="509"/>
      <c r="O14" s="509"/>
    </row>
    <row r="15" spans="1:21" ht="15.75" x14ac:dyDescent="0.25">
      <c r="A15" s="1"/>
      <c r="B15" s="61"/>
      <c r="C15" s="1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pans="1:21" ht="15.75" x14ac:dyDescent="0.25">
      <c r="A16" s="1"/>
      <c r="B16" s="60" t="s">
        <v>76</v>
      </c>
      <c r="C16" s="1"/>
      <c r="D16" s="63" t="s">
        <v>77</v>
      </c>
      <c r="E16" s="62"/>
      <c r="F16" s="228" t="s">
        <v>127</v>
      </c>
      <c r="G16" s="62"/>
      <c r="H16" s="62"/>
      <c r="I16" s="62"/>
      <c r="J16" s="62"/>
      <c r="K16" s="62"/>
      <c r="L16" s="62"/>
      <c r="M16" s="62"/>
      <c r="N16" s="62"/>
      <c r="O16" s="62"/>
    </row>
    <row r="17" spans="1:49" ht="15.75" x14ac:dyDescent="0.25">
      <c r="A17" s="1"/>
      <c r="B17" s="61"/>
      <c r="C17" s="1"/>
      <c r="D17" s="62"/>
      <c r="E17" s="62"/>
      <c r="F17" s="229">
        <f>ROUND(+F18*1,0)</f>
        <v>29</v>
      </c>
      <c r="G17" s="230" t="s">
        <v>96</v>
      </c>
      <c r="H17" s="231"/>
      <c r="I17" s="62"/>
      <c r="J17" s="62"/>
      <c r="K17" s="62"/>
      <c r="L17" s="62"/>
      <c r="M17" s="62"/>
      <c r="N17" s="62"/>
      <c r="O17" s="62"/>
    </row>
    <row r="18" spans="1:49" x14ac:dyDescent="0.25">
      <c r="A18" s="1"/>
      <c r="B18" s="64"/>
      <c r="C18" s="1"/>
      <c r="D18" s="65"/>
      <c r="E18" s="65"/>
      <c r="F18" s="229">
        <v>29</v>
      </c>
      <c r="G18" s="65"/>
      <c r="H18" s="1"/>
      <c r="I18" s="1"/>
      <c r="J18" s="1"/>
      <c r="K18" s="1"/>
      <c r="L18" s="1"/>
      <c r="M18" s="1"/>
      <c r="N18" s="1"/>
      <c r="O18" s="1"/>
    </row>
    <row r="19" spans="1:49" x14ac:dyDescent="0.25">
      <c r="A19" s="1"/>
      <c r="B19" s="64"/>
      <c r="C19" s="1"/>
      <c r="D19" s="65" t="s">
        <v>1</v>
      </c>
      <c r="E19" s="1"/>
      <c r="F19" s="232">
        <v>10000</v>
      </c>
      <c r="G19" s="230" t="s">
        <v>78</v>
      </c>
      <c r="H19" s="67"/>
      <c r="I19" s="1"/>
      <c r="J19" s="67"/>
      <c r="K19" s="233"/>
      <c r="L19" s="67"/>
      <c r="M19" s="1"/>
      <c r="N19" s="233"/>
      <c r="O19" s="1"/>
      <c r="S19" s="234"/>
    </row>
    <row r="20" spans="1:49" x14ac:dyDescent="0.25">
      <c r="A20" s="1"/>
      <c r="B20" s="64"/>
      <c r="C20" s="1"/>
      <c r="D20" s="68"/>
      <c r="E20" s="68"/>
      <c r="F20" s="510" t="s">
        <v>105</v>
      </c>
      <c r="G20" s="511"/>
      <c r="H20" s="512"/>
      <c r="I20" s="1"/>
      <c r="J20" s="510" t="s">
        <v>104</v>
      </c>
      <c r="K20" s="511"/>
      <c r="L20" s="512"/>
      <c r="M20" s="1"/>
      <c r="N20" s="510" t="s">
        <v>61</v>
      </c>
      <c r="O20" s="512"/>
      <c r="Q20" s="506"/>
      <c r="R20" s="506"/>
      <c r="S20" s="506"/>
      <c r="T20" s="2"/>
      <c r="U20" s="506"/>
      <c r="V20" s="506"/>
      <c r="W20" s="69"/>
      <c r="X20" s="506"/>
      <c r="Y20" s="506"/>
      <c r="Z20" s="506"/>
      <c r="AA20" s="2"/>
      <c r="AB20" s="506"/>
      <c r="AC20" s="506"/>
      <c r="AD20" s="69"/>
      <c r="AE20" s="506"/>
      <c r="AF20" s="506"/>
      <c r="AG20" s="506"/>
      <c r="AH20" s="2"/>
      <c r="AI20" s="506"/>
      <c r="AJ20" s="506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</row>
    <row r="21" spans="1:49" ht="15" customHeight="1" x14ac:dyDescent="0.25">
      <c r="A21" s="1"/>
      <c r="B21" s="64"/>
      <c r="C21" s="1"/>
      <c r="D21" s="1"/>
      <c r="E21" s="70"/>
      <c r="F21" s="71" t="s">
        <v>2</v>
      </c>
      <c r="G21" s="71" t="s">
        <v>3</v>
      </c>
      <c r="H21" s="72" t="s">
        <v>4</v>
      </c>
      <c r="I21" s="1"/>
      <c r="J21" s="71" t="s">
        <v>2</v>
      </c>
      <c r="K21" s="73" t="s">
        <v>3</v>
      </c>
      <c r="L21" s="72" t="s">
        <v>4</v>
      </c>
      <c r="M21" s="1"/>
      <c r="N21" s="502" t="s">
        <v>62</v>
      </c>
      <c r="O21" s="504" t="s">
        <v>63</v>
      </c>
      <c r="Q21" s="270"/>
      <c r="R21" s="270"/>
      <c r="S21" s="270"/>
      <c r="T21" s="2"/>
      <c r="U21" s="501"/>
      <c r="V21" s="501"/>
      <c r="W21" s="69"/>
      <c r="X21" s="270"/>
      <c r="Y21" s="270"/>
      <c r="Z21" s="270"/>
      <c r="AA21" s="2"/>
      <c r="AB21" s="501"/>
      <c r="AC21" s="501"/>
      <c r="AD21" s="69"/>
      <c r="AE21" s="270"/>
      <c r="AF21" s="270"/>
      <c r="AG21" s="270"/>
      <c r="AH21" s="2"/>
      <c r="AI21" s="501"/>
      <c r="AJ21" s="501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</row>
    <row r="22" spans="1:49" x14ac:dyDescent="0.25">
      <c r="A22" s="1"/>
      <c r="B22" s="64"/>
      <c r="C22" s="1"/>
      <c r="D22" s="1"/>
      <c r="E22" s="70"/>
      <c r="F22" s="75" t="s">
        <v>79</v>
      </c>
      <c r="G22" s="75"/>
      <c r="H22" s="76" t="s">
        <v>79</v>
      </c>
      <c r="I22" s="1"/>
      <c r="J22" s="75" t="s">
        <v>79</v>
      </c>
      <c r="K22" s="76"/>
      <c r="L22" s="76" t="s">
        <v>79</v>
      </c>
      <c r="M22" s="1"/>
      <c r="N22" s="503"/>
      <c r="O22" s="505"/>
      <c r="Q22" s="77"/>
      <c r="R22" s="77"/>
      <c r="S22" s="77"/>
      <c r="T22" s="2"/>
      <c r="U22" s="514"/>
      <c r="V22" s="514"/>
      <c r="W22" s="69"/>
      <c r="X22" s="77"/>
      <c r="Y22" s="77"/>
      <c r="Z22" s="77"/>
      <c r="AA22" s="2"/>
      <c r="AB22" s="514"/>
      <c r="AC22" s="514"/>
      <c r="AD22" s="69"/>
      <c r="AE22" s="77"/>
      <c r="AF22" s="77"/>
      <c r="AG22" s="77"/>
      <c r="AH22" s="2"/>
      <c r="AI22" s="514"/>
      <c r="AJ22" s="514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</row>
    <row r="23" spans="1:49" x14ac:dyDescent="0.25">
      <c r="A23" s="7" t="s">
        <v>15</v>
      </c>
      <c r="B23" s="271" t="str">
        <f>IF(Rates!D239=$A$23,Rates!B239," ")</f>
        <v>Service Charge</v>
      </c>
      <c r="C23" s="78"/>
      <c r="D23" s="271" t="str">
        <f>IF(Rates!D239=$A$23,Rates!E239," ")</f>
        <v>connection</v>
      </c>
      <c r="E23" s="79"/>
      <c r="F23" s="80">
        <f>IF(Rates!$J$1="BRT 2018",Rates!J239," ")</f>
        <v>2.04</v>
      </c>
      <c r="G23" s="279">
        <v>168</v>
      </c>
      <c r="H23" s="82">
        <f t="shared" ref="H23:H35" si="0">G23*F23</f>
        <v>342.72</v>
      </c>
      <c r="I23" s="83"/>
      <c r="J23" s="490">
        <f>IF(Rates!$L$1="E+ 2019",Rates!L239," ")</f>
        <v>2.8483000000000001</v>
      </c>
      <c r="K23" s="279">
        <f>G23</f>
        <v>168</v>
      </c>
      <c r="L23" s="82">
        <f t="shared" ref="L23:L44" si="1">K23*J23</f>
        <v>478.51440000000002</v>
      </c>
      <c r="M23" s="83"/>
      <c r="N23" s="84">
        <f t="shared" ref="N23:N60" si="2">L23-H23</f>
        <v>135.7944</v>
      </c>
      <c r="O23" s="85">
        <f>IF(OR(H23=0,L23=0),"",(N23/H23))</f>
        <v>0.39622549019607839</v>
      </c>
      <c r="Q23" s="86"/>
      <c r="R23" s="87"/>
      <c r="S23" s="88"/>
      <c r="T23" s="87"/>
      <c r="U23" s="89"/>
      <c r="V23" s="90"/>
      <c r="W23" s="69"/>
      <c r="X23" s="86"/>
      <c r="Y23" s="87"/>
      <c r="Z23" s="88"/>
      <c r="AA23" s="87"/>
      <c r="AB23" s="89"/>
      <c r="AC23" s="90"/>
      <c r="AD23" s="69"/>
      <c r="AE23" s="86"/>
      <c r="AF23" s="87"/>
      <c r="AG23" s="88"/>
      <c r="AH23" s="87"/>
      <c r="AI23" s="89"/>
      <c r="AJ23" s="90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</row>
    <row r="24" spans="1:49" x14ac:dyDescent="0.25">
      <c r="A24" s="1"/>
      <c r="B24" s="271" t="str">
        <f>IF(Rates!D240=$A$23,Rates!B240," ")</f>
        <v>Rate Rider ACM</v>
      </c>
      <c r="C24" s="78"/>
      <c r="D24" s="271" t="str">
        <f>IF(Rates!D240=$A$23,Rates!E240," ")</f>
        <v>connection</v>
      </c>
      <c r="E24" s="79"/>
      <c r="F24" s="80">
        <f>IF(Rates!$J$1="BRT 2018",Rates!J240," ")</f>
        <v>0</v>
      </c>
      <c r="G24" s="108">
        <f>IF(D24="customer",1,IF(D24="kWh",$F$19,IF(D24="kW",$F$17,$G$23)))</f>
        <v>168</v>
      </c>
      <c r="H24" s="82">
        <f t="shared" si="0"/>
        <v>0</v>
      </c>
      <c r="I24" s="83"/>
      <c r="J24" s="474">
        <f>IF(Rates!$L$1="E+ 2019",Rates!L240," ")</f>
        <v>0</v>
      </c>
      <c r="K24" s="108">
        <f>IF(D24="customer",1,IF(D24="kWh",$F$19,IF(D24="kW",$F$17,$G$23)))</f>
        <v>168</v>
      </c>
      <c r="L24" s="82">
        <f t="shared" si="1"/>
        <v>0</v>
      </c>
      <c r="M24" s="83"/>
      <c r="N24" s="84">
        <f t="shared" si="2"/>
        <v>0</v>
      </c>
      <c r="O24" s="85" t="str">
        <f t="shared" ref="O24:O35" si="3">IF(OR(H24=0,L24=0),"",(N24/H24))</f>
        <v/>
      </c>
      <c r="Q24" s="86"/>
      <c r="R24" s="87"/>
      <c r="S24" s="88"/>
      <c r="T24" s="87"/>
      <c r="U24" s="89"/>
      <c r="V24" s="90"/>
      <c r="W24" s="69"/>
      <c r="X24" s="86"/>
      <c r="Y24" s="87"/>
      <c r="Z24" s="88"/>
      <c r="AA24" s="87"/>
      <c r="AB24" s="89"/>
      <c r="AC24" s="90"/>
      <c r="AD24" s="69"/>
      <c r="AE24" s="86"/>
      <c r="AF24" s="87"/>
      <c r="AG24" s="88"/>
      <c r="AH24" s="87"/>
      <c r="AI24" s="89"/>
      <c r="AJ24" s="90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</row>
    <row r="25" spans="1:49" s="94" customFormat="1" x14ac:dyDescent="0.25">
      <c r="A25" s="3"/>
      <c r="B25" s="271" t="str">
        <f>IF(Rates!D241=$A$23,Rates!B241," ")</f>
        <v>Distribution Volumetric Rate</v>
      </c>
      <c r="C25" s="78"/>
      <c r="D25" s="271" t="str">
        <f>IF(Rates!D241=$A$23,Rates!E241," ")</f>
        <v>kW</v>
      </c>
      <c r="E25" s="79"/>
      <c r="F25" s="235">
        <f>IF(Rates!$J$1="BRT 2018",Rates!J241," ")</f>
        <v>30.502800000000001</v>
      </c>
      <c r="G25" s="108">
        <f t="shared" ref="G25:G33" si="4">IF(D25="customer",1,IF(D25="kWh",$F$19,IF(D25="kW",$F$17,$G$23)))</f>
        <v>29</v>
      </c>
      <c r="H25" s="82">
        <f t="shared" si="0"/>
        <v>884.58119999999997</v>
      </c>
      <c r="I25" s="91"/>
      <c r="J25" s="474">
        <f>IF(Rates!$L$1="E+ 2019",Rates!L241," ")</f>
        <v>42.588200000000001</v>
      </c>
      <c r="K25" s="108">
        <f t="shared" ref="K25:K33" si="5">IF(D25="customer",1,IF(D25="kWh",$F$19,IF(D25="kW",$F$17,$G$23)))</f>
        <v>29</v>
      </c>
      <c r="L25" s="82">
        <f t="shared" si="1"/>
        <v>1235.0578</v>
      </c>
      <c r="M25" s="91"/>
      <c r="N25" s="84">
        <f t="shared" si="2"/>
        <v>350.47660000000008</v>
      </c>
      <c r="O25" s="85">
        <f t="shared" si="3"/>
        <v>0.39620624991804043</v>
      </c>
      <c r="Q25" s="95"/>
      <c r="R25" s="87"/>
      <c r="S25" s="88"/>
      <c r="T25" s="87"/>
      <c r="U25" s="89"/>
      <c r="V25" s="90"/>
      <c r="W25" s="69"/>
      <c r="X25" s="95"/>
      <c r="Y25" s="87"/>
      <c r="Z25" s="88"/>
      <c r="AA25" s="87"/>
      <c r="AB25" s="89"/>
      <c r="AC25" s="90"/>
      <c r="AD25" s="69"/>
      <c r="AE25" s="95"/>
      <c r="AF25" s="87"/>
      <c r="AG25" s="88"/>
      <c r="AH25" s="87"/>
      <c r="AI25" s="89"/>
      <c r="AJ25" s="90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</row>
    <row r="26" spans="1:49" s="94" customFormat="1" x14ac:dyDescent="0.25">
      <c r="A26" s="3"/>
      <c r="B26" s="271" t="str">
        <f>IF(Rates!D242=$A$23,Rates!B242," ")</f>
        <v>Rate Rider ACM</v>
      </c>
      <c r="C26" s="78"/>
      <c r="D26" s="271" t="str">
        <f>IF(Rates!D242=$A$23,Rates!E242," ")</f>
        <v>kW</v>
      </c>
      <c r="E26" s="79"/>
      <c r="F26" s="80">
        <f>IF(Rates!$J$1="BRT 2018",Rates!J242," ")</f>
        <v>0</v>
      </c>
      <c r="G26" s="108">
        <f t="shared" si="4"/>
        <v>29</v>
      </c>
      <c r="H26" s="82">
        <f t="shared" si="0"/>
        <v>0</v>
      </c>
      <c r="I26" s="91"/>
      <c r="J26" s="474">
        <f>IF(Rates!$L$1="E+ 2019",Rates!L242," ")</f>
        <v>0</v>
      </c>
      <c r="K26" s="108">
        <f t="shared" si="5"/>
        <v>29</v>
      </c>
      <c r="L26" s="82">
        <f t="shared" si="1"/>
        <v>0</v>
      </c>
      <c r="M26" s="91"/>
      <c r="N26" s="84">
        <f t="shared" si="2"/>
        <v>0</v>
      </c>
      <c r="O26" s="85" t="str">
        <f t="shared" si="3"/>
        <v/>
      </c>
      <c r="Q26" s="95"/>
      <c r="R26" s="87"/>
      <c r="S26" s="88"/>
      <c r="T26" s="87"/>
      <c r="U26" s="89"/>
      <c r="V26" s="90"/>
      <c r="W26" s="69"/>
      <c r="X26" s="95"/>
      <c r="Y26" s="87"/>
      <c r="Z26" s="88"/>
      <c r="AA26" s="87"/>
      <c r="AB26" s="89"/>
      <c r="AC26" s="90"/>
      <c r="AD26" s="69"/>
      <c r="AE26" s="95"/>
      <c r="AF26" s="87"/>
      <c r="AG26" s="88"/>
      <c r="AH26" s="87"/>
      <c r="AI26" s="89"/>
      <c r="AJ26" s="90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</row>
    <row r="27" spans="1:49" x14ac:dyDescent="0.25">
      <c r="A27" s="3"/>
      <c r="B27" s="271" t="str">
        <f>IF(Rates!D243=$A$23,Rates!B243," ")</f>
        <v>Rate Rider for Disposition of Account 1575 and 1576</v>
      </c>
      <c r="C27" s="78"/>
      <c r="D27" s="271" t="str">
        <f>IF(Rates!D243=$A$23,Rates!E243," ")</f>
        <v>connection</v>
      </c>
      <c r="E27" s="79"/>
      <c r="F27" s="80">
        <f>IF(Rates!$J$1="BRT 2018",Rates!J243," ")</f>
        <v>0</v>
      </c>
      <c r="G27" s="108">
        <f t="shared" si="4"/>
        <v>168</v>
      </c>
      <c r="H27" s="82">
        <f t="shared" si="0"/>
        <v>0</v>
      </c>
      <c r="I27" s="83"/>
      <c r="J27" s="474">
        <f>IF(Rates!$L$1="E+ 2019",Rates!L243," ")</f>
        <v>0</v>
      </c>
      <c r="K27" s="108">
        <f t="shared" si="5"/>
        <v>168</v>
      </c>
      <c r="L27" s="82">
        <f t="shared" si="1"/>
        <v>0</v>
      </c>
      <c r="M27" s="83"/>
      <c r="N27" s="84">
        <f t="shared" si="2"/>
        <v>0</v>
      </c>
      <c r="O27" s="85" t="str">
        <f t="shared" si="3"/>
        <v/>
      </c>
      <c r="Q27" s="86"/>
      <c r="R27" s="87"/>
      <c r="S27" s="88"/>
      <c r="T27" s="87"/>
      <c r="U27" s="89"/>
      <c r="V27" s="90"/>
      <c r="W27" s="69"/>
      <c r="X27" s="86"/>
      <c r="Y27" s="87"/>
      <c r="Z27" s="88"/>
      <c r="AA27" s="87"/>
      <c r="AB27" s="89"/>
      <c r="AC27" s="90"/>
      <c r="AD27" s="69"/>
      <c r="AE27" s="86"/>
      <c r="AF27" s="87"/>
      <c r="AG27" s="88"/>
      <c r="AH27" s="87"/>
      <c r="AI27" s="89"/>
      <c r="AJ27" s="90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</row>
    <row r="28" spans="1:49" x14ac:dyDescent="0.25">
      <c r="A28" s="3"/>
      <c r="B28" s="271" t="str">
        <f>IF(Rates!D244=$A$23,Rates!B244," ")</f>
        <v>Rate Rider for Disposition of Account 1575 and 1576</v>
      </c>
      <c r="C28" s="78"/>
      <c r="D28" s="271" t="str">
        <f>IF(Rates!D244=$A$23,Rates!E244," ")</f>
        <v>kW</v>
      </c>
      <c r="E28" s="79"/>
      <c r="F28" s="80">
        <f>IF(Rates!$J$1="BRT 2018",Rates!J244," ")</f>
        <v>0</v>
      </c>
      <c r="G28" s="108">
        <f t="shared" si="4"/>
        <v>29</v>
      </c>
      <c r="H28" s="82">
        <f t="shared" si="0"/>
        <v>0</v>
      </c>
      <c r="I28" s="83"/>
      <c r="J28" s="474">
        <f>IF(Rates!$L$1="E+ 2019",Rates!L244," ")</f>
        <v>-0.11897132974961576</v>
      </c>
      <c r="K28" s="108">
        <f t="shared" si="5"/>
        <v>29</v>
      </c>
      <c r="L28" s="82">
        <f t="shared" si="1"/>
        <v>-3.450168562738857</v>
      </c>
      <c r="M28" s="83"/>
      <c r="N28" s="84">
        <f t="shared" si="2"/>
        <v>-3.450168562738857</v>
      </c>
      <c r="O28" s="85" t="str">
        <f t="shared" si="3"/>
        <v/>
      </c>
      <c r="Q28" s="119"/>
      <c r="R28" s="87"/>
      <c r="S28" s="88"/>
      <c r="T28" s="87"/>
      <c r="U28" s="89"/>
      <c r="V28" s="90"/>
      <c r="W28" s="69"/>
      <c r="X28" s="119"/>
      <c r="Y28" s="87"/>
      <c r="Z28" s="88"/>
      <c r="AA28" s="87"/>
      <c r="AB28" s="89"/>
      <c r="AC28" s="90"/>
      <c r="AD28" s="69"/>
      <c r="AE28" s="119"/>
      <c r="AF28" s="87"/>
      <c r="AG28" s="88"/>
      <c r="AH28" s="87"/>
      <c r="AI28" s="89"/>
      <c r="AJ28" s="90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</row>
    <row r="29" spans="1:49" x14ac:dyDescent="0.25">
      <c r="A29" s="3"/>
      <c r="B29" s="271" t="str">
        <f>IF(Rates!D245=$A$23,Rates!B245," ")</f>
        <v>Rate Rider for Disposition of Account 1575 and 1576</v>
      </c>
      <c r="C29" s="78"/>
      <c r="D29" s="271" t="str">
        <f>IF(Rates!D245=$A$23,Rates!E245," ")</f>
        <v>connection</v>
      </c>
      <c r="E29" s="79"/>
      <c r="F29" s="80">
        <f>IF(Rates!$J$1="BRT 2018",Rates!J245," ")</f>
        <v>0</v>
      </c>
      <c r="G29" s="108">
        <f t="shared" si="4"/>
        <v>168</v>
      </c>
      <c r="H29" s="82">
        <f t="shared" si="0"/>
        <v>0</v>
      </c>
      <c r="I29" s="83"/>
      <c r="J29" s="474">
        <f>IF(Rates!$L$1="E+ 2019",Rates!L245," ")</f>
        <v>0</v>
      </c>
      <c r="K29" s="108">
        <f t="shared" si="5"/>
        <v>168</v>
      </c>
      <c r="L29" s="82">
        <f t="shared" si="1"/>
        <v>0</v>
      </c>
      <c r="M29" s="83"/>
      <c r="N29" s="84">
        <f t="shared" si="2"/>
        <v>0</v>
      </c>
      <c r="O29" s="85" t="str">
        <f t="shared" si="3"/>
        <v/>
      </c>
      <c r="Q29" s="119"/>
      <c r="R29" s="87"/>
      <c r="S29" s="88"/>
      <c r="T29" s="87"/>
      <c r="U29" s="89"/>
      <c r="V29" s="90"/>
      <c r="W29" s="69"/>
      <c r="X29" s="119"/>
      <c r="Y29" s="87"/>
      <c r="Z29" s="88"/>
      <c r="AA29" s="87"/>
      <c r="AB29" s="89"/>
      <c r="AC29" s="90"/>
      <c r="AD29" s="69"/>
      <c r="AE29" s="119"/>
      <c r="AF29" s="87"/>
      <c r="AG29" s="88"/>
      <c r="AH29" s="87"/>
      <c r="AI29" s="89"/>
      <c r="AJ29" s="90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</row>
    <row r="30" spans="1:49" s="94" customFormat="1" x14ac:dyDescent="0.25">
      <c r="A30" s="99"/>
      <c r="B30" s="271" t="str">
        <f>IF(Rates!D246=$A$23,Rates!B246," ")</f>
        <v>Rate Rider for Disposition of Account 1575 and 1576</v>
      </c>
      <c r="C30" s="78"/>
      <c r="D30" s="271" t="str">
        <f>IF(Rates!D246=$A$23,Rates!E246," ")</f>
        <v>kW</v>
      </c>
      <c r="E30" s="79"/>
      <c r="F30" s="80">
        <f>IF(Rates!$J$1="BRT 2018",Rates!J246," ")</f>
        <v>0</v>
      </c>
      <c r="G30" s="108">
        <f t="shared" si="4"/>
        <v>29</v>
      </c>
      <c r="H30" s="82">
        <f t="shared" si="0"/>
        <v>0</v>
      </c>
      <c r="I30" s="91"/>
      <c r="J30" s="474">
        <f>IF(Rates!$L$1="E+ 2019",Rates!L246," ")</f>
        <v>0</v>
      </c>
      <c r="K30" s="108">
        <f t="shared" si="5"/>
        <v>29</v>
      </c>
      <c r="L30" s="82">
        <f t="shared" si="1"/>
        <v>0</v>
      </c>
      <c r="M30" s="91"/>
      <c r="N30" s="84">
        <f t="shared" si="2"/>
        <v>0</v>
      </c>
      <c r="O30" s="85" t="str">
        <f t="shared" si="3"/>
        <v/>
      </c>
      <c r="Q30" s="119"/>
      <c r="R30" s="87"/>
      <c r="S30" s="88"/>
      <c r="T30" s="87"/>
      <c r="U30" s="89"/>
      <c r="V30" s="90"/>
      <c r="W30" s="69"/>
      <c r="X30" s="119"/>
      <c r="Y30" s="87"/>
      <c r="Z30" s="88"/>
      <c r="AA30" s="87"/>
      <c r="AB30" s="89"/>
      <c r="AC30" s="90"/>
      <c r="AD30" s="69"/>
      <c r="AE30" s="119"/>
      <c r="AF30" s="87"/>
      <c r="AG30" s="88"/>
      <c r="AH30" s="87"/>
      <c r="AI30" s="89"/>
      <c r="AJ30" s="90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</row>
    <row r="31" spans="1:49" s="94" customFormat="1" x14ac:dyDescent="0.25">
      <c r="A31" s="3"/>
      <c r="B31" s="271" t="str">
        <f>IF(Rates!D247=$A$23,Rates!B247," ")</f>
        <v>Rate Rider for LRAMVA</v>
      </c>
      <c r="C31" s="78"/>
      <c r="D31" s="271" t="str">
        <f>IF(Rates!D247=$A$23,Rates!E247," ")</f>
        <v>kW</v>
      </c>
      <c r="E31" s="79"/>
      <c r="F31" s="80">
        <f>IF(Rates!$J$1="BRT 2018",Rates!J247," ")</f>
        <v>0</v>
      </c>
      <c r="G31" s="108">
        <f t="shared" si="4"/>
        <v>29</v>
      </c>
      <c r="H31" s="82">
        <f t="shared" si="0"/>
        <v>0</v>
      </c>
      <c r="I31" s="91"/>
      <c r="J31" s="474">
        <f>IF(Rates!$L$1="E+ 2019",Rates!L247," ")</f>
        <v>0</v>
      </c>
      <c r="K31" s="108">
        <f t="shared" si="5"/>
        <v>29</v>
      </c>
      <c r="L31" s="82">
        <f t="shared" si="1"/>
        <v>0</v>
      </c>
      <c r="M31" s="91"/>
      <c r="N31" s="84">
        <f t="shared" si="2"/>
        <v>0</v>
      </c>
      <c r="O31" s="85" t="str">
        <f t="shared" si="3"/>
        <v/>
      </c>
      <c r="Q31" s="119"/>
      <c r="R31" s="87"/>
      <c r="S31" s="88"/>
      <c r="T31" s="87"/>
      <c r="U31" s="89"/>
      <c r="V31" s="90"/>
      <c r="W31" s="69"/>
      <c r="X31" s="119"/>
      <c r="Y31" s="87"/>
      <c r="Z31" s="88"/>
      <c r="AA31" s="87"/>
      <c r="AB31" s="89"/>
      <c r="AC31" s="90"/>
      <c r="AD31" s="69"/>
      <c r="AE31" s="119"/>
      <c r="AF31" s="87"/>
      <c r="AG31" s="88"/>
      <c r="AH31" s="87"/>
      <c r="AI31" s="89"/>
      <c r="AJ31" s="90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</row>
    <row r="32" spans="1:49" x14ac:dyDescent="0.25">
      <c r="A32" s="3"/>
      <c r="B32" s="271" t="str">
        <f>IF(Rates!D248=$A$23,Rates!B248," ")</f>
        <v>Other Fixed</v>
      </c>
      <c r="C32" s="78"/>
      <c r="D32" s="271" t="str">
        <f>IF(Rates!D248=$A$23,Rates!E248," ")</f>
        <v>connection</v>
      </c>
      <c r="E32" s="79"/>
      <c r="F32" s="80">
        <f>IF(Rates!$J$1="BRT 2018",Rates!J248," ")</f>
        <v>0</v>
      </c>
      <c r="G32" s="108">
        <f t="shared" si="4"/>
        <v>168</v>
      </c>
      <c r="H32" s="82">
        <f t="shared" si="0"/>
        <v>0</v>
      </c>
      <c r="I32" s="83"/>
      <c r="J32" s="474">
        <f>IF(Rates!$L$1="E+ 2019",Rates!L248," ")</f>
        <v>0</v>
      </c>
      <c r="K32" s="108">
        <f t="shared" si="5"/>
        <v>168</v>
      </c>
      <c r="L32" s="82">
        <f t="shared" si="1"/>
        <v>0</v>
      </c>
      <c r="M32" s="83"/>
      <c r="N32" s="84">
        <f t="shared" si="2"/>
        <v>0</v>
      </c>
      <c r="O32" s="85" t="str">
        <f t="shared" si="3"/>
        <v/>
      </c>
      <c r="Q32" s="98"/>
      <c r="R32" s="87"/>
      <c r="S32" s="88"/>
      <c r="T32" s="87"/>
      <c r="U32" s="89"/>
      <c r="V32" s="90"/>
      <c r="W32" s="69"/>
      <c r="X32" s="98"/>
      <c r="Y32" s="87"/>
      <c r="Z32" s="88"/>
      <c r="AA32" s="87"/>
      <c r="AB32" s="89"/>
      <c r="AC32" s="90"/>
      <c r="AD32" s="69"/>
      <c r="AE32" s="98"/>
      <c r="AF32" s="87"/>
      <c r="AG32" s="88"/>
      <c r="AH32" s="87"/>
      <c r="AI32" s="89"/>
      <c r="AJ32" s="90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</row>
    <row r="33" spans="1:49" x14ac:dyDescent="0.25">
      <c r="A33" s="3"/>
      <c r="B33" s="271" t="str">
        <f>IF(Rates!D249=$A$23,Rates!B249," ")</f>
        <v>Other Volumetric</v>
      </c>
      <c r="C33" s="78"/>
      <c r="D33" s="271" t="str">
        <f>IF(Rates!D249=$A$23,Rates!E249," ")</f>
        <v>kW</v>
      </c>
      <c r="E33" s="79"/>
      <c r="F33" s="80">
        <f>IF(Rates!$J$1="BRT 2018",Rates!J249," ")</f>
        <v>0</v>
      </c>
      <c r="G33" s="108">
        <f t="shared" si="4"/>
        <v>29</v>
      </c>
      <c r="H33" s="82">
        <f t="shared" si="0"/>
        <v>0</v>
      </c>
      <c r="I33" s="83"/>
      <c r="J33" s="474">
        <f>IF(Rates!$L$1="E+ 2019",Rates!L249," ")</f>
        <v>0</v>
      </c>
      <c r="K33" s="108">
        <f t="shared" si="5"/>
        <v>29</v>
      </c>
      <c r="L33" s="82">
        <f t="shared" si="1"/>
        <v>0</v>
      </c>
      <c r="M33" s="83"/>
      <c r="N33" s="84">
        <f t="shared" si="2"/>
        <v>0</v>
      </c>
      <c r="O33" s="85" t="str">
        <f t="shared" si="3"/>
        <v/>
      </c>
      <c r="Q33" s="98"/>
      <c r="R33" s="87"/>
      <c r="S33" s="88"/>
      <c r="T33" s="87"/>
      <c r="U33" s="89"/>
      <c r="V33" s="90"/>
      <c r="W33" s="69"/>
      <c r="X33" s="98"/>
      <c r="Y33" s="87"/>
      <c r="Z33" s="88"/>
      <c r="AA33" s="87"/>
      <c r="AB33" s="89"/>
      <c r="AC33" s="90"/>
      <c r="AD33" s="69"/>
      <c r="AE33" s="98"/>
      <c r="AF33" s="87"/>
      <c r="AG33" s="88"/>
      <c r="AH33" s="87"/>
      <c r="AI33" s="89"/>
      <c r="AJ33" s="90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</row>
    <row r="34" spans="1:49" x14ac:dyDescent="0.25">
      <c r="A34" s="3"/>
      <c r="B34" s="271" t="str">
        <f>IF(Rates!D250=$A$23,Rates!B250," ")</f>
        <v>Rate Rider for gain on Sale of Property</v>
      </c>
      <c r="C34" s="78"/>
      <c r="D34" s="271" t="str">
        <f>IF(Rates!D250=$A$23,Rates!E250," ")</f>
        <v>kW</v>
      </c>
      <c r="E34" s="79"/>
      <c r="F34" s="80">
        <f>IF(Rates!$J$1="BRT 2018",Rates!J250," ")</f>
        <v>0</v>
      </c>
      <c r="G34" s="108">
        <f t="shared" ref="G34" si="6">IF(D34="customer",1,IF(D34="kWh",$F$19,IF(D34="kW",$F$17,$G$23)))</f>
        <v>29</v>
      </c>
      <c r="H34" s="82">
        <f t="shared" ref="H34" si="7">G34*F34</f>
        <v>0</v>
      </c>
      <c r="I34" s="83"/>
      <c r="J34" s="474">
        <f>IF(Rates!$L$1="E+ 2019",Rates!L250," ")</f>
        <v>-9.1303355586818971E-2</v>
      </c>
      <c r="K34" s="108">
        <f t="shared" ref="K34" si="8">IF(D34="customer",1,IF(D34="kWh",$F$19,IF(D34="kW",$F$17,$G$23)))</f>
        <v>29</v>
      </c>
      <c r="L34" s="82">
        <f t="shared" ref="L34" si="9">K34*J34</f>
        <v>-2.64779731201775</v>
      </c>
      <c r="M34" s="83"/>
      <c r="N34" s="84">
        <f t="shared" ref="N34" si="10">L34-H34</f>
        <v>-2.64779731201775</v>
      </c>
      <c r="O34" s="85" t="str">
        <f t="shared" ref="O34" si="11">IF(OR(H34=0,L34=0),"",(N34/H34))</f>
        <v/>
      </c>
      <c r="Q34" s="98"/>
      <c r="R34" s="87"/>
      <c r="S34" s="88"/>
      <c r="T34" s="87"/>
      <c r="U34" s="89"/>
      <c r="V34" s="90"/>
      <c r="W34" s="69"/>
      <c r="X34" s="98"/>
      <c r="Y34" s="87"/>
      <c r="Z34" s="88"/>
      <c r="AA34" s="87"/>
      <c r="AB34" s="89"/>
      <c r="AC34" s="90"/>
      <c r="AD34" s="69"/>
      <c r="AE34" s="98"/>
      <c r="AF34" s="87"/>
      <c r="AG34" s="88"/>
      <c r="AH34" s="87"/>
      <c r="AI34" s="89"/>
      <c r="AJ34" s="90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</row>
    <row r="35" spans="1:49" hidden="1" x14ac:dyDescent="0.25">
      <c r="A35" s="3"/>
      <c r="B35" s="271"/>
      <c r="C35" s="78"/>
      <c r="D35" s="271"/>
      <c r="E35" s="79"/>
      <c r="F35" s="80"/>
      <c r="G35" s="108"/>
      <c r="H35" s="82">
        <f t="shared" si="0"/>
        <v>0</v>
      </c>
      <c r="I35" s="83"/>
      <c r="J35" s="474"/>
      <c r="K35" s="108"/>
      <c r="L35" s="82">
        <f t="shared" si="1"/>
        <v>0</v>
      </c>
      <c r="M35" s="83"/>
      <c r="N35" s="84">
        <f t="shared" si="2"/>
        <v>0</v>
      </c>
      <c r="O35" s="85" t="str">
        <f t="shared" si="3"/>
        <v/>
      </c>
      <c r="Q35" s="98"/>
      <c r="R35" s="87"/>
      <c r="S35" s="88"/>
      <c r="T35" s="87"/>
      <c r="U35" s="89"/>
      <c r="V35" s="90"/>
      <c r="W35" s="69"/>
      <c r="X35" s="98"/>
      <c r="Y35" s="87"/>
      <c r="Z35" s="88"/>
      <c r="AA35" s="87"/>
      <c r="AB35" s="89"/>
      <c r="AC35" s="90"/>
      <c r="AD35" s="69"/>
      <c r="AE35" s="98"/>
      <c r="AF35" s="87"/>
      <c r="AG35" s="88"/>
      <c r="AH35" s="87"/>
      <c r="AI35" s="89"/>
      <c r="AJ35" s="90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</row>
    <row r="36" spans="1:49" x14ac:dyDescent="0.25">
      <c r="A36" s="3"/>
      <c r="B36" s="109" t="s">
        <v>64</v>
      </c>
      <c r="C36" s="110"/>
      <c r="D36" s="110"/>
      <c r="E36" s="110"/>
      <c r="F36" s="111"/>
      <c r="G36" s="112"/>
      <c r="H36" s="113">
        <f>SUM(H23:H35)</f>
        <v>1227.3011999999999</v>
      </c>
      <c r="I36" s="114"/>
      <c r="J36" s="115"/>
      <c r="K36" s="116"/>
      <c r="L36" s="113">
        <f>SUM(L23:L35)</f>
        <v>1707.4742341252436</v>
      </c>
      <c r="M36" s="114"/>
      <c r="N36" s="117">
        <f t="shared" si="2"/>
        <v>480.1730341252437</v>
      </c>
      <c r="O36" s="118">
        <f>IF(OR(H36=0, L36=0),"",(N36/H36))</f>
        <v>0.39124302504164726</v>
      </c>
      <c r="Q36" s="119"/>
      <c r="R36" s="120"/>
      <c r="S36" s="88"/>
      <c r="T36" s="87"/>
      <c r="U36" s="121"/>
      <c r="V36" s="122"/>
      <c r="W36" s="69"/>
      <c r="X36" s="119"/>
      <c r="Y36" s="120"/>
      <c r="Z36" s="88"/>
      <c r="AA36" s="87"/>
      <c r="AB36" s="121"/>
      <c r="AC36" s="122"/>
      <c r="AD36" s="69"/>
      <c r="AE36" s="119"/>
      <c r="AF36" s="120"/>
      <c r="AG36" s="88"/>
      <c r="AH36" s="87"/>
      <c r="AI36" s="121"/>
      <c r="AJ36" s="122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</row>
    <row r="37" spans="1:49" x14ac:dyDescent="0.25">
      <c r="A37" s="5" t="s">
        <v>18</v>
      </c>
      <c r="B37" s="271" t="str">
        <f>IF(Rates!D251=$A$37,Rates!B251," ")</f>
        <v>Low Voltage Service Rate</v>
      </c>
      <c r="C37" s="78"/>
      <c r="D37" s="271" t="str">
        <f>IF(Rates!D251=$A$37,Rates!E251," ")</f>
        <v>kW</v>
      </c>
      <c r="E37" s="79"/>
      <c r="F37" s="474">
        <f>IF(Rates!$J$1="BRT 2018",Rates!J251," ")</f>
        <v>0.71919999999999995</v>
      </c>
      <c r="G37" s="108">
        <f t="shared" ref="G37" si="12">IF(D37="customer",1,IF(D37="kWh",$F$19,IF(D37="kW",$F$17,$G$23)))</f>
        <v>29</v>
      </c>
      <c r="H37" s="126">
        <f>G37*F37</f>
        <v>20.8568</v>
      </c>
      <c r="I37" s="399"/>
      <c r="J37" s="474">
        <f>IF(Rates!$L$1="E+ 2019",Rates!L251," ")</f>
        <v>8.1799999999999998E-2</v>
      </c>
      <c r="K37" s="108">
        <f t="shared" ref="K37:K45" si="13">IF(D37="customer",1,IF(D37="kWh",$F$19,IF(D37="kW",$F$17,$G$23)))</f>
        <v>29</v>
      </c>
      <c r="L37" s="82">
        <f t="shared" si="1"/>
        <v>2.3721999999999999</v>
      </c>
      <c r="M37" s="406"/>
      <c r="N37" s="84">
        <f t="shared" si="2"/>
        <v>-18.4846</v>
      </c>
      <c r="O37" s="85">
        <f t="shared" ref="O37:O44" si="14">IF(OR(H37=0,L37=0),"",(N37/H37))</f>
        <v>-0.88626251390433819</v>
      </c>
      <c r="Q37" s="119"/>
      <c r="R37" s="87"/>
      <c r="S37" s="88"/>
      <c r="T37" s="87"/>
      <c r="U37" s="89"/>
      <c r="V37" s="90"/>
      <c r="W37" s="69"/>
      <c r="X37" s="119"/>
      <c r="Y37" s="87"/>
      <c r="Z37" s="88"/>
      <c r="AA37" s="87"/>
      <c r="AB37" s="89"/>
      <c r="AC37" s="90"/>
      <c r="AD37" s="69"/>
      <c r="AE37" s="119"/>
      <c r="AF37" s="87"/>
      <c r="AG37" s="88"/>
      <c r="AH37" s="87"/>
      <c r="AI37" s="89"/>
      <c r="AJ37" s="90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</row>
    <row r="38" spans="1:49" x14ac:dyDescent="0.25">
      <c r="A38" s="1"/>
      <c r="B38" s="124" t="s">
        <v>116</v>
      </c>
      <c r="C38" s="78"/>
      <c r="D38" s="271" t="s">
        <v>13</v>
      </c>
      <c r="E38" s="79"/>
      <c r="F38" s="474">
        <v>0</v>
      </c>
      <c r="G38" s="125"/>
      <c r="H38" s="126">
        <f t="shared" ref="H38:H44" si="15">G38*F38</f>
        <v>0</v>
      </c>
      <c r="I38" s="83"/>
      <c r="J38" s="474"/>
      <c r="K38" s="125"/>
      <c r="L38" s="82">
        <f t="shared" si="1"/>
        <v>0</v>
      </c>
      <c r="M38" s="83"/>
      <c r="N38" s="84">
        <f t="shared" si="2"/>
        <v>0</v>
      </c>
      <c r="O38" s="85" t="str">
        <f t="shared" si="14"/>
        <v/>
      </c>
      <c r="Q38" s="128"/>
      <c r="R38" s="129"/>
      <c r="S38" s="88"/>
      <c r="T38" s="87"/>
      <c r="U38" s="89"/>
      <c r="V38" s="90"/>
      <c r="W38" s="69"/>
      <c r="X38" s="128"/>
      <c r="Y38" s="129"/>
      <c r="Z38" s="88"/>
      <c r="AA38" s="87"/>
      <c r="AB38" s="89"/>
      <c r="AC38" s="90"/>
      <c r="AD38" s="69"/>
      <c r="AE38" s="128"/>
      <c r="AF38" s="129"/>
      <c r="AG38" s="88"/>
      <c r="AH38" s="87"/>
      <c r="AI38" s="89"/>
      <c r="AJ38" s="90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</row>
    <row r="39" spans="1:49" x14ac:dyDescent="0.25">
      <c r="A39" s="130"/>
      <c r="B39" s="271" t="str">
        <f>IF(Rates!D252=$A$37,Rates!B252," ")</f>
        <v>Rate Rider Other Fixed</v>
      </c>
      <c r="C39" s="78"/>
      <c r="D39" s="271" t="str">
        <f>IF(Rates!D252=$A$37,Rates!E252," ")</f>
        <v>customer</v>
      </c>
      <c r="E39" s="79"/>
      <c r="F39" s="474">
        <f>IF(Rates!$J$1="BRT 2018",Rates!J252," ")</f>
        <v>0</v>
      </c>
      <c r="G39" s="108">
        <f t="shared" ref="G39:G45" si="16">IF(D39="customer",1,IF(D39="kWh",$F$19,IF(D39="kW",$F$17,$G$23)))</f>
        <v>1</v>
      </c>
      <c r="H39" s="126">
        <f t="shared" si="15"/>
        <v>0</v>
      </c>
      <c r="I39" s="83"/>
      <c r="J39" s="474">
        <f>IF(Rates!$L$1="E+ 2019",Rates!L252," ")</f>
        <v>0</v>
      </c>
      <c r="K39" s="108">
        <f t="shared" si="13"/>
        <v>1</v>
      </c>
      <c r="L39" s="82">
        <f t="shared" si="1"/>
        <v>0</v>
      </c>
      <c r="M39" s="83"/>
      <c r="N39" s="84">
        <f t="shared" si="2"/>
        <v>0</v>
      </c>
      <c r="O39" s="85" t="str">
        <f t="shared" si="14"/>
        <v/>
      </c>
      <c r="Q39" s="119"/>
      <c r="R39" s="87"/>
      <c r="S39" s="88"/>
      <c r="T39" s="87"/>
      <c r="U39" s="89"/>
      <c r="V39" s="90"/>
      <c r="W39" s="69"/>
      <c r="X39" s="119"/>
      <c r="Y39" s="87"/>
      <c r="Z39" s="88"/>
      <c r="AA39" s="87"/>
      <c r="AB39" s="89"/>
      <c r="AC39" s="90"/>
      <c r="AD39" s="69"/>
      <c r="AE39" s="119"/>
      <c r="AF39" s="87"/>
      <c r="AG39" s="88"/>
      <c r="AH39" s="87"/>
      <c r="AI39" s="89"/>
      <c r="AJ39" s="90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</row>
    <row r="40" spans="1:49" x14ac:dyDescent="0.25">
      <c r="A40" s="130"/>
      <c r="B40" s="271" t="str">
        <f>IF(Rates!D253=$A$37,Rates!B253," ")</f>
        <v>Rate Rider Other Volumetric</v>
      </c>
      <c r="C40" s="78"/>
      <c r="D40" s="271" t="str">
        <f>IF(Rates!D253=$A$37,Rates!E253," ")</f>
        <v>kW</v>
      </c>
      <c r="E40" s="79"/>
      <c r="F40" s="474">
        <f>IF(Rates!$J$1="BRT 2018",Rates!J253," ")</f>
        <v>0</v>
      </c>
      <c r="G40" s="108">
        <f t="shared" si="16"/>
        <v>29</v>
      </c>
      <c r="H40" s="126">
        <f t="shared" si="15"/>
        <v>0</v>
      </c>
      <c r="I40" s="83"/>
      <c r="J40" s="474">
        <f>IF(Rates!$L$1="E+ 2019",Rates!L253," ")</f>
        <v>2.0561799620201642</v>
      </c>
      <c r="K40" s="108">
        <f t="shared" si="13"/>
        <v>29</v>
      </c>
      <c r="L40" s="82">
        <f t="shared" si="1"/>
        <v>59.62921889858476</v>
      </c>
      <c r="M40" s="83"/>
      <c r="N40" s="84">
        <f t="shared" si="2"/>
        <v>59.62921889858476</v>
      </c>
      <c r="O40" s="85" t="str">
        <f t="shared" si="14"/>
        <v/>
      </c>
      <c r="Q40" s="119"/>
      <c r="R40" s="87"/>
      <c r="S40" s="88"/>
      <c r="T40" s="87"/>
      <c r="U40" s="89"/>
      <c r="V40" s="90"/>
      <c r="W40" s="69"/>
      <c r="X40" s="119"/>
      <c r="Y40" s="87"/>
      <c r="Z40" s="88"/>
      <c r="AA40" s="87"/>
      <c r="AB40" s="89"/>
      <c r="AC40" s="90"/>
      <c r="AD40" s="69"/>
      <c r="AE40" s="119"/>
      <c r="AF40" s="87"/>
      <c r="AG40" s="88"/>
      <c r="AH40" s="87"/>
      <c r="AI40" s="89"/>
      <c r="AJ40" s="90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</row>
    <row r="41" spans="1:49" x14ac:dyDescent="0.25">
      <c r="A41" s="130"/>
      <c r="B41" s="271" t="str">
        <f>IF(Rates!D254=$A$37,Rates!B254," ")</f>
        <v>Rate Rider Other Volumetric</v>
      </c>
      <c r="C41" s="78"/>
      <c r="D41" s="271" t="str">
        <f>IF(Rates!D254=$A$37,Rates!E254," ")</f>
        <v>kW</v>
      </c>
      <c r="E41" s="79"/>
      <c r="F41" s="474">
        <f>IF(Rates!$J$1="BRT 2018",Rates!J254," ")</f>
        <v>0</v>
      </c>
      <c r="G41" s="108">
        <f t="shared" si="16"/>
        <v>29</v>
      </c>
      <c r="H41" s="126">
        <f t="shared" si="15"/>
        <v>0</v>
      </c>
      <c r="I41" s="83"/>
      <c r="J41" s="474">
        <f>IF(Rates!$L$1="E+ 2019",Rates!L254," ")</f>
        <v>0</v>
      </c>
      <c r="K41" s="108">
        <f t="shared" si="13"/>
        <v>29</v>
      </c>
      <c r="L41" s="82">
        <f t="shared" si="1"/>
        <v>0</v>
      </c>
      <c r="M41" s="83"/>
      <c r="N41" s="84">
        <f t="shared" si="2"/>
        <v>0</v>
      </c>
      <c r="O41" s="85" t="str">
        <f t="shared" si="14"/>
        <v/>
      </c>
      <c r="Q41" s="119"/>
      <c r="R41" s="87"/>
      <c r="S41" s="88"/>
      <c r="T41" s="87"/>
      <c r="U41" s="89"/>
      <c r="V41" s="90"/>
      <c r="W41" s="69"/>
      <c r="X41" s="119"/>
      <c r="Y41" s="87"/>
      <c r="Z41" s="88"/>
      <c r="AA41" s="87"/>
      <c r="AB41" s="89"/>
      <c r="AC41" s="90"/>
      <c r="AD41" s="69"/>
      <c r="AE41" s="119"/>
      <c r="AF41" s="87"/>
      <c r="AG41" s="88"/>
      <c r="AH41" s="87"/>
      <c r="AI41" s="89"/>
      <c r="AJ41" s="90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</row>
    <row r="42" spans="1:49" x14ac:dyDescent="0.25">
      <c r="A42" s="1"/>
      <c r="B42" s="271" t="str">
        <f>IF(Rates!D255=$A$37,Rates!B255," ")</f>
        <v xml:space="preserve">Rate Rider for Disposition of Deferral/Variance Accounts </v>
      </c>
      <c r="C42" s="78"/>
      <c r="D42" s="271" t="str">
        <f>IF(Rates!D255=$A$37,Rates!E255," ")</f>
        <v>kW</v>
      </c>
      <c r="E42" s="79"/>
      <c r="F42" s="474">
        <f>IF(Rates!$J$1="BRT 2018",Rates!J255," ")</f>
        <v>-2.0786521942248708</v>
      </c>
      <c r="G42" s="108">
        <f t="shared" si="16"/>
        <v>29</v>
      </c>
      <c r="H42" s="126">
        <f t="shared" si="15"/>
        <v>-60.280913632521255</v>
      </c>
      <c r="I42" s="83"/>
      <c r="J42" s="474">
        <f>IF(Rates!$L$1="E+ 2019",Rates!L255," ")</f>
        <v>-0.61756840523332901</v>
      </c>
      <c r="K42" s="108">
        <f t="shared" si="13"/>
        <v>29</v>
      </c>
      <c r="L42" s="82">
        <f t="shared" si="1"/>
        <v>-17.90948375176654</v>
      </c>
      <c r="M42" s="83"/>
      <c r="N42" s="84">
        <f t="shared" si="2"/>
        <v>42.371429880754718</v>
      </c>
      <c r="O42" s="85">
        <f t="shared" si="14"/>
        <v>-0.70289959669581947</v>
      </c>
      <c r="Q42" s="128"/>
      <c r="R42" s="129"/>
      <c r="S42" s="88"/>
      <c r="T42" s="87"/>
      <c r="U42" s="89"/>
      <c r="V42" s="90"/>
      <c r="W42" s="69"/>
      <c r="X42" s="128"/>
      <c r="Y42" s="129"/>
      <c r="Z42" s="88"/>
      <c r="AA42" s="87"/>
      <c r="AB42" s="89"/>
      <c r="AC42" s="90"/>
      <c r="AD42" s="69"/>
      <c r="AE42" s="128"/>
      <c r="AF42" s="129"/>
      <c r="AG42" s="88"/>
      <c r="AH42" s="87"/>
      <c r="AI42" s="89"/>
      <c r="AJ42" s="90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</row>
    <row r="43" spans="1:49" ht="28.5" x14ac:dyDescent="0.25">
      <c r="A43" s="1"/>
      <c r="B43" s="271" t="str">
        <f>IF(Rates!D256=$A$37,Rates!B256," ")</f>
        <v>Rate Rider for Disposition of Deferral/Variance Accounts Non-WMP Customers</v>
      </c>
      <c r="C43" s="78"/>
      <c r="D43" s="271" t="str">
        <f>IF(Rates!D256=$A$37,Rates!E256," ")</f>
        <v>kW</v>
      </c>
      <c r="E43" s="79"/>
      <c r="F43" s="474">
        <f>IF(Rates!$J$1="BRT 2018",Rates!J256," ")</f>
        <v>0</v>
      </c>
      <c r="G43" s="108">
        <f t="shared" si="16"/>
        <v>29</v>
      </c>
      <c r="H43" s="126">
        <f t="shared" si="15"/>
        <v>0</v>
      </c>
      <c r="I43" s="83"/>
      <c r="J43" s="474">
        <f>IF(Rates!$L$1="E+ 2019",Rates!L256," ")</f>
        <v>0</v>
      </c>
      <c r="K43" s="108">
        <f t="shared" si="13"/>
        <v>29</v>
      </c>
      <c r="L43" s="82">
        <f t="shared" si="1"/>
        <v>0</v>
      </c>
      <c r="M43" s="83"/>
      <c r="N43" s="84">
        <f t="shared" si="2"/>
        <v>0</v>
      </c>
      <c r="O43" s="85" t="str">
        <f t="shared" si="14"/>
        <v/>
      </c>
      <c r="Q43" s="128"/>
      <c r="R43" s="129"/>
      <c r="S43" s="88"/>
      <c r="T43" s="87"/>
      <c r="U43" s="89"/>
      <c r="V43" s="90"/>
      <c r="W43" s="69"/>
      <c r="X43" s="128"/>
      <c r="Y43" s="129"/>
      <c r="Z43" s="88"/>
      <c r="AA43" s="87"/>
      <c r="AB43" s="89"/>
      <c r="AC43" s="90"/>
      <c r="AD43" s="69"/>
      <c r="AE43" s="128"/>
      <c r="AF43" s="129"/>
      <c r="AG43" s="88"/>
      <c r="AH43" s="87"/>
      <c r="AI43" s="89"/>
      <c r="AJ43" s="90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</row>
    <row r="44" spans="1:49" x14ac:dyDescent="0.25">
      <c r="A44" s="1"/>
      <c r="B44" s="271" t="str">
        <f>IF(Rates!D257=$A$37,Rates!B257," ")</f>
        <v>Rate Rider for Disposition of GA DV</v>
      </c>
      <c r="C44" s="78"/>
      <c r="D44" s="271" t="str">
        <f>IF(Rates!D257=$A$37,Rates!E257," ")</f>
        <v>kWh</v>
      </c>
      <c r="E44" s="79"/>
      <c r="F44" s="474">
        <f>IF(Rates!$J$1="BRT 2018",Rates!J257," ")</f>
        <v>1.4200000000000001E-2</v>
      </c>
      <c r="G44" s="441">
        <f t="shared" si="16"/>
        <v>10000</v>
      </c>
      <c r="H44" s="126">
        <f t="shared" si="15"/>
        <v>142</v>
      </c>
      <c r="I44" s="83"/>
      <c r="J44" s="474">
        <f>IF(Rates!$L$1="E+ 2019",Rates!L257," ")</f>
        <v>3.8449181889326281E-4</v>
      </c>
      <c r="K44" s="441">
        <f t="shared" si="13"/>
        <v>10000</v>
      </c>
      <c r="L44" s="82">
        <f t="shared" si="1"/>
        <v>3.844918188932628</v>
      </c>
      <c r="M44" s="87"/>
      <c r="N44" s="84">
        <f t="shared" si="2"/>
        <v>-138.15508181106736</v>
      </c>
      <c r="O44" s="85">
        <f t="shared" si="14"/>
        <v>-0.97292311134554477</v>
      </c>
      <c r="Q44" s="128"/>
      <c r="R44" s="129"/>
      <c r="S44" s="88"/>
      <c r="T44" s="87"/>
      <c r="U44" s="89"/>
      <c r="V44" s="90"/>
      <c r="W44" s="69"/>
      <c r="X44" s="128"/>
      <c r="Y44" s="129"/>
      <c r="Z44" s="88"/>
      <c r="AA44" s="87"/>
      <c r="AB44" s="89"/>
      <c r="AC44" s="90"/>
      <c r="AD44" s="69"/>
      <c r="AE44" s="128"/>
      <c r="AF44" s="129"/>
      <c r="AG44" s="88"/>
      <c r="AH44" s="87"/>
      <c r="AI44" s="89"/>
      <c r="AJ44" s="90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</row>
    <row r="45" spans="1:49" ht="28.5" x14ac:dyDescent="0.25">
      <c r="A45" s="1"/>
      <c r="B45" s="271" t="str">
        <f>IF(Rates!D258=$A$37,Rates!B258," ")</f>
        <v>Rate Rider for Disposition of Capacity Based Recovery Account (2018) - Applicable only for Class B Customers</v>
      </c>
      <c r="C45" s="78"/>
      <c r="D45" s="271" t="str">
        <f>IF(Rates!D258=$A$37,Rates!E258," ")</f>
        <v>kW</v>
      </c>
      <c r="E45" s="79"/>
      <c r="F45" s="474">
        <f>IF(Rates!$J$1="BRT 2018",Rates!J258," ")</f>
        <v>0</v>
      </c>
      <c r="G45" s="108">
        <f t="shared" si="16"/>
        <v>29</v>
      </c>
      <c r="H45" s="126">
        <f t="shared" ref="H45" si="17">G45*F45</f>
        <v>0</v>
      </c>
      <c r="I45" s="87"/>
      <c r="J45" s="474">
        <f>IF(Rates!$L$1="E+ 2019",Rates!L258," ")</f>
        <v>1.8356055475053177E-3</v>
      </c>
      <c r="K45" s="108">
        <f t="shared" si="13"/>
        <v>29</v>
      </c>
      <c r="L45" s="82">
        <f t="shared" ref="L45" si="18">K45*J45</f>
        <v>5.3232560877654211E-2</v>
      </c>
      <c r="M45" s="87"/>
      <c r="N45" s="84">
        <f t="shared" ref="N45" si="19">L45-H45</f>
        <v>5.3232560877654211E-2</v>
      </c>
      <c r="O45" s="85" t="str">
        <f t="shared" ref="O45" si="20">IF(OR(H45=0,L45=0),"",(N45/H45))</f>
        <v/>
      </c>
      <c r="Q45" s="128"/>
      <c r="R45" s="129"/>
      <c r="S45" s="88"/>
      <c r="T45" s="87"/>
      <c r="U45" s="89"/>
      <c r="V45" s="90"/>
      <c r="W45" s="69"/>
      <c r="X45" s="128"/>
      <c r="Y45" s="129"/>
      <c r="Z45" s="88"/>
      <c r="AA45" s="87"/>
      <c r="AB45" s="89"/>
      <c r="AC45" s="90"/>
      <c r="AD45" s="69"/>
      <c r="AE45" s="128"/>
      <c r="AF45" s="129"/>
      <c r="AG45" s="88"/>
      <c r="AH45" s="87"/>
      <c r="AI45" s="89"/>
      <c r="AJ45" s="90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</row>
    <row r="46" spans="1:49" hidden="1" x14ac:dyDescent="0.25">
      <c r="A46" s="1"/>
      <c r="B46" s="271"/>
      <c r="C46" s="78"/>
      <c r="D46" s="271"/>
      <c r="E46" s="79"/>
      <c r="F46" s="474"/>
      <c r="G46" s="108"/>
      <c r="H46" s="126"/>
      <c r="I46" s="87"/>
      <c r="J46" s="474"/>
      <c r="K46" s="108"/>
      <c r="L46" s="82"/>
      <c r="M46" s="87"/>
      <c r="N46" s="84"/>
      <c r="O46" s="85"/>
      <c r="Q46" s="128"/>
      <c r="R46" s="129"/>
      <c r="S46" s="88"/>
      <c r="T46" s="87"/>
      <c r="U46" s="89"/>
      <c r="V46" s="90"/>
      <c r="W46" s="69"/>
      <c r="X46" s="128"/>
      <c r="Y46" s="129"/>
      <c r="Z46" s="88"/>
      <c r="AA46" s="87"/>
      <c r="AB46" s="89"/>
      <c r="AC46" s="90"/>
      <c r="AD46" s="69"/>
      <c r="AE46" s="128"/>
      <c r="AF46" s="129"/>
      <c r="AG46" s="88"/>
      <c r="AH46" s="87"/>
      <c r="AI46" s="89"/>
      <c r="AJ46" s="90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</row>
    <row r="47" spans="1:49" x14ac:dyDescent="0.25">
      <c r="A47" s="1"/>
      <c r="B47" s="132" t="s">
        <v>80</v>
      </c>
      <c r="C47" s="133"/>
      <c r="D47" s="133"/>
      <c r="E47" s="133"/>
      <c r="F47" s="134"/>
      <c r="G47" s="135"/>
      <c r="H47" s="136">
        <f>SUM(H37:H46)+H36</f>
        <v>1329.8770863674786</v>
      </c>
      <c r="I47" s="87"/>
      <c r="J47" s="135"/>
      <c r="K47" s="137"/>
      <c r="L47" s="136">
        <f>SUM(L37:L46)+L36</f>
        <v>1755.464320021872</v>
      </c>
      <c r="M47" s="87"/>
      <c r="N47" s="117">
        <f t="shared" si="2"/>
        <v>425.58723365439346</v>
      </c>
      <c r="O47" s="138">
        <f>IF(OR(H47=0,L47=0),"",(N47/H47))</f>
        <v>0.32001997629485662</v>
      </c>
      <c r="Q47" s="87"/>
      <c r="R47" s="87"/>
      <c r="S47" s="121"/>
      <c r="T47" s="87"/>
      <c r="U47" s="121"/>
      <c r="V47" s="139"/>
      <c r="W47" s="69"/>
      <c r="X47" s="87"/>
      <c r="Y47" s="87"/>
      <c r="Z47" s="121"/>
      <c r="AA47" s="87"/>
      <c r="AB47" s="121"/>
      <c r="AC47" s="139"/>
      <c r="AD47" s="69"/>
      <c r="AE47" s="87"/>
      <c r="AF47" s="87"/>
      <c r="AG47" s="121"/>
      <c r="AH47" s="87"/>
      <c r="AI47" s="121"/>
      <c r="AJ47" s="13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</row>
    <row r="48" spans="1:49" x14ac:dyDescent="0.25">
      <c r="A48" s="38" t="s">
        <v>16</v>
      </c>
      <c r="B48" s="271" t="str">
        <f>IF(Rates!D259=$A$48,Rates!B259," ")</f>
        <v>Retail Transmission Rate – Network Service Rate</v>
      </c>
      <c r="C48" s="83"/>
      <c r="D48" s="271" t="str">
        <f>IF(Rates!D259= $A$48,Rates!E259," ")</f>
        <v>kW</v>
      </c>
      <c r="E48" s="91"/>
      <c r="F48" s="235">
        <f>IF(Rates!$J$1="BRT 2018",Rates!J259," ")</f>
        <v>1.6411</v>
      </c>
      <c r="G48" s="140">
        <f>+$F$17</f>
        <v>29</v>
      </c>
      <c r="H48" s="82">
        <f>G48*F48</f>
        <v>47.591900000000003</v>
      </c>
      <c r="I48" s="87"/>
      <c r="J48" s="235">
        <f>IF(Rates!$L$1="E+ 2019",Rates!L259," ")</f>
        <v>1.4241477911299751</v>
      </c>
      <c r="K48" s="140">
        <f>+$F$17</f>
        <v>29</v>
      </c>
      <c r="L48" s="82">
        <f>K48*J48</f>
        <v>41.300285942769278</v>
      </c>
      <c r="M48" s="87"/>
      <c r="N48" s="84">
        <f t="shared" si="2"/>
        <v>-6.2916140572307242</v>
      </c>
      <c r="O48" s="85">
        <f>IF(OR(H48=0,L48=0),"",(N48/H48))</f>
        <v>-0.13219926200111204</v>
      </c>
      <c r="Q48" s="119"/>
      <c r="R48" s="141"/>
      <c r="S48" s="294">
        <f>F48*K48</f>
        <v>47.591900000000003</v>
      </c>
      <c r="T48" s="87"/>
      <c r="U48" s="89"/>
      <c r="V48" s="90"/>
      <c r="W48" s="69"/>
      <c r="X48" s="119"/>
      <c r="Y48" s="141"/>
      <c r="Z48" s="88"/>
      <c r="AA48" s="87"/>
      <c r="AB48" s="89"/>
      <c r="AC48" s="90"/>
      <c r="AD48" s="69"/>
      <c r="AE48" s="119"/>
      <c r="AF48" s="141"/>
      <c r="AG48" s="88"/>
      <c r="AH48" s="87"/>
      <c r="AI48" s="89"/>
      <c r="AJ48" s="90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</row>
    <row r="49" spans="1:49" ht="28.5" x14ac:dyDescent="0.25">
      <c r="A49" s="1"/>
      <c r="B49" s="271" t="str">
        <f>IF(Rates!D260=$A$48,Rates!B260," ")</f>
        <v>Retail Transmission Rate – Line and Transformation Connection Service Rate</v>
      </c>
      <c r="C49" s="83"/>
      <c r="D49" s="271" t="str">
        <f>IF(Rates!D260= $A$48,Rates!E260," ")</f>
        <v>kW</v>
      </c>
      <c r="E49" s="91"/>
      <c r="F49" s="235">
        <f>IF(Rates!$J$1="BRT 2018",Rates!J260," ")</f>
        <v>0.95440000000000003</v>
      </c>
      <c r="G49" s="140">
        <f>+$F$17</f>
        <v>29</v>
      </c>
      <c r="H49" s="82">
        <f t="shared" ref="H49" si="21">G49*F49</f>
        <v>27.677600000000002</v>
      </c>
      <c r="I49" s="87"/>
      <c r="J49" s="235">
        <f>IF(Rates!$L$1="E+ 2019",Rates!L260," ")</f>
        <v>0.93878706252418265</v>
      </c>
      <c r="K49" s="140">
        <f>+$F$17</f>
        <v>29</v>
      </c>
      <c r="L49" s="82">
        <f t="shared" ref="L49" si="22">K49*J49</f>
        <v>27.224824813201298</v>
      </c>
      <c r="M49" s="146"/>
      <c r="N49" s="84">
        <f t="shared" si="2"/>
        <v>-0.45277518679870354</v>
      </c>
      <c r="O49" s="85">
        <f t="shared" ref="O49" si="23">IF(OR(H49=0,L49=0),"",(N49/H49))</f>
        <v>-1.6358903474242837E-2</v>
      </c>
      <c r="Q49" s="119"/>
      <c r="R49" s="141"/>
      <c r="S49" s="295">
        <f>F49*K49</f>
        <v>27.677600000000002</v>
      </c>
      <c r="T49" s="87"/>
      <c r="U49" s="89"/>
      <c r="V49" s="90"/>
      <c r="W49" s="69"/>
      <c r="X49" s="119"/>
      <c r="Y49" s="141"/>
      <c r="Z49" s="88"/>
      <c r="AA49" s="87"/>
      <c r="AB49" s="89"/>
      <c r="AC49" s="90"/>
      <c r="AD49" s="69"/>
      <c r="AE49" s="119"/>
      <c r="AF49" s="141"/>
      <c r="AG49" s="88"/>
      <c r="AH49" s="87"/>
      <c r="AI49" s="89"/>
      <c r="AJ49" s="90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</row>
    <row r="50" spans="1:49" x14ac:dyDescent="0.25">
      <c r="A50" s="1"/>
      <c r="B50" s="132" t="s">
        <v>81</v>
      </c>
      <c r="C50" s="110"/>
      <c r="D50" s="110"/>
      <c r="E50" s="110"/>
      <c r="F50" s="142"/>
      <c r="G50" s="135"/>
      <c r="H50" s="136">
        <f>SUM(H47:H49)</f>
        <v>1405.1465863674784</v>
      </c>
      <c r="I50" s="146"/>
      <c r="J50" s="144"/>
      <c r="K50" s="145"/>
      <c r="L50" s="136">
        <f>SUM(L47:L49)</f>
        <v>1823.9894307778427</v>
      </c>
      <c r="M50" s="87"/>
      <c r="N50" s="117">
        <f>L50-H50</f>
        <v>418.84284441036425</v>
      </c>
      <c r="O50" s="138">
        <f>IF(OR(H50=0,L50=0),"",(N50/H50))</f>
        <v>0.29807768703558385</v>
      </c>
      <c r="Q50" s="146"/>
      <c r="R50" s="146"/>
      <c r="S50" s="296">
        <f>S48+S49</f>
        <v>75.269500000000008</v>
      </c>
      <c r="T50" s="146"/>
      <c r="U50" s="121"/>
      <c r="V50" s="139"/>
      <c r="W50" s="69"/>
      <c r="X50" s="146"/>
      <c r="Y50" s="146"/>
      <c r="Z50" s="121"/>
      <c r="AA50" s="146"/>
      <c r="AB50" s="121"/>
      <c r="AC50" s="139"/>
      <c r="AD50" s="69"/>
      <c r="AE50" s="146"/>
      <c r="AF50" s="146"/>
      <c r="AG50" s="121"/>
      <c r="AH50" s="146"/>
      <c r="AI50" s="121"/>
      <c r="AJ50" s="13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</row>
    <row r="51" spans="1:49" x14ac:dyDescent="0.25">
      <c r="A51" s="4" t="s">
        <v>17</v>
      </c>
      <c r="B51" s="271" t="str">
        <f>IF(Rates!D8=$A$51,Rates!B8," ")</f>
        <v>Standard Supply Service – Administrative Charge (if applicable)</v>
      </c>
      <c r="C51" s="78"/>
      <c r="D51" s="271" t="str">
        <f>IF(Rates!D8=$A$51,Rates!E8," ")</f>
        <v>customer</v>
      </c>
      <c r="E51" s="79"/>
      <c r="F51" s="235">
        <f>IF(Rates!$J$1="BRT 2018",Rates!J8," ")</f>
        <v>0.25</v>
      </c>
      <c r="G51" s="108">
        <f t="shared" ref="G51" si="24">IF(D51="customer",1,IF(D51="kWh",$F$19,IF(D51="kW",$F$17,$G$23)))</f>
        <v>1</v>
      </c>
      <c r="H51" s="148">
        <f t="shared" ref="H51:H60" si="25">G51*F51</f>
        <v>0.25</v>
      </c>
      <c r="I51" s="87"/>
      <c r="J51" s="80">
        <f>IF(Rates!$L$1="E+ 2019",Rates!L8," ")</f>
        <v>0.25</v>
      </c>
      <c r="K51" s="108">
        <f t="shared" ref="K51" si="26">IF(D51="customer",1,IF(D51="kWh",$F$19,IF(D51="kW",$F$17,$G$23)))</f>
        <v>1</v>
      </c>
      <c r="L51" s="148">
        <f t="shared" ref="L51:L60" si="27">K51*J51</f>
        <v>0.25</v>
      </c>
      <c r="M51" s="87"/>
      <c r="N51" s="84">
        <f t="shared" si="2"/>
        <v>0</v>
      </c>
      <c r="O51" s="85">
        <f>IF(OR(H51=0,L51=0),"",(N51/H51))</f>
        <v>0</v>
      </c>
      <c r="Q51" s="150"/>
      <c r="R51" s="224"/>
      <c r="S51" s="151"/>
      <c r="T51" s="87"/>
      <c r="U51" s="89"/>
      <c r="V51" s="90"/>
      <c r="W51" s="69"/>
      <c r="X51" s="150"/>
      <c r="Y51" s="224"/>
      <c r="Z51" s="151"/>
      <c r="AA51" s="87"/>
      <c r="AB51" s="89"/>
      <c r="AC51" s="90"/>
      <c r="AD51" s="69"/>
      <c r="AE51" s="150"/>
      <c r="AF51" s="224"/>
      <c r="AG51" s="151"/>
      <c r="AH51" s="87"/>
      <c r="AI51" s="89"/>
      <c r="AJ51" s="90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</row>
    <row r="52" spans="1:49" x14ac:dyDescent="0.25">
      <c r="A52" s="1"/>
      <c r="B52" s="271" t="str">
        <f>IF(Rates!D9=$A$51,Rates!B9," ")</f>
        <v xml:space="preserve">Wholesale Market Service Rate </v>
      </c>
      <c r="C52" s="78"/>
      <c r="D52" s="271" t="str">
        <f>IF(Rates!D9=$A$51,Rates!E9," ")</f>
        <v>kWh</v>
      </c>
      <c r="E52" s="79"/>
      <c r="F52" s="235">
        <f>IF(Rates!$J$1="BRT 2018",Rates!J9," ")</f>
        <v>3.2000000000000002E-3</v>
      </c>
      <c r="G52" s="225">
        <f>$F$19*(1+$F$74)</f>
        <v>10495.000000000002</v>
      </c>
      <c r="H52" s="148">
        <f t="shared" si="25"/>
        <v>33.58400000000001</v>
      </c>
      <c r="I52" s="87"/>
      <c r="J52" s="235">
        <f>IF(Rates!$L$1="E+ 2019",Rates!L9," ")</f>
        <v>3.2000000000000002E-3</v>
      </c>
      <c r="K52" s="225">
        <f>$F$19*(1+$J$74)</f>
        <v>10306.846499440269</v>
      </c>
      <c r="L52" s="148">
        <f t="shared" si="27"/>
        <v>32.981908798208863</v>
      </c>
      <c r="M52" s="87"/>
      <c r="N52" s="84">
        <f t="shared" si="2"/>
        <v>-0.60209120179114706</v>
      </c>
      <c r="O52" s="85">
        <f t="shared" ref="O52:O71" si="28">IF(OR(H52=0,L52=0),"",(N52/H52))</f>
        <v>-1.7927918109550585E-2</v>
      </c>
      <c r="Q52" s="150"/>
      <c r="R52" s="224"/>
      <c r="S52" s="151"/>
      <c r="T52" s="87"/>
      <c r="U52" s="89"/>
      <c r="V52" s="90"/>
      <c r="W52" s="69"/>
      <c r="X52" s="150"/>
      <c r="Y52" s="224"/>
      <c r="Z52" s="151"/>
      <c r="AA52" s="87"/>
      <c r="AB52" s="89"/>
      <c r="AC52" s="90"/>
      <c r="AD52" s="69"/>
      <c r="AE52" s="150"/>
      <c r="AF52" s="224"/>
      <c r="AG52" s="151"/>
      <c r="AH52" s="87"/>
      <c r="AI52" s="89"/>
      <c r="AJ52" s="90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</row>
    <row r="53" spans="1:49" x14ac:dyDescent="0.25">
      <c r="A53" s="1"/>
      <c r="B53" s="271" t="str">
        <f>IF(Rates!D10=$A$51,Rates!B10," ")</f>
        <v>Capacity Based Rcovery(CBR) - Class B Customers</v>
      </c>
      <c r="C53" s="78"/>
      <c r="D53" s="271" t="str">
        <f>IF(Rates!D10=$A$51,Rates!E10," ")</f>
        <v>kWh</v>
      </c>
      <c r="E53" s="79"/>
      <c r="F53" s="235">
        <f>IF(Rates!$J$1="BRT 2018",Rates!J10," ")</f>
        <v>4.0000000000000002E-4</v>
      </c>
      <c r="G53" s="225">
        <f>$F$19*(1+$F$74)</f>
        <v>10495.000000000002</v>
      </c>
      <c r="H53" s="148">
        <f t="shared" si="25"/>
        <v>4.1980000000000013</v>
      </c>
      <c r="I53" s="87"/>
      <c r="J53" s="235">
        <f>IF(Rates!$L$1="E+ 2019",Rates!L10," ")</f>
        <v>4.0000000000000002E-4</v>
      </c>
      <c r="K53" s="225">
        <f>$F$19*(1+$J$74)</f>
        <v>10306.846499440269</v>
      </c>
      <c r="L53" s="148">
        <f t="shared" si="27"/>
        <v>4.1227385997761079</v>
      </c>
      <c r="M53" s="87"/>
      <c r="N53" s="84">
        <f t="shared" si="2"/>
        <v>-7.5261400223893382E-2</v>
      </c>
      <c r="O53" s="85">
        <f t="shared" si="28"/>
        <v>-1.7927918109550585E-2</v>
      </c>
      <c r="Q53" s="150"/>
      <c r="R53" s="224"/>
      <c r="S53" s="151"/>
      <c r="T53" s="87"/>
      <c r="U53" s="89"/>
      <c r="V53" s="90"/>
      <c r="W53" s="69"/>
      <c r="X53" s="150"/>
      <c r="Y53" s="224"/>
      <c r="Z53" s="151"/>
      <c r="AA53" s="87"/>
      <c r="AB53" s="89"/>
      <c r="AC53" s="90"/>
      <c r="AD53" s="69"/>
      <c r="AE53" s="150"/>
      <c r="AF53" s="224"/>
      <c r="AG53" s="151"/>
      <c r="AH53" s="87"/>
      <c r="AI53" s="89"/>
      <c r="AJ53" s="90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</row>
    <row r="54" spans="1:49" x14ac:dyDescent="0.25">
      <c r="A54" s="1"/>
      <c r="B54" s="271" t="str">
        <f>IF(Rates!D11=$A$51,Rates!B11," ")</f>
        <v xml:space="preserve">Rural Rate Protection Charge </v>
      </c>
      <c r="C54" s="78"/>
      <c r="D54" s="271" t="str">
        <f>IF(Rates!D11=$A$51,Rates!E11," ")</f>
        <v>kWh</v>
      </c>
      <c r="E54" s="79"/>
      <c r="F54" s="235">
        <f>IF(Rates!$J$1="BRT 2018",Rates!J11," ")</f>
        <v>2.9999999999999997E-4</v>
      </c>
      <c r="G54" s="225">
        <f>$F$19*(1+$F$74)</f>
        <v>10495.000000000002</v>
      </c>
      <c r="H54" s="148">
        <f t="shared" si="25"/>
        <v>3.1485000000000003</v>
      </c>
      <c r="I54" s="87"/>
      <c r="J54" s="235">
        <f>IF(Rates!$L$1="E+ 2019",Rates!L11," ")</f>
        <v>2.9999999999999997E-4</v>
      </c>
      <c r="K54" s="225">
        <f>$F$19*(1+$J$74)</f>
        <v>10306.846499440269</v>
      </c>
      <c r="L54" s="148">
        <f t="shared" si="27"/>
        <v>3.0920539498320805</v>
      </c>
      <c r="M54" s="87"/>
      <c r="N54" s="84">
        <f t="shared" si="2"/>
        <v>-5.6446050167919815E-2</v>
      </c>
      <c r="O54" s="85">
        <f t="shared" si="28"/>
        <v>-1.7927918109550519E-2</v>
      </c>
      <c r="Q54" s="153"/>
      <c r="R54" s="87"/>
      <c r="S54" s="151"/>
      <c r="T54" s="87"/>
      <c r="U54" s="89"/>
      <c r="V54" s="90"/>
      <c r="W54" s="69"/>
      <c r="X54" s="153"/>
      <c r="Y54" s="87"/>
      <c r="Z54" s="151"/>
      <c r="AA54" s="87"/>
      <c r="AB54" s="89"/>
      <c r="AC54" s="90"/>
      <c r="AD54" s="69"/>
      <c r="AE54" s="153"/>
      <c r="AF54" s="87"/>
      <c r="AG54" s="151"/>
      <c r="AH54" s="87"/>
      <c r="AI54" s="89"/>
      <c r="AJ54" s="90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</row>
    <row r="55" spans="1:49" x14ac:dyDescent="0.25">
      <c r="A55" s="1"/>
      <c r="B55" s="271" t="str">
        <f>IF(Rates!D12=$A$51,Rates!B12," ")</f>
        <v>Debt Retirement Charge</v>
      </c>
      <c r="C55" s="78"/>
      <c r="D55" s="271" t="str">
        <f>IF(Rates!D12=$A$51,Rates!E12," ")</f>
        <v>kWh</v>
      </c>
      <c r="E55" s="79"/>
      <c r="F55" s="235">
        <f>IF(Rates!$J$1="BRT 2018",Rates!J12," ")</f>
        <v>7.0000000000000001E-3</v>
      </c>
      <c r="G55" s="439">
        <f t="shared" ref="G55" si="29">IF(D55="customer",1,IF(D55="kWh",$F$19,IF(D55="kW",$F$17,$G$23)))</f>
        <v>10000</v>
      </c>
      <c r="H55" s="148">
        <f t="shared" si="25"/>
        <v>70</v>
      </c>
      <c r="I55" s="87"/>
      <c r="J55" s="235">
        <f>IF(Rates!$L$1="E+ 2019",Rates!L12," ")</f>
        <v>7.0000000000000001E-3</v>
      </c>
      <c r="K55" s="441">
        <f t="shared" ref="K55" si="30">IF(D55="customer",1,IF(D55="kWh",$F$19,IF(D55="kW",$F$17,$G$23)))</f>
        <v>10000</v>
      </c>
      <c r="L55" s="148">
        <f t="shared" si="27"/>
        <v>70</v>
      </c>
      <c r="M55" s="87"/>
      <c r="N55" s="84">
        <f t="shared" si="2"/>
        <v>0</v>
      </c>
      <c r="O55" s="85">
        <f t="shared" si="28"/>
        <v>0</v>
      </c>
      <c r="Q55" s="153"/>
      <c r="R55" s="87"/>
      <c r="S55" s="151"/>
      <c r="T55" s="87"/>
      <c r="U55" s="89"/>
      <c r="V55" s="90"/>
      <c r="W55" s="69"/>
      <c r="X55" s="153"/>
      <c r="Y55" s="87"/>
      <c r="Z55" s="151"/>
      <c r="AA55" s="87"/>
      <c r="AB55" s="89"/>
      <c r="AC55" s="90"/>
      <c r="AD55" s="69"/>
      <c r="AE55" s="153"/>
      <c r="AF55" s="87"/>
      <c r="AG55" s="151"/>
      <c r="AH55" s="87"/>
      <c r="AI55" s="89"/>
      <c r="AJ55" s="90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</row>
    <row r="56" spans="1:49" x14ac:dyDescent="0.25">
      <c r="A56" s="6" t="s">
        <v>14</v>
      </c>
      <c r="B56" s="271" t="str">
        <f>IF(Rates!D2=$A$56,Rates!B2," ")</f>
        <v>TOU - Off Peak</v>
      </c>
      <c r="C56" s="78"/>
      <c r="D56" s="271" t="str">
        <f>IF(Rates!D2=$A$56,Rates!E2," ")</f>
        <v>kWh</v>
      </c>
      <c r="E56" s="79"/>
      <c r="F56" s="235">
        <f>IF(Rates!$J$1="BRT 2018",Rates!J2," ")</f>
        <v>6.5000000000000002E-2</v>
      </c>
      <c r="G56" s="226">
        <f>IF($G$59=0,0.65*($F$19*(1+$F$74)),0)</f>
        <v>6821.7500000000018</v>
      </c>
      <c r="H56" s="148">
        <f>G56*F56</f>
        <v>443.41375000000011</v>
      </c>
      <c r="I56" s="87"/>
      <c r="J56" s="152">
        <f>F56</f>
        <v>6.5000000000000002E-2</v>
      </c>
      <c r="K56" s="226">
        <f>IF($K$59=0,0.65*$F$19,0)</f>
        <v>6500</v>
      </c>
      <c r="L56" s="148">
        <f t="shared" si="27"/>
        <v>422.5</v>
      </c>
      <c r="M56" s="87"/>
      <c r="N56" s="84">
        <f t="shared" si="2"/>
        <v>-20.913750000000107</v>
      </c>
      <c r="O56" s="85">
        <f t="shared" si="28"/>
        <v>-4.7165316817532388E-2</v>
      </c>
      <c r="Q56" s="150"/>
      <c r="R56" s="224"/>
      <c r="S56" s="151"/>
      <c r="T56" s="87"/>
      <c r="U56" s="89"/>
      <c r="V56" s="90"/>
      <c r="W56" s="69"/>
      <c r="X56" s="150"/>
      <c r="Y56" s="224"/>
      <c r="Z56" s="151"/>
      <c r="AA56" s="87"/>
      <c r="AB56" s="89"/>
      <c r="AC56" s="90"/>
      <c r="AD56" s="69"/>
      <c r="AE56" s="150"/>
      <c r="AF56" s="224"/>
      <c r="AG56" s="151"/>
      <c r="AH56" s="87"/>
      <c r="AI56" s="89"/>
      <c r="AJ56" s="90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</row>
    <row r="57" spans="1:49" x14ac:dyDescent="0.25">
      <c r="A57" s="1"/>
      <c r="B57" s="271" t="str">
        <f>IF(Rates!D3=$A$56,Rates!B3," ")</f>
        <v>TOU - Mid Peak</v>
      </c>
      <c r="C57" s="78"/>
      <c r="D57" s="271" t="str">
        <f>IF(Rates!D3=$A$56,Rates!E3," ")</f>
        <v>kWh</v>
      </c>
      <c r="E57" s="79"/>
      <c r="F57" s="235">
        <f>IF(Rates!$J$1="BRT 2018",Rates!J3," ")</f>
        <v>9.5000000000000001E-2</v>
      </c>
      <c r="G57" s="226">
        <f>IF($G$59=0,0.17*($F$19*(1+$F$74)),0)</f>
        <v>1784.1500000000005</v>
      </c>
      <c r="H57" s="148">
        <f t="shared" si="25"/>
        <v>169.49425000000005</v>
      </c>
      <c r="I57" s="87"/>
      <c r="J57" s="152">
        <f>F57</f>
        <v>9.5000000000000001E-2</v>
      </c>
      <c r="K57" s="226">
        <f>IF($K$59=0,0.17*$F$19,0)</f>
        <v>1700.0000000000002</v>
      </c>
      <c r="L57" s="148">
        <f t="shared" si="27"/>
        <v>161.50000000000003</v>
      </c>
      <c r="M57" s="87"/>
      <c r="N57" s="84">
        <f t="shared" si="2"/>
        <v>-7.9942500000000223</v>
      </c>
      <c r="O57" s="85">
        <f t="shared" si="28"/>
        <v>-4.7165316817532277E-2</v>
      </c>
      <c r="Q57" s="157"/>
      <c r="R57" s="227"/>
      <c r="S57" s="151"/>
      <c r="T57" s="87"/>
      <c r="U57" s="89"/>
      <c r="V57" s="90"/>
      <c r="W57" s="69"/>
      <c r="X57" s="157"/>
      <c r="Y57" s="227"/>
      <c r="Z57" s="151"/>
      <c r="AA57" s="87"/>
      <c r="AB57" s="89"/>
      <c r="AC57" s="90"/>
      <c r="AD57" s="69"/>
      <c r="AE57" s="157"/>
      <c r="AF57" s="227"/>
      <c r="AG57" s="151"/>
      <c r="AH57" s="87"/>
      <c r="AI57" s="89"/>
      <c r="AJ57" s="90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</row>
    <row r="58" spans="1:49" x14ac:dyDescent="0.25">
      <c r="A58" s="1"/>
      <c r="B58" s="271" t="str">
        <f>IF(Rates!D4=$A$56,Rates!B4," ")</f>
        <v>TOU - On Peak</v>
      </c>
      <c r="C58" s="78"/>
      <c r="D58" s="271" t="str">
        <f>IF(Rates!D4=$A$56,Rates!E4," ")</f>
        <v>kWh</v>
      </c>
      <c r="E58" s="79"/>
      <c r="F58" s="235">
        <f>IF(Rates!$J$1="BRT 2018",Rates!J4," ")</f>
        <v>0.13200000000000001</v>
      </c>
      <c r="G58" s="226">
        <f>IF($G$59=0,0.18*($F$19*(1+$F$74)),0)</f>
        <v>1889.1000000000004</v>
      </c>
      <c r="H58" s="148">
        <f t="shared" si="25"/>
        <v>249.36120000000005</v>
      </c>
      <c r="I58" s="87"/>
      <c r="J58" s="152">
        <f>F58</f>
        <v>0.13200000000000001</v>
      </c>
      <c r="K58" s="226">
        <f>IF($K$59=0,0.18*$F$19,0)</f>
        <v>1800</v>
      </c>
      <c r="L58" s="148">
        <f t="shared" si="27"/>
        <v>237.60000000000002</v>
      </c>
      <c r="M58" s="166"/>
      <c r="N58" s="84">
        <f t="shared" si="2"/>
        <v>-11.761200000000031</v>
      </c>
      <c r="O58" s="85">
        <f t="shared" si="28"/>
        <v>-4.716531681753227E-2</v>
      </c>
      <c r="Q58" s="157"/>
      <c r="R58" s="227"/>
      <c r="S58" s="151"/>
      <c r="T58" s="87"/>
      <c r="U58" s="89"/>
      <c r="V58" s="90"/>
      <c r="W58" s="69"/>
      <c r="X58" s="157"/>
      <c r="Y58" s="227"/>
      <c r="Z58" s="151"/>
      <c r="AA58" s="87"/>
      <c r="AB58" s="89"/>
      <c r="AC58" s="90"/>
      <c r="AD58" s="69"/>
      <c r="AE58" s="157"/>
      <c r="AF58" s="227"/>
      <c r="AG58" s="151"/>
      <c r="AH58" s="87"/>
      <c r="AI58" s="89"/>
      <c r="AJ58" s="90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</row>
    <row r="59" spans="1:49" x14ac:dyDescent="0.25">
      <c r="A59" s="1"/>
      <c r="B59" s="271" t="str">
        <f>IF(Rates!D5=$A$56,Rates!B5," ")</f>
        <v>Commodity</v>
      </c>
      <c r="C59" s="160"/>
      <c r="D59" s="271" t="str">
        <f>IF(Rates!D5=$A$56,Rates!E5," ")</f>
        <v>kWh</v>
      </c>
      <c r="E59" s="161"/>
      <c r="F59" s="235">
        <f>IF(Rates!$J$1="BRT 2018",Rates!J5," ")</f>
        <v>1.8855833333333332E-2</v>
      </c>
      <c r="G59" s="225">
        <f>IF($D$16="TOU", 0,$F$19*(1+$F$74))</f>
        <v>0</v>
      </c>
      <c r="H59" s="148">
        <f t="shared" si="25"/>
        <v>0</v>
      </c>
      <c r="I59" s="166"/>
      <c r="J59" s="147">
        <f t="shared" ref="J59:J60" si="31">+F59</f>
        <v>1.8855833333333332E-2</v>
      </c>
      <c r="K59" s="225">
        <f>IF($D$16="TOU", 0,$F$19*(1+$F$74))</f>
        <v>0</v>
      </c>
      <c r="L59" s="148">
        <f t="shared" si="27"/>
        <v>0</v>
      </c>
      <c r="M59" s="166"/>
      <c r="N59" s="84">
        <f t="shared" si="2"/>
        <v>0</v>
      </c>
      <c r="O59" s="85" t="str">
        <f t="shared" si="28"/>
        <v/>
      </c>
      <c r="Q59" s="157"/>
      <c r="R59" s="227"/>
      <c r="S59" s="151"/>
      <c r="T59" s="166"/>
      <c r="U59" s="89"/>
      <c r="V59" s="90"/>
      <c r="W59" s="69"/>
      <c r="X59" s="157"/>
      <c r="Y59" s="227"/>
      <c r="Z59" s="151"/>
      <c r="AA59" s="166"/>
      <c r="AB59" s="89"/>
      <c r="AC59" s="90"/>
      <c r="AD59" s="69"/>
      <c r="AE59" s="157"/>
      <c r="AF59" s="227"/>
      <c r="AG59" s="151"/>
      <c r="AH59" s="166"/>
      <c r="AI59" s="89"/>
      <c r="AJ59" s="90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</row>
    <row r="60" spans="1:49" ht="15.75" thickBot="1" x14ac:dyDescent="0.3">
      <c r="A60" s="159"/>
      <c r="B60" s="271" t="str">
        <f>IF(Rates!D6=$A$56,Rates!B6," ")</f>
        <v>Global Adjustment</v>
      </c>
      <c r="C60" s="160"/>
      <c r="D60" s="271" t="str">
        <f>IF(Rates!D6=$A$56,Rates!E6," ")</f>
        <v>kWh</v>
      </c>
      <c r="E60" s="161"/>
      <c r="F60" s="235">
        <f>IF(Rates!$J$1="BRT 2018",Rates!J6," ")</f>
        <v>0.10303000000000001</v>
      </c>
      <c r="G60" s="225">
        <f>IF($D$16="TOU", 0,$F$19*(1+$F$74))</f>
        <v>0</v>
      </c>
      <c r="H60" s="148">
        <f t="shared" si="25"/>
        <v>0</v>
      </c>
      <c r="I60" s="166"/>
      <c r="J60" s="169">
        <f t="shared" si="31"/>
        <v>0.10303000000000001</v>
      </c>
      <c r="K60" s="225">
        <f>IF($D$16="TOU", 0,$F$19*(1+$F$74))</f>
        <v>0</v>
      </c>
      <c r="L60" s="148">
        <f t="shared" si="27"/>
        <v>0</v>
      </c>
      <c r="M60" s="87"/>
      <c r="N60" s="84">
        <f t="shared" si="2"/>
        <v>0</v>
      </c>
      <c r="O60" s="85" t="str">
        <f t="shared" si="28"/>
        <v/>
      </c>
      <c r="Q60" s="157"/>
      <c r="R60" s="227"/>
      <c r="S60" s="151"/>
      <c r="T60" s="166"/>
      <c r="U60" s="89"/>
      <c r="V60" s="90"/>
      <c r="W60" s="69"/>
      <c r="X60" s="157"/>
      <c r="Y60" s="227"/>
      <c r="Z60" s="151"/>
      <c r="AA60" s="166"/>
      <c r="AB60" s="89"/>
      <c r="AC60" s="90"/>
      <c r="AD60" s="69"/>
      <c r="AE60" s="157"/>
      <c r="AF60" s="227"/>
      <c r="AG60" s="151"/>
      <c r="AH60" s="166"/>
      <c r="AI60" s="89"/>
      <c r="AJ60" s="90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</row>
    <row r="61" spans="1:49" ht="15.75" thickBot="1" x14ac:dyDescent="0.3">
      <c r="A61" s="159"/>
      <c r="B61" s="211"/>
      <c r="C61" s="212"/>
      <c r="D61" s="213"/>
      <c r="E61" s="212"/>
      <c r="F61" s="266"/>
      <c r="G61" s="214"/>
      <c r="H61" s="267"/>
      <c r="I61" s="87"/>
      <c r="J61" s="266"/>
      <c r="K61" s="216"/>
      <c r="L61" s="267"/>
      <c r="M61" s="146"/>
      <c r="N61" s="217"/>
      <c r="O61" s="205"/>
      <c r="Q61" s="157"/>
      <c r="R61" s="120"/>
      <c r="S61" s="151"/>
      <c r="T61" s="87"/>
      <c r="U61" s="89"/>
      <c r="V61" s="174"/>
      <c r="W61" s="69"/>
      <c r="X61" s="157"/>
      <c r="Y61" s="120"/>
      <c r="Z61" s="151"/>
      <c r="AA61" s="87"/>
      <c r="AB61" s="89"/>
      <c r="AC61" s="174"/>
      <c r="AD61" s="69"/>
      <c r="AE61" s="157"/>
      <c r="AF61" s="120"/>
      <c r="AG61" s="151"/>
      <c r="AH61" s="87"/>
      <c r="AI61" s="89"/>
      <c r="AJ61" s="174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</row>
    <row r="62" spans="1:49" x14ac:dyDescent="0.25">
      <c r="A62" s="159"/>
      <c r="B62" s="175" t="s">
        <v>97</v>
      </c>
      <c r="C62" s="78"/>
      <c r="D62" s="78"/>
      <c r="E62" s="78"/>
      <c r="F62" s="176"/>
      <c r="G62" s="177"/>
      <c r="H62" s="179">
        <f>SUM(H51:H55,H50,H59,,H60,)</f>
        <v>1516.3270863674784</v>
      </c>
      <c r="I62" s="146"/>
      <c r="J62" s="178"/>
      <c r="K62" s="178"/>
      <c r="L62" s="179">
        <f>SUM(L51:L55,L50,L59,,L60,)</f>
        <v>1934.4361321256597</v>
      </c>
      <c r="M62" s="187"/>
      <c r="N62" s="179">
        <f>L62-H62</f>
        <v>418.10904575818131</v>
      </c>
      <c r="O62" s="180">
        <f t="shared" si="28"/>
        <v>0.27573803140310954</v>
      </c>
      <c r="Q62" s="181"/>
      <c r="R62" s="181"/>
      <c r="S62" s="121"/>
      <c r="T62" s="146"/>
      <c r="U62" s="89"/>
      <c r="V62" s="90"/>
      <c r="W62" s="69"/>
      <c r="X62" s="181"/>
      <c r="Y62" s="181"/>
      <c r="Z62" s="121"/>
      <c r="AA62" s="146"/>
      <c r="AB62" s="89"/>
      <c r="AC62" s="90"/>
      <c r="AD62" s="69"/>
      <c r="AE62" s="181"/>
      <c r="AF62" s="181"/>
      <c r="AG62" s="121"/>
      <c r="AH62" s="146"/>
      <c r="AI62" s="89"/>
      <c r="AJ62" s="90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</row>
    <row r="63" spans="1:49" x14ac:dyDescent="0.25">
      <c r="A63" s="159"/>
      <c r="B63" s="182" t="s">
        <v>9</v>
      </c>
      <c r="C63" s="78"/>
      <c r="D63" s="78"/>
      <c r="E63" s="78"/>
      <c r="F63" s="183">
        <v>0.13</v>
      </c>
      <c r="G63" s="87"/>
      <c r="H63" s="188">
        <f>H62*F63</f>
        <v>197.12252122777221</v>
      </c>
      <c r="I63" s="187"/>
      <c r="J63" s="185">
        <v>0.13</v>
      </c>
      <c r="K63" s="184"/>
      <c r="L63" s="188">
        <f>L62*J63</f>
        <v>251.47669717633576</v>
      </c>
      <c r="M63" s="146"/>
      <c r="N63" s="188">
        <f>L63-H63</f>
        <v>54.354175948563551</v>
      </c>
      <c r="O63" s="85">
        <f t="shared" si="28"/>
        <v>0.27573803140310937</v>
      </c>
      <c r="Q63" s="189"/>
      <c r="R63" s="187"/>
      <c r="S63" s="190"/>
      <c r="T63" s="187"/>
      <c r="U63" s="89"/>
      <c r="V63" s="90"/>
      <c r="W63" s="69"/>
      <c r="X63" s="189"/>
      <c r="Y63" s="187"/>
      <c r="Z63" s="190"/>
      <c r="AA63" s="187"/>
      <c r="AB63" s="89"/>
      <c r="AC63" s="90"/>
      <c r="AD63" s="69"/>
      <c r="AE63" s="189"/>
      <c r="AF63" s="187"/>
      <c r="AG63" s="190"/>
      <c r="AH63" s="187"/>
      <c r="AI63" s="89"/>
      <c r="AJ63" s="90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</row>
    <row r="64" spans="1:49" ht="15.75" thickBot="1" x14ac:dyDescent="0.3">
      <c r="A64" s="1"/>
      <c r="B64" s="515" t="s">
        <v>98</v>
      </c>
      <c r="C64" s="515"/>
      <c r="D64" s="515"/>
      <c r="E64" s="192"/>
      <c r="F64" s="218"/>
      <c r="G64" s="219"/>
      <c r="H64" s="222">
        <f>SUM(H62:H63)</f>
        <v>1713.4496075952507</v>
      </c>
      <c r="I64" s="146"/>
      <c r="J64" s="220"/>
      <c r="K64" s="220"/>
      <c r="L64" s="222">
        <f>SUM(L62:L63)</f>
        <v>2185.9128293019953</v>
      </c>
      <c r="M64" s="166"/>
      <c r="N64" s="222">
        <f>L64-H64</f>
        <v>472.46322170674466</v>
      </c>
      <c r="O64" s="197">
        <f t="shared" si="28"/>
        <v>0.27573803140310937</v>
      </c>
      <c r="Q64" s="146"/>
      <c r="R64" s="146"/>
      <c r="S64" s="121"/>
      <c r="T64" s="146"/>
      <c r="U64" s="121"/>
      <c r="V64" s="223"/>
      <c r="W64" s="69"/>
      <c r="X64" s="146"/>
      <c r="Y64" s="146"/>
      <c r="Z64" s="121"/>
      <c r="AA64" s="146"/>
      <c r="AB64" s="121"/>
      <c r="AC64" s="223"/>
      <c r="AD64" s="69"/>
      <c r="AE64" s="146"/>
      <c r="AF64" s="146"/>
      <c r="AG64" s="121"/>
      <c r="AH64" s="146"/>
      <c r="AI64" s="121"/>
      <c r="AJ64" s="223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</row>
    <row r="65" spans="1:49" ht="15.75" thickBot="1" x14ac:dyDescent="0.3">
      <c r="A65" s="1"/>
      <c r="B65" s="198"/>
      <c r="C65" s="199"/>
      <c r="D65" s="200"/>
      <c r="E65" s="199"/>
      <c r="F65" s="266"/>
      <c r="G65" s="201"/>
      <c r="H65" s="267"/>
      <c r="I65" s="166"/>
      <c r="J65" s="266"/>
      <c r="K65" s="203"/>
      <c r="L65" s="267"/>
      <c r="M65" s="240"/>
      <c r="N65" s="204"/>
      <c r="O65" s="205"/>
      <c r="Q65" s="157"/>
      <c r="R65" s="206"/>
      <c r="S65" s="151"/>
      <c r="T65" s="166"/>
      <c r="U65" s="207"/>
      <c r="V65" s="174"/>
      <c r="W65" s="69"/>
      <c r="X65" s="157"/>
      <c r="Y65" s="206"/>
      <c r="Z65" s="151"/>
      <c r="AA65" s="166"/>
      <c r="AB65" s="207"/>
      <c r="AC65" s="174"/>
      <c r="AD65" s="69"/>
      <c r="AE65" s="157"/>
      <c r="AF65" s="206"/>
      <c r="AG65" s="151"/>
      <c r="AH65" s="166"/>
      <c r="AI65" s="207"/>
      <c r="AJ65" s="174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</row>
    <row r="66" spans="1:49" x14ac:dyDescent="0.25">
      <c r="A66" s="1"/>
      <c r="B66" s="236" t="s">
        <v>99</v>
      </c>
      <c r="C66" s="160"/>
      <c r="D66" s="160"/>
      <c r="E66" s="160"/>
      <c r="F66" s="237"/>
      <c r="G66" s="238"/>
      <c r="H66" s="241">
        <f>IF($G$56&gt;0,SUM(H50,H51:H58),0)</f>
        <v>2378.5962863674786</v>
      </c>
      <c r="I66" s="240"/>
      <c r="J66" s="239"/>
      <c r="K66" s="239"/>
      <c r="L66" s="241">
        <f>IF($K$56&gt;0,SUM(L50,L51:L58),0)</f>
        <v>2756.0361321256596</v>
      </c>
      <c r="M66" s="249"/>
      <c r="N66" s="241">
        <f t="shared" ref="N66:N71" si="32">L66-H66</f>
        <v>377.43984575818104</v>
      </c>
      <c r="O66" s="180">
        <f t="shared" si="28"/>
        <v>0.15868176029762324</v>
      </c>
      <c r="Q66" s="242"/>
      <c r="R66" s="242"/>
      <c r="S66" s="243"/>
      <c r="T66" s="240"/>
      <c r="U66" s="89"/>
      <c r="V66" s="90"/>
      <c r="W66" s="69"/>
      <c r="X66" s="242"/>
      <c r="Y66" s="242"/>
      <c r="Z66" s="243"/>
      <c r="AA66" s="240"/>
      <c r="AB66" s="89"/>
      <c r="AC66" s="90"/>
      <c r="AD66" s="69"/>
      <c r="AE66" s="242"/>
      <c r="AF66" s="242"/>
      <c r="AG66" s="243"/>
      <c r="AH66" s="240"/>
      <c r="AI66" s="89"/>
      <c r="AJ66" s="90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</row>
    <row r="67" spans="1:49" x14ac:dyDescent="0.25">
      <c r="A67" s="1"/>
      <c r="B67" s="244" t="s">
        <v>9</v>
      </c>
      <c r="C67" s="160"/>
      <c r="D67" s="160"/>
      <c r="E67" s="160"/>
      <c r="F67" s="245">
        <v>0.13</v>
      </c>
      <c r="G67" s="238"/>
      <c r="H67" s="250">
        <f>$H$66*F67</f>
        <v>309.21751722777225</v>
      </c>
      <c r="I67" s="249"/>
      <c r="J67" s="247">
        <v>0.13</v>
      </c>
      <c r="K67" s="248"/>
      <c r="L67" s="250">
        <f>$L$66*J67</f>
        <v>358.28469717633578</v>
      </c>
      <c r="M67" s="187"/>
      <c r="N67" s="250">
        <f t="shared" si="32"/>
        <v>49.067179948563535</v>
      </c>
      <c r="O67" s="85">
        <f t="shared" si="28"/>
        <v>0.15868176029762321</v>
      </c>
      <c r="Q67" s="251"/>
      <c r="R67" s="252"/>
      <c r="S67" s="253"/>
      <c r="T67" s="249"/>
      <c r="U67" s="89"/>
      <c r="V67" s="90"/>
      <c r="W67" s="69"/>
      <c r="X67" s="251"/>
      <c r="Y67" s="252"/>
      <c r="Z67" s="253"/>
      <c r="AA67" s="249"/>
      <c r="AB67" s="89"/>
      <c r="AC67" s="90"/>
      <c r="AD67" s="69"/>
      <c r="AE67" s="251"/>
      <c r="AF67" s="252"/>
      <c r="AG67" s="253"/>
      <c r="AH67" s="249"/>
      <c r="AI67" s="89"/>
      <c r="AJ67" s="90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</row>
    <row r="68" spans="1:49" x14ac:dyDescent="0.25">
      <c r="A68" s="1"/>
      <c r="B68" s="182" t="s">
        <v>106</v>
      </c>
      <c r="C68" s="78"/>
      <c r="D68" s="78"/>
      <c r="E68" s="78"/>
      <c r="F68" s="183">
        <v>-0.05</v>
      </c>
      <c r="G68" s="87"/>
      <c r="H68" s="188">
        <f>$H$66*F68</f>
        <v>-118.92981431837393</v>
      </c>
      <c r="I68" s="187"/>
      <c r="J68" s="183">
        <v>-0.05</v>
      </c>
      <c r="K68" s="184"/>
      <c r="L68" s="188">
        <f>$L$66*J68</f>
        <v>-137.80180660628298</v>
      </c>
      <c r="M68" s="249"/>
      <c r="N68" s="188">
        <f t="shared" si="32"/>
        <v>-18.871992287909052</v>
      </c>
      <c r="O68" s="85">
        <f t="shared" si="28"/>
        <v>0.15868176029762324</v>
      </c>
      <c r="Q68" s="189"/>
      <c r="R68" s="187"/>
      <c r="S68" s="190"/>
      <c r="T68" s="187"/>
      <c r="U68" s="89"/>
      <c r="V68" s="90"/>
      <c r="W68" s="69"/>
      <c r="X68" s="189"/>
      <c r="Y68" s="187"/>
      <c r="Z68" s="253"/>
      <c r="AA68" s="249"/>
      <c r="AB68" s="89"/>
      <c r="AC68" s="90"/>
      <c r="AD68" s="69"/>
      <c r="AE68" s="251"/>
      <c r="AF68" s="252"/>
      <c r="AG68" s="253"/>
      <c r="AH68" s="249"/>
      <c r="AI68" s="89"/>
      <c r="AJ68" s="90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</row>
    <row r="69" spans="1:49" x14ac:dyDescent="0.25">
      <c r="A69" s="159"/>
      <c r="B69" s="254" t="s">
        <v>100</v>
      </c>
      <c r="C69" s="160"/>
      <c r="D69" s="160"/>
      <c r="E69" s="160"/>
      <c r="F69" s="255"/>
      <c r="G69" s="166"/>
      <c r="H69" s="250">
        <f>SUM(H66:H68)</f>
        <v>2568.8839892768765</v>
      </c>
      <c r="I69" s="249"/>
      <c r="J69" s="246"/>
      <c r="K69" s="246"/>
      <c r="L69" s="250">
        <f>SUM(L66:L68)</f>
        <v>2976.519022695712</v>
      </c>
      <c r="M69" s="249"/>
      <c r="N69" s="250">
        <f t="shared" si="32"/>
        <v>407.63503341883552</v>
      </c>
      <c r="O69" s="85">
        <f t="shared" si="28"/>
        <v>0.15868176029762326</v>
      </c>
      <c r="Q69" s="249"/>
      <c r="R69" s="249"/>
      <c r="S69" s="253"/>
      <c r="T69" s="249"/>
      <c r="U69" s="89"/>
      <c r="V69" s="90"/>
      <c r="W69" s="69"/>
      <c r="X69" s="249"/>
      <c r="Y69" s="249"/>
      <c r="Z69" s="253"/>
      <c r="AA69" s="249"/>
      <c r="AB69" s="89"/>
      <c r="AC69" s="90"/>
      <c r="AD69" s="69"/>
      <c r="AE69" s="249"/>
      <c r="AF69" s="249"/>
      <c r="AG69" s="253"/>
      <c r="AH69" s="249"/>
      <c r="AI69" s="89"/>
      <c r="AJ69" s="90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</row>
    <row r="70" spans="1:49" x14ac:dyDescent="0.25">
      <c r="A70" s="159"/>
      <c r="B70" s="516" t="s">
        <v>101</v>
      </c>
      <c r="C70" s="516"/>
      <c r="D70" s="516"/>
      <c r="E70" s="160"/>
      <c r="F70" s="255"/>
      <c r="G70" s="166"/>
      <c r="H70" s="256">
        <f>ROUND(-H69*0%,2)</f>
        <v>0</v>
      </c>
      <c r="I70" s="249"/>
      <c r="J70" s="246"/>
      <c r="K70" s="246"/>
      <c r="L70" s="256">
        <f>ROUND(-L69*0%,2)</f>
        <v>0</v>
      </c>
      <c r="M70" s="240"/>
      <c r="N70" s="256">
        <f t="shared" si="32"/>
        <v>0</v>
      </c>
      <c r="O70" s="257" t="str">
        <f>IF(OR(H70=0,L70=0),"",(N70/H70))</f>
        <v/>
      </c>
      <c r="Q70" s="249"/>
      <c r="R70" s="249"/>
      <c r="S70" s="258"/>
      <c r="T70" s="249"/>
      <c r="U70" s="259"/>
      <c r="V70" s="90"/>
      <c r="W70" s="69"/>
      <c r="X70" s="249"/>
      <c r="Y70" s="249"/>
      <c r="Z70" s="258"/>
      <c r="AA70" s="249"/>
      <c r="AB70" s="259"/>
      <c r="AC70" s="90"/>
      <c r="AD70" s="69"/>
      <c r="AE70" s="249"/>
      <c r="AF70" s="249"/>
      <c r="AG70" s="258"/>
      <c r="AH70" s="249"/>
      <c r="AI70" s="259"/>
      <c r="AJ70" s="90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</row>
    <row r="71" spans="1:49" ht="15.75" thickBot="1" x14ac:dyDescent="0.3">
      <c r="A71" s="159"/>
      <c r="B71" s="513" t="s">
        <v>102</v>
      </c>
      <c r="C71" s="513"/>
      <c r="D71" s="513"/>
      <c r="E71" s="260"/>
      <c r="F71" s="261"/>
      <c r="G71" s="262"/>
      <c r="H71" s="265">
        <f>SUM(H69:H70)</f>
        <v>2568.8839892768765</v>
      </c>
      <c r="I71" s="240"/>
      <c r="J71" s="263"/>
      <c r="K71" s="263"/>
      <c r="L71" s="265">
        <f>SUM(L69:L70)</f>
        <v>2976.519022695712</v>
      </c>
      <c r="M71" s="166"/>
      <c r="N71" s="265">
        <f t="shared" si="32"/>
        <v>407.63503341883552</v>
      </c>
      <c r="O71" s="197">
        <f t="shared" si="28"/>
        <v>0.15868176029762326</v>
      </c>
      <c r="Q71" s="240"/>
      <c r="R71" s="240"/>
      <c r="S71" s="243"/>
      <c r="T71" s="240"/>
      <c r="U71" s="121"/>
      <c r="V71" s="223"/>
      <c r="W71" s="69"/>
      <c r="X71" s="240"/>
      <c r="Y71" s="240"/>
      <c r="Z71" s="243"/>
      <c r="AA71" s="240"/>
      <c r="AB71" s="121"/>
      <c r="AC71" s="223"/>
      <c r="AD71" s="69"/>
      <c r="AE71" s="240"/>
      <c r="AF71" s="240"/>
      <c r="AG71" s="243"/>
      <c r="AH71" s="240"/>
      <c r="AI71" s="121"/>
      <c r="AJ71" s="223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</row>
    <row r="72" spans="1:49" ht="15.75" thickBot="1" x14ac:dyDescent="0.3">
      <c r="A72" s="159"/>
      <c r="B72" s="198"/>
      <c r="C72" s="199"/>
      <c r="D72" s="200"/>
      <c r="E72" s="199"/>
      <c r="F72" s="390"/>
      <c r="G72" s="400"/>
      <c r="H72" s="401"/>
      <c r="I72" s="166"/>
      <c r="J72" s="390"/>
      <c r="K72" s="391"/>
      <c r="L72" s="392"/>
      <c r="M72" s="87"/>
      <c r="N72" s="268"/>
      <c r="O72" s="205"/>
      <c r="Q72" s="157"/>
      <c r="R72" s="206"/>
      <c r="S72" s="151"/>
      <c r="T72" s="166"/>
      <c r="U72" s="207"/>
      <c r="V72" s="174"/>
      <c r="W72" s="69"/>
      <c r="X72" s="157"/>
      <c r="Y72" s="206"/>
      <c r="Z72" s="151"/>
      <c r="AA72" s="166"/>
      <c r="AB72" s="207"/>
      <c r="AC72" s="174"/>
      <c r="AD72" s="69"/>
      <c r="AE72" s="157"/>
      <c r="AF72" s="206"/>
      <c r="AG72" s="151"/>
      <c r="AH72" s="166"/>
      <c r="AI72" s="207"/>
      <c r="AJ72" s="174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</row>
    <row r="73" spans="1:49" x14ac:dyDescent="0.25">
      <c r="A73" s="159"/>
      <c r="B73" s="1"/>
      <c r="C73" s="1"/>
      <c r="D73" s="1"/>
      <c r="E73" s="1"/>
      <c r="F73" s="1"/>
      <c r="G73" s="1"/>
      <c r="H73" s="67"/>
      <c r="I73" s="1"/>
      <c r="J73" s="1"/>
      <c r="K73" s="1"/>
      <c r="L73" s="67"/>
      <c r="M73" s="1"/>
      <c r="N73" s="1"/>
      <c r="O73" s="1"/>
      <c r="Q73" s="2"/>
      <c r="R73" s="2"/>
      <c r="S73" s="208"/>
      <c r="T73" s="2"/>
      <c r="U73" s="2"/>
      <c r="V73" s="2"/>
      <c r="W73" s="69"/>
      <c r="X73" s="2"/>
      <c r="Y73" s="2"/>
      <c r="Z73" s="208"/>
      <c r="AA73" s="2"/>
      <c r="AB73" s="2"/>
      <c r="AC73" s="2"/>
      <c r="AD73" s="69"/>
      <c r="AE73" s="2"/>
      <c r="AF73" s="2"/>
      <c r="AG73" s="208"/>
      <c r="AH73" s="2"/>
      <c r="AI73" s="2"/>
      <c r="AJ73" s="2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</row>
    <row r="74" spans="1:49" x14ac:dyDescent="0.25">
      <c r="A74" s="159"/>
      <c r="B74" s="65" t="s">
        <v>10</v>
      </c>
      <c r="C74" s="1"/>
      <c r="D74" s="1"/>
      <c r="E74" s="1"/>
      <c r="F74" s="209">
        <f>Rates!$S$2-1</f>
        <v>4.9500000000000099E-2</v>
      </c>
      <c r="G74" s="1"/>
      <c r="H74" s="1"/>
      <c r="I74" s="1"/>
      <c r="J74" s="209">
        <f>Rates!$T$2-1</f>
        <v>3.0684649944026976E-2</v>
      </c>
      <c r="K74" s="1"/>
      <c r="L74" s="67"/>
      <c r="M74" s="1"/>
      <c r="N74" s="1"/>
      <c r="O74" s="1"/>
      <c r="Q74" s="210"/>
      <c r="R74" s="2"/>
      <c r="S74" s="2"/>
      <c r="T74" s="2"/>
      <c r="U74" s="2"/>
      <c r="V74" s="2"/>
      <c r="W74" s="69"/>
      <c r="X74" s="210"/>
      <c r="Y74" s="2"/>
      <c r="Z74" s="2"/>
      <c r="AA74" s="2"/>
      <c r="AB74" s="2"/>
      <c r="AC74" s="2"/>
      <c r="AD74" s="69"/>
      <c r="AE74" s="210"/>
      <c r="AF74" s="2"/>
      <c r="AG74" s="2"/>
      <c r="AH74" s="2"/>
      <c r="AI74" s="2"/>
      <c r="AJ74" s="2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</row>
    <row r="75" spans="1:49" x14ac:dyDescent="0.25">
      <c r="A75" s="15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49" x14ac:dyDescent="0.25">
      <c r="A79" s="1" t="s">
        <v>84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49" x14ac:dyDescent="0.25">
      <c r="A80" s="1" t="s">
        <v>85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25">
      <c r="A82" s="64" t="s">
        <v>86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5">
      <c r="A83" s="64" t="s">
        <v>87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25">
      <c r="A85" s="1" t="s">
        <v>88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25">
      <c r="A86" s="1" t="s">
        <v>89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25">
      <c r="A87" s="1" t="s">
        <v>90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25">
      <c r="A88" s="1" t="s">
        <v>91</v>
      </c>
      <c r="B88" s="1" t="s">
        <v>93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25">
      <c r="A89" s="1" t="s">
        <v>92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</sheetData>
  <mergeCells count="24">
    <mergeCell ref="AI20:AJ20"/>
    <mergeCell ref="A3:K3"/>
    <mergeCell ref="B10:O10"/>
    <mergeCell ref="B11:O11"/>
    <mergeCell ref="D14:O14"/>
    <mergeCell ref="F20:H20"/>
    <mergeCell ref="J20:L20"/>
    <mergeCell ref="N20:O20"/>
    <mergeCell ref="Q20:S20"/>
    <mergeCell ref="U20:V20"/>
    <mergeCell ref="X20:Z20"/>
    <mergeCell ref="AB20:AC20"/>
    <mergeCell ref="AE20:AG20"/>
    <mergeCell ref="AI21:AI22"/>
    <mergeCell ref="AJ21:AJ22"/>
    <mergeCell ref="B64:D64"/>
    <mergeCell ref="B70:D70"/>
    <mergeCell ref="B71:D71"/>
    <mergeCell ref="N21:N22"/>
    <mergeCell ref="O21:O22"/>
    <mergeCell ref="U21:U22"/>
    <mergeCell ref="V21:V22"/>
    <mergeCell ref="AB21:AB22"/>
    <mergeCell ref="AC21:AC22"/>
  </mergeCells>
  <dataValidations count="3">
    <dataValidation type="list" allowBlank="1" showInputMessage="1" showErrorMessage="1" sqref="D16">
      <formula1>"TOU, non-TOU"</formula1>
    </dataValidation>
    <dataValidation type="list" allowBlank="1" showInputMessage="1" showErrorMessage="1" prompt="Select Charge Unit - monthly, per kWh, per kW" sqref="D72 D61 D65">
      <formula1>"Monthly, per kWh, per kW"</formula1>
    </dataValidation>
    <dataValidation type="list" allowBlank="1" showInputMessage="1" showErrorMessage="1" sqref="E48:E49 E72 E65 E51:E61 E37:E46 E23:E35">
      <formula1>#REF!</formula1>
    </dataValidation>
  </dataValidations>
  <printOptions horizontalCentered="1"/>
  <pageMargins left="0.3" right="0.35" top="0.92" bottom="0.7" header="0.56999999999999995" footer="0.41"/>
  <pageSetup paperSize="256" scale="60" fitToHeight="0" orientation="landscape" r:id="rId1"/>
  <headerFoot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5171" r:id="rId4" name="Option Button 3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619125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72" r:id="rId5" name="Option Button 4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73" r:id="rId6" name="Option Button 5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619125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74" r:id="rId7" name="Option Button 6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75" r:id="rId8" name="Option Button 7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619125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76" r:id="rId9" name="Option Button 8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77" r:id="rId10" name="Option Button 9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619125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78" r:id="rId11" name="Option Button 10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79" r:id="rId12" name="Option Button 11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0</xdr:rowOff>
                  </from>
                  <to>
                    <xdr:col>14</xdr:col>
                    <xdr:colOff>619125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80" r:id="rId13" name="Option Button 12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0</xdr:rowOff>
                  </from>
                  <to>
                    <xdr:col>9</xdr:col>
                    <xdr:colOff>95250</xdr:colOff>
                    <xdr:row>90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86"/>
  <sheetViews>
    <sheetView zoomScale="65" zoomScaleNormal="65" workbookViewId="0">
      <selection activeCell="C48" sqref="C48"/>
    </sheetView>
  </sheetViews>
  <sheetFormatPr defaultRowHeight="15" x14ac:dyDescent="0.25"/>
  <cols>
    <col min="1" max="1" width="64.140625" bestFit="1" customWidth="1"/>
    <col min="2" max="2" width="17.28515625" bestFit="1" customWidth="1"/>
    <col min="3" max="3" width="17.5703125" bestFit="1" customWidth="1"/>
    <col min="4" max="4" width="17.28515625" bestFit="1" customWidth="1"/>
    <col min="5" max="5" width="20.7109375" bestFit="1" customWidth="1"/>
    <col min="6" max="6" width="17.28515625" bestFit="1" customWidth="1"/>
    <col min="7" max="7" width="22.85546875" bestFit="1" customWidth="1"/>
    <col min="8" max="8" width="21.42578125" style="293" bestFit="1" customWidth="1"/>
  </cols>
  <sheetData>
    <row r="1" spans="1:8" s="330" customFormat="1" ht="30" x14ac:dyDescent="0.25">
      <c r="A1" s="328"/>
      <c r="B1" s="329" t="s">
        <v>147</v>
      </c>
      <c r="C1" s="329" t="s">
        <v>148</v>
      </c>
      <c r="D1" s="329" t="s">
        <v>149</v>
      </c>
      <c r="E1" s="329" t="s">
        <v>150</v>
      </c>
      <c r="F1" s="329" t="s">
        <v>174</v>
      </c>
      <c r="G1" s="329" t="s">
        <v>151</v>
      </c>
      <c r="H1" s="329" t="s">
        <v>152</v>
      </c>
    </row>
    <row r="2" spans="1:8" x14ac:dyDescent="0.25">
      <c r="A2" s="20" t="s">
        <v>130</v>
      </c>
      <c r="B2" s="287">
        <f>'Residential CND'!$H$36</f>
        <v>24.831489999999999</v>
      </c>
      <c r="C2" s="287">
        <f>'Residential CND'!$H$47-'Residential CND'!$H$36</f>
        <v>-1.6920049418712537</v>
      </c>
      <c r="D2" s="287">
        <f>'Residential CND'!$H$50-'Residential CND'!$H$47</f>
        <v>7.9837875000000018</v>
      </c>
      <c r="E2" s="287">
        <f>SUM('Residential CND'!$H$51:$H$54)</f>
        <v>3.2729875000000002</v>
      </c>
      <c r="F2" s="287">
        <f>SUM('Residential CND'!$H$55:$H$59)</f>
        <v>61.62</v>
      </c>
      <c r="G2" s="287">
        <f>'Residential CND'!$H$63+'Residential CND'!$H$64</f>
        <v>7.6813008046503004</v>
      </c>
      <c r="H2" s="291">
        <f>SUM(B2:G2)</f>
        <v>103.69756086277906</v>
      </c>
    </row>
    <row r="3" spans="1:8" x14ac:dyDescent="0.25">
      <c r="A3" s="20" t="s">
        <v>131</v>
      </c>
      <c r="B3" s="287">
        <f>'Residential BRT'!$H$36</f>
        <v>30.025000000000002</v>
      </c>
      <c r="C3" s="287">
        <f>'Residential BRT'!$H$47-'Residential BRT'!$H$36</f>
        <v>0.56475229030497687</v>
      </c>
      <c r="D3" s="287">
        <f>'Residential BRT'!$H$50-'Residential BRT'!$H$47</f>
        <v>7.3989750000000001</v>
      </c>
      <c r="E3" s="287">
        <f>SUM('Residential BRT'!$H$51:$H$54)</f>
        <v>3.3197875000000003</v>
      </c>
      <c r="F3" s="287">
        <f>SUM('Residential BRT'!$H$55:$H$59)</f>
        <v>61.62</v>
      </c>
      <c r="G3" s="287">
        <f>'Residential BRT'!$H$63+'Residential BRT'!$H$64</f>
        <v>8.2342811832243967</v>
      </c>
      <c r="H3" s="291">
        <f t="shared" ref="H3:H20" si="0">SUM(B3:G3)</f>
        <v>111.16279597352937</v>
      </c>
    </row>
    <row r="4" spans="1:8" x14ac:dyDescent="0.25">
      <c r="A4" s="20" t="s">
        <v>132</v>
      </c>
      <c r="B4" s="287">
        <f>'GS&lt;50 CND'!$H$36</f>
        <v>43.205379999999998</v>
      </c>
      <c r="C4" s="287">
        <f>'GS&lt;50 CND'!$H$47-'GS&lt;50 CND'!$H$36</f>
        <v>-5.3640628391971887</v>
      </c>
      <c r="D4" s="287">
        <f>'GS&lt;50 CND'!$H$50-'GS&lt;50 CND'!$H$47</f>
        <v>19.223099999999995</v>
      </c>
      <c r="E4" s="287">
        <f>SUM('GS&lt;50 CND'!$H$51:$H$54)</f>
        <v>8.311300000000001</v>
      </c>
      <c r="F4" s="287">
        <f>SUM('GS&lt;50 CND'!$H$56:$H$60)</f>
        <v>164.32</v>
      </c>
      <c r="G4" s="287">
        <f>'GS&lt;50 CND'!$H$64+'GS&lt;50 CND'!$H$65</f>
        <v>19.495657372864223</v>
      </c>
      <c r="H4" s="291">
        <f>SUM(B4:G4)</f>
        <v>249.19137453366704</v>
      </c>
    </row>
    <row r="5" spans="1:8" x14ac:dyDescent="0.25">
      <c r="A5" s="20" t="s">
        <v>133</v>
      </c>
      <c r="B5" s="287">
        <f>'GS&lt;50 BRT'!$H$36</f>
        <v>57.69</v>
      </c>
      <c r="C5" s="287">
        <f>'GS&lt;50 BRT'!$H$47-'GS&lt;50 BRT'!$H$36</f>
        <v>0.7349590625050908</v>
      </c>
      <c r="D5" s="287">
        <f>'GS&lt;50 BRT'!$H$50-'GS&lt;50 BRT'!$H$47</f>
        <v>17.631599999999999</v>
      </c>
      <c r="E5" s="287">
        <f>SUM('GS&lt;50 BRT'!$H$51:$H$54)</f>
        <v>8.4360999999999997</v>
      </c>
      <c r="F5" s="287">
        <f>SUM('GS&lt;50 BRT'!$H$56:$H$60)</f>
        <v>164.32</v>
      </c>
      <c r="G5" s="287">
        <f>'GS&lt;50 BRT'!$H$64+'GS&lt;50 BRT'!$H$65</f>
        <v>21.025012725000408</v>
      </c>
      <c r="H5" s="291">
        <f t="shared" si="0"/>
        <v>269.83767178750549</v>
      </c>
    </row>
    <row r="6" spans="1:8" x14ac:dyDescent="0.25">
      <c r="A6" s="20" t="s">
        <v>134</v>
      </c>
      <c r="B6" s="287">
        <f>'GS 50-999 kW CND'!$H$36</f>
        <v>368.0488939999999</v>
      </c>
      <c r="C6" s="287">
        <f>'GS 50-999 kW CND'!$H$47-'GS 50-999 kW CND'!$H$36</f>
        <v>-43.44234820359344</v>
      </c>
      <c r="D6" s="287">
        <f>'GS 50-999 kW CND'!$H$52-'GS 50-999 kW CND'!$H$47</f>
        <v>350.46</v>
      </c>
      <c r="E6" s="287">
        <f>SUM('GS 50-999 kW CND'!$H$53:$H$57)</f>
        <v>220.863</v>
      </c>
      <c r="F6" s="287">
        <f>SUM('GS 50-999 kW CND'!$H$58:$H$62)</f>
        <v>2519.3801750000002</v>
      </c>
      <c r="G6" s="287">
        <f>'GS 50-999 kW CND'!$H$65</f>
        <v>443.99026370353289</v>
      </c>
      <c r="H6" s="291">
        <f t="shared" si="0"/>
        <v>3859.2999844999395</v>
      </c>
    </row>
    <row r="7" spans="1:8" x14ac:dyDescent="0.25">
      <c r="A7" s="20" t="s">
        <v>135</v>
      </c>
      <c r="B7" s="287">
        <f>'GS 50-999 kW BRT'!$H$36</f>
        <v>332.762</v>
      </c>
      <c r="C7" s="287">
        <f>'GS 50-999 kW BRT'!$H$47-'GS 50-999 kW BRT'!$H$36</f>
        <v>178.7678321566861</v>
      </c>
      <c r="D7" s="287">
        <f>'GS 50-999 kW BRT'!$H$52-'GS 50-999 kW BRT'!$H$47</f>
        <v>204.45600000000002</v>
      </c>
      <c r="E7" s="287">
        <f>SUM('GS 50-999 kW BRT'!$H$53:$H$57)</f>
        <v>222.11100000000002</v>
      </c>
      <c r="F7" s="287">
        <f>SUM('GS 50-999 kW BRT'!$H$58:$H$62)</f>
        <v>2558.3836416666672</v>
      </c>
      <c r="G7" s="287">
        <f>'GS 50-999 kW BRT'!$H$65</f>
        <v>454.54246159703592</v>
      </c>
      <c r="H7" s="291">
        <f t="shared" si="0"/>
        <v>3951.0229354203893</v>
      </c>
    </row>
    <row r="8" spans="1:8" x14ac:dyDescent="0.25">
      <c r="A8" s="20" t="s">
        <v>136</v>
      </c>
      <c r="B8" s="287">
        <f>'GS 1000-4999 CND'!$H$36</f>
        <v>8341.8267799999994</v>
      </c>
      <c r="C8" s="287">
        <f>'GS 1000-4999 CND'!$H$47-'GS 1000-4999 CND'!$H$36</f>
        <v>-2201.6416650805868</v>
      </c>
      <c r="D8" s="287">
        <f>'GS 1000-4999 CND'!$H$50-'GS 1000-4999 CND'!$H$47</f>
        <v>8998</v>
      </c>
      <c r="E8" s="287">
        <f>SUM('GS 1000-4999 CND'!$H$51:$H$55)</f>
        <v>8824.77</v>
      </c>
      <c r="F8" s="287">
        <f>SUM('GS 1000-4999 CND'!$H$56:$H$60)</f>
        <v>100775.20700000002</v>
      </c>
      <c r="G8" s="287">
        <f>'GS 1000-4999 CND'!$H$63</f>
        <v>16215.961074939527</v>
      </c>
      <c r="H8" s="291">
        <f t="shared" si="0"/>
        <v>140954.12318985898</v>
      </c>
    </row>
    <row r="9" spans="1:8" x14ac:dyDescent="0.25">
      <c r="A9" s="20" t="s">
        <v>146</v>
      </c>
      <c r="B9" s="287">
        <f>'GS 1000-4999 BRT'!$H$36</f>
        <v>7956.3799999999992</v>
      </c>
      <c r="C9" s="287">
        <f>'GS 1000-4999 BRT'!$H$47-'GS 1000-4999 BRT'!$H$36</f>
        <v>7852.2610718895357</v>
      </c>
      <c r="D9" s="287">
        <f>'GS 1000-4999 BRT'!$H$50-'GS 1000-4999 BRT'!$H$47</f>
        <v>7318.5999999999985</v>
      </c>
      <c r="E9" s="287">
        <f>SUM('GS 1000-4999 BRT'!$H$51:$H$55)</f>
        <v>8874.69</v>
      </c>
      <c r="F9" s="287">
        <f>SUM('GS 1000-4999 BRT'!$H$56:$H$60)</f>
        <v>102335.34566666669</v>
      </c>
      <c r="G9" s="287">
        <f>'GS 1000-4999 BRT'!$H$63</f>
        <v>17463.845976012308</v>
      </c>
      <c r="H9" s="291">
        <f t="shared" si="0"/>
        <v>151801.12271456851</v>
      </c>
    </row>
    <row r="10" spans="1:8" x14ac:dyDescent="0.25">
      <c r="A10" s="20" t="s">
        <v>137</v>
      </c>
      <c r="B10" s="287">
        <f>'LARGE CND'!$H$36</f>
        <v>48858.2016</v>
      </c>
      <c r="C10" s="287">
        <f>'LARGE CND'!$H$47-'LARGE CND'!$H$36</f>
        <v>-39898.142737681628</v>
      </c>
      <c r="D10" s="287">
        <f>'LARGE CND'!$H$50-'LARGE CND'!$H$47</f>
        <v>70408</v>
      </c>
      <c r="E10" s="287">
        <f>SUM('LARGE CND'!$H$51:$H$55)</f>
        <v>72056.08</v>
      </c>
      <c r="F10" s="287">
        <f>SUM('LARGE CND'!$H$56:$H$60)</f>
        <v>808066.50925</v>
      </c>
      <c r="G10" s="287">
        <f>'LARGE CND'!$H$63</f>
        <v>124733.78425460139</v>
      </c>
      <c r="H10" s="291">
        <f t="shared" si="0"/>
        <v>1084224.4323669197</v>
      </c>
    </row>
    <row r="11" spans="1:8" x14ac:dyDescent="0.25">
      <c r="A11" s="20" t="s">
        <v>139</v>
      </c>
      <c r="B11" s="287">
        <f>'EMB CND HON'!$H$36</f>
        <v>5296.1409071999997</v>
      </c>
      <c r="C11" s="287">
        <f>'EMB CND HON'!$H$47-'EMB CND HON'!$H$36</f>
        <v>3268.4608791544861</v>
      </c>
      <c r="D11" s="287">
        <f>'EMB CND HON'!$H$50-'EMB CND HON'!$H$47</f>
        <v>11326.887000000001</v>
      </c>
      <c r="E11" s="287">
        <f>SUM('EMB CND HON'!$H$51:$H$55)</f>
        <v>15190.710299999999</v>
      </c>
      <c r="F11" s="287">
        <f>SUM('EMB CND HON'!$H$56:$H$60)</f>
        <v>172404.70787583332</v>
      </c>
      <c r="G11" s="287">
        <f>'EMB CND HON'!$H$63</f>
        <v>26973.297905084415</v>
      </c>
      <c r="H11" s="291">
        <f t="shared" si="0"/>
        <v>234460.20486727223</v>
      </c>
    </row>
    <row r="12" spans="1:8" x14ac:dyDescent="0.25">
      <c r="A12" s="20" t="s">
        <v>140</v>
      </c>
      <c r="B12" s="287">
        <f>'EMB CND WNH'!$H$36</f>
        <v>15870.246191999999</v>
      </c>
      <c r="C12" s="287">
        <f>'EMB CND WNH'!$H$47-'EMB CND WNH'!$H$36</f>
        <v>-4461.2354376848707</v>
      </c>
      <c r="D12" s="287">
        <f>'EMB CND WNH'!$H$50-'EMB CND WNH'!$H$47</f>
        <v>36436.14</v>
      </c>
      <c r="E12" s="287">
        <f>SUM('EMB CND WNH'!$H$51:$H$55)</f>
        <v>0.25</v>
      </c>
      <c r="F12" s="287">
        <f>SUM('EMB CND WNH'!$H$56:$H$60)</f>
        <v>0</v>
      </c>
      <c r="G12" s="287">
        <f>'EMB CND WNH'!$H$63</f>
        <v>6219.9020980609675</v>
      </c>
      <c r="H12" s="291">
        <f t="shared" si="0"/>
        <v>54065.302852376088</v>
      </c>
    </row>
    <row r="13" spans="1:8" x14ac:dyDescent="0.25">
      <c r="A13" s="20" t="s">
        <v>178</v>
      </c>
      <c r="B13" s="287">
        <f>'EMB BRT HON 1'!$H$36</f>
        <v>9292.4779999999992</v>
      </c>
      <c r="C13" s="287">
        <f>'EMB BRT HON 1'!$H$47-'EMB BRT HON 1'!$H$36</f>
        <v>14355.945454110759</v>
      </c>
      <c r="D13" s="287">
        <f>'EMB BRT HON 1'!$H$50-'EMB BRT HON 1'!$H$47</f>
        <v>8562.7619999999988</v>
      </c>
      <c r="E13" s="287">
        <f>SUM('EMB BRT HON 1'!$H$51:$H$55)</f>
        <v>14421.215</v>
      </c>
      <c r="F13" s="287">
        <f>SUM('EMB BRT HON 1'!$H$56:$H$60)</f>
        <v>166294.93670833338</v>
      </c>
      <c r="G13" s="287">
        <f>'EMB BRT HON 1'!$H$63</f>
        <v>27680.553831117737</v>
      </c>
      <c r="H13" s="291">
        <f t="shared" si="0"/>
        <v>240607.89099356189</v>
      </c>
    </row>
    <row r="14" spans="1:8" x14ac:dyDescent="0.25">
      <c r="A14" s="20" t="s">
        <v>179</v>
      </c>
      <c r="B14" s="287">
        <f>'EMB BRT HON 2'!$H$36</f>
        <v>96.98</v>
      </c>
      <c r="C14" s="287">
        <f>'EMB BRT HON 2'!$H$47-'EMB BRT HON 2'!$H$36</f>
        <v>0</v>
      </c>
      <c r="D14" s="287">
        <f>'EMB BRT HON 2'!$H$50-'EMB BRT HON 2'!$H$47</f>
        <v>0</v>
      </c>
      <c r="E14" s="287">
        <f>SUM('EMB BRT HON 2'!$H$51:$H$55)</f>
        <v>22075.419500000004</v>
      </c>
      <c r="F14" s="287">
        <f>SUM('EMB BRT HON 2'!$H$56:$H$60)</f>
        <v>254559.17234583339</v>
      </c>
      <c r="G14" s="287">
        <f>'EMB BRT HON 2'!$H$63</f>
        <v>35975.104339958343</v>
      </c>
      <c r="H14" s="291">
        <f t="shared" si="0"/>
        <v>312706.67618579173</v>
      </c>
    </row>
    <row r="15" spans="1:8" x14ac:dyDescent="0.25">
      <c r="A15" s="20" t="s">
        <v>138</v>
      </c>
      <c r="B15" s="287">
        <f>'EMB BRT BPI'!$H$36</f>
        <v>203.08190000000002</v>
      </c>
      <c r="C15" s="287">
        <f>'EMB BRT BPI'!$H$46-'EMB BRT BPI'!$H$36</f>
        <v>662.64552447050869</v>
      </c>
      <c r="D15" s="287">
        <f>'EMB BRT BPI'!$H$49-'EMB BRT BPI'!$H$46</f>
        <v>98.801100000000019</v>
      </c>
      <c r="E15" s="287">
        <f>SUM('EMB BRT BPI'!$H$50:$H$54)</f>
        <v>552.85500000000002</v>
      </c>
      <c r="F15" s="287">
        <f>SUM('EMB BRT BPI'!$H$55:$H$59)</f>
        <v>6331.9690416666663</v>
      </c>
      <c r="G15" s="287">
        <f>'EMB BRT BPI'!$H$62</f>
        <v>1020.4158335978328</v>
      </c>
      <c r="H15" s="291">
        <f t="shared" si="0"/>
        <v>8869.7683997350086</v>
      </c>
    </row>
    <row r="16" spans="1:8" x14ac:dyDescent="0.25">
      <c r="A16" s="20" t="s">
        <v>143</v>
      </c>
      <c r="B16" s="287">
        <f>'STREET LIGHTING CND'!$H$36</f>
        <v>44773.083479999994</v>
      </c>
      <c r="C16" s="287">
        <f>'STREET LIGHTING CND'!$H$47-'STREET LIGHTING CND'!$H$36</f>
        <v>-122.40820748323313</v>
      </c>
      <c r="D16" s="287">
        <f>'STREET LIGHTING CND'!$H$50-'STREET LIGHTING CND'!$H$47</f>
        <v>2054.7099999999991</v>
      </c>
      <c r="E16" s="287">
        <f>SUM('STREET LIGHTING CND'!$H$51:$H$55)</f>
        <v>4412.51</v>
      </c>
      <c r="F16" s="287">
        <f>SUM('STREET LIGHTING CND'!$H$56:$H$60)</f>
        <v>50387.603500000012</v>
      </c>
      <c r="G16" s="287">
        <f>'STREET LIGHTING CND'!$H$63</f>
        <v>13195.714840427181</v>
      </c>
      <c r="H16" s="291">
        <f t="shared" si="0"/>
        <v>114701.21361294396</v>
      </c>
    </row>
    <row r="17" spans="1:8" x14ac:dyDescent="0.25">
      <c r="A17" s="20" t="s">
        <v>144</v>
      </c>
      <c r="B17" s="287">
        <f>'STREET LIGHTING BRT'!$H$36</f>
        <v>12373.129199999999</v>
      </c>
      <c r="C17" s="287">
        <f>'STREET LIGHTING BRT'!$H$47-'STREET LIGHTING BRT'!$H$36</f>
        <v>8295.0693057138524</v>
      </c>
      <c r="D17" s="287">
        <f>'STREET LIGHTING BRT'!$H$50-'STREET LIGHTING BRT'!$H$47</f>
        <v>456.24479999999676</v>
      </c>
      <c r="E17" s="287">
        <f>SUM('STREET LIGHTING BRT'!$H$51:$H$55)</f>
        <v>6656.08</v>
      </c>
      <c r="F17" s="287">
        <f>SUM('STREET LIGHTING BRT'!$H$56:$H$60)</f>
        <v>76751.509250000017</v>
      </c>
      <c r="G17" s="287">
        <f>'STREET LIGHTING BRT'!$H$63</f>
        <v>13589.164232242803</v>
      </c>
      <c r="H17" s="291">
        <f t="shared" si="0"/>
        <v>118121.19678795668</v>
      </c>
    </row>
    <row r="18" spans="1:8" x14ac:dyDescent="0.25">
      <c r="A18" s="20" t="s">
        <v>141</v>
      </c>
      <c r="B18" s="287">
        <f>'USL CND'!$H$36</f>
        <v>7.15381</v>
      </c>
      <c r="C18" s="287">
        <f>'USL CND'!$H$47-'USL CND'!$H$36</f>
        <v>-0.29499008362206602</v>
      </c>
      <c r="D18" s="287">
        <f>'USL CND'!$H$50-'USL CND'!$H$47</f>
        <v>0.96115499999999976</v>
      </c>
      <c r="E18" s="287">
        <f>SUM('USL CND'!$H$51:$H$56)</f>
        <v>5.5780650000000005</v>
      </c>
      <c r="F18" s="287">
        <f>SUM('USL CND'!$H$57:$H$61)</f>
        <v>3.9910000000000005</v>
      </c>
      <c r="G18" s="287">
        <f>'USL CND'!$H$64+'USL CND'!$H$65</f>
        <v>1.3911231933102348</v>
      </c>
      <c r="H18" s="291">
        <f t="shared" si="0"/>
        <v>18.780163109688171</v>
      </c>
    </row>
    <row r="19" spans="1:8" x14ac:dyDescent="0.25">
      <c r="A19" s="20" t="s">
        <v>142</v>
      </c>
      <c r="B19" s="287">
        <f>'USL BRT'!$H$36</f>
        <v>4.37</v>
      </c>
      <c r="C19" s="287">
        <f>'USL BRT'!$H$47-'USL BRT'!$H$36</f>
        <v>1.260888064332466E-2</v>
      </c>
      <c r="D19" s="287">
        <f>'USL BRT'!$H$50-'USL BRT'!$H$47</f>
        <v>0.88158000000000047</v>
      </c>
      <c r="E19" s="287">
        <f>SUM('USL BRT'!$H$51:$H$56)</f>
        <v>5.5843050000000005</v>
      </c>
      <c r="F19" s="287">
        <f>SUM('USL BRT'!$H$57:$H$61)</f>
        <v>3.9910000000000005</v>
      </c>
      <c r="G19" s="287">
        <f>'USL BRT'!$H$64+'USL BRT'!$H$65</f>
        <v>1.1871595104514658</v>
      </c>
      <c r="H19" s="291">
        <f t="shared" si="0"/>
        <v>16.02665339109479</v>
      </c>
    </row>
    <row r="20" spans="1:8" x14ac:dyDescent="0.25">
      <c r="A20" s="20" t="s">
        <v>145</v>
      </c>
      <c r="B20" s="287">
        <f>'SENTINEL BRT'!$H$36</f>
        <v>1227.3011999999999</v>
      </c>
      <c r="C20" s="287">
        <f>'SENTINEL BRT'!$H$47-'SENTINEL BRT'!$H$36</f>
        <v>102.57588636747869</v>
      </c>
      <c r="D20" s="287">
        <f>'SENTINEL BRT'!$H$50-'SENTINEL BRT'!$H$47</f>
        <v>75.26949999999988</v>
      </c>
      <c r="E20" s="287">
        <f>SUM('SENTINEL BRT'!$H$51:$H$55)</f>
        <v>111.18050000000001</v>
      </c>
      <c r="F20" s="287">
        <f>SUM('SENTINEL BRT'!$H$56:$H$60)</f>
        <v>862.26920000000018</v>
      </c>
      <c r="G20" s="287">
        <f>'SENTINEL BRT'!$H$67+'SENTINEL BRT'!$H$68</f>
        <v>190.28770290939832</v>
      </c>
      <c r="H20" s="291">
        <f t="shared" si="0"/>
        <v>2568.8839892768769</v>
      </c>
    </row>
    <row r="23" spans="1:8" s="332" customFormat="1" ht="30" x14ac:dyDescent="0.25">
      <c r="A23" s="330"/>
      <c r="B23" s="331" t="s">
        <v>153</v>
      </c>
      <c r="C23" s="331" t="s">
        <v>154</v>
      </c>
      <c r="D23" s="331" t="s">
        <v>155</v>
      </c>
      <c r="E23" s="331" t="s">
        <v>156</v>
      </c>
      <c r="F23" s="331" t="s">
        <v>173</v>
      </c>
      <c r="G23" s="331" t="s">
        <v>157</v>
      </c>
      <c r="H23" s="331" t="s">
        <v>158</v>
      </c>
    </row>
    <row r="24" spans="1:8" x14ac:dyDescent="0.25">
      <c r="A24" s="28" t="s">
        <v>130</v>
      </c>
      <c r="B24" s="287">
        <f>'Residential CND'!$L$36</f>
        <v>27.260545204847954</v>
      </c>
      <c r="C24" s="287">
        <f>'Residential CND'!$L$47-'Residential CND'!$L$36</f>
        <v>2.1874247275235383</v>
      </c>
      <c r="D24" s="287">
        <f>'Residential CND'!$L$50-'Residential CND'!$L$47</f>
        <v>7.4873543326063157</v>
      </c>
      <c r="E24" s="287">
        <f>SUM('Residential CND'!$L$51:$L$54)</f>
        <v>3.2647526010862791</v>
      </c>
      <c r="F24" s="287">
        <f>SUM('Residential CND'!$L$55:$L$59)</f>
        <v>61.62</v>
      </c>
      <c r="G24" s="287">
        <f>'Residential CND'!$L$63+'Residential CND'!$L$64</f>
        <v>8.1456061492851273</v>
      </c>
      <c r="H24" s="291">
        <f>SUM(B24:G24)</f>
        <v>109.96568301534921</v>
      </c>
    </row>
    <row r="25" spans="1:8" x14ac:dyDescent="0.25">
      <c r="A25" s="28" t="s">
        <v>131</v>
      </c>
      <c r="B25" s="287">
        <f>'Residential BRT'!$L$36</f>
        <v>27.260545204847954</v>
      </c>
      <c r="C25" s="287">
        <f>'Residential BRT'!$L$47-'Residential BRT'!$L$36</f>
        <v>2.1874247275235383</v>
      </c>
      <c r="D25" s="287">
        <f>'Residential BRT'!$L$50-'Residential BRT'!$L$47</f>
        <v>7.4873543326063157</v>
      </c>
      <c r="E25" s="287">
        <f>SUM('Residential BRT'!$L$51:$L$54)</f>
        <v>3.2647526010862791</v>
      </c>
      <c r="F25" s="287">
        <f>SUM('Residential BRT'!$L$55:$L$59)</f>
        <v>61.62</v>
      </c>
      <c r="G25" s="287">
        <f>'Residential BRT'!$L$63+'Residential BRT'!$L$64</f>
        <v>8.1456061492851273</v>
      </c>
      <c r="H25" s="291">
        <f t="shared" ref="H25:H42" si="1">SUM(B25:G25)</f>
        <v>109.96568301534921</v>
      </c>
    </row>
    <row r="26" spans="1:8" x14ac:dyDescent="0.25">
      <c r="A26" s="28" t="s">
        <v>132</v>
      </c>
      <c r="B26" s="287">
        <f>'GS&lt;50 CND'!$L$36</f>
        <v>47.118888636543886</v>
      </c>
      <c r="C26" s="287">
        <f>'GS&lt;50 CND'!$L$47-'GS&lt;50 CND'!$L$36</f>
        <v>4.0842607514170979</v>
      </c>
      <c r="D26" s="287">
        <f>'GS&lt;50 CND'!$L$50-'GS&lt;50 CND'!$L$47</f>
        <v>17.938205013251753</v>
      </c>
      <c r="E26" s="287">
        <f>SUM('GS&lt;50 CND'!$L$51:$L$54)</f>
        <v>8.2893402695634109</v>
      </c>
      <c r="F26" s="287">
        <f>SUM('GS&lt;50 CND'!$L$56:$L$60)</f>
        <v>164.32</v>
      </c>
      <c r="G26" s="287">
        <f>'GS&lt;50 CND'!$L$64+'GS&lt;50 CND'!$L$65</f>
        <v>20.460055573662093</v>
      </c>
      <c r="H26" s="291">
        <f t="shared" si="1"/>
        <v>262.21075024443826</v>
      </c>
    </row>
    <row r="27" spans="1:8" x14ac:dyDescent="0.25">
      <c r="A27" s="28" t="s">
        <v>133</v>
      </c>
      <c r="B27" s="287">
        <f>'GS&lt;50 BRT'!$L$36</f>
        <v>47.118888636543886</v>
      </c>
      <c r="C27" s="287">
        <f>'GS&lt;50 BRT'!$L$47-'GS&lt;50 BRT'!$L$36</f>
        <v>4.0842607514170979</v>
      </c>
      <c r="D27" s="287">
        <f>'GS&lt;50 BRT'!$L$50-'GS&lt;50 BRT'!$L$47</f>
        <v>17.938205013251753</v>
      </c>
      <c r="E27" s="287">
        <f>SUM('GS&lt;50 BRT'!$L$51:$L$54)</f>
        <v>8.2893402695634109</v>
      </c>
      <c r="F27" s="287">
        <f>SUM('GS&lt;50 BRT'!$L$56:$L$60)</f>
        <v>164.32</v>
      </c>
      <c r="G27" s="287">
        <f>'GS&lt;50 BRT'!$L$64+'GS&lt;50 BRT'!$L$65</f>
        <v>20.460055573662093</v>
      </c>
      <c r="H27" s="291">
        <f t="shared" si="1"/>
        <v>262.21075024443826</v>
      </c>
    </row>
    <row r="28" spans="1:8" x14ac:dyDescent="0.25">
      <c r="A28" s="28" t="s">
        <v>134</v>
      </c>
      <c r="B28" s="287">
        <f>'GS 50-999 kW CND'!$L$36</f>
        <v>392.30122112193482</v>
      </c>
      <c r="C28" s="287">
        <f>'GS 50-999 kW CND'!$L$47-'GS 50-999 kW CND'!$L$36</f>
        <v>-4.6173217351080211</v>
      </c>
      <c r="D28" s="287">
        <f>'GS 50-999 kW CND'!$L$52-'GS 50-999 kW CND'!$L$47</f>
        <v>319.11489966649725</v>
      </c>
      <c r="E28" s="287">
        <f>SUM('GS 50-999 kW CND'!$L$53:$L$57)</f>
        <v>220.64340269563411</v>
      </c>
      <c r="F28" s="287">
        <f>SUM('GS 50-999 kW CND'!$L$58:$L$62)</f>
        <v>2512.5171492460536</v>
      </c>
      <c r="G28" s="287">
        <f>'GS 50-999 kW CND'!$L$65</f>
        <v>447.19471562935155</v>
      </c>
      <c r="H28" s="291">
        <f t="shared" si="1"/>
        <v>3887.1540666243636</v>
      </c>
    </row>
    <row r="29" spans="1:8" x14ac:dyDescent="0.25">
      <c r="A29" s="28" t="s">
        <v>135</v>
      </c>
      <c r="B29" s="287">
        <f>'GS 50-999 kW BRT'!$L$36</f>
        <v>392.30122112193482</v>
      </c>
      <c r="C29" s="287">
        <f>'GS 50-999 kW BRT'!$L$47-'GS 50-999 kW BRT'!$L$36</f>
        <v>-4.6173217351080211</v>
      </c>
      <c r="D29" s="287">
        <f>'GS 50-999 kW BRT'!$L$52-'GS 50-999 kW BRT'!$L$47</f>
        <v>319.11489966649725</v>
      </c>
      <c r="E29" s="287">
        <f>SUM('GS 50-999 kW BRT'!$L$53:$L$57)</f>
        <v>220.64340269563411</v>
      </c>
      <c r="F29" s="287">
        <f>SUM('GS 50-999 kW BRT'!$L$58:$L$62)</f>
        <v>2512.5171492460536</v>
      </c>
      <c r="G29" s="287">
        <f>'GS 50-999 kW BRT'!$L$65</f>
        <v>447.19471562935155</v>
      </c>
      <c r="H29" s="291">
        <f t="shared" si="1"/>
        <v>3887.1540666243636</v>
      </c>
    </row>
    <row r="30" spans="1:8" x14ac:dyDescent="0.25">
      <c r="A30" s="28" t="s">
        <v>136</v>
      </c>
      <c r="B30" s="287">
        <f>'GS 1000-4999 CND'!$L$36</f>
        <v>8241.4484137836153</v>
      </c>
      <c r="C30" s="287">
        <f>'GS 1000-4999 CND'!$L$47-'GS 1000-4999 CND'!$L$36</f>
        <v>-631.86153850370556</v>
      </c>
      <c r="D30" s="287">
        <f>'GS 1000-4999 CND'!$L$50-'GS 1000-4999 CND'!$L$47</f>
        <v>7968.8390399153513</v>
      </c>
      <c r="E30" s="287">
        <f>SUM('GS 1000-4999 CND'!$L$51:$L$55)</f>
        <v>8815.9861078253634</v>
      </c>
      <c r="F30" s="287">
        <f>SUM('GS 1000-4999 CND'!$L$56:$L$60)</f>
        <v>100500.68596984216</v>
      </c>
      <c r="G30" s="287">
        <f>'GS 1000-4999 CND'!$L$63</f>
        <v>16236.362739072161</v>
      </c>
      <c r="H30" s="291">
        <f t="shared" si="1"/>
        <v>141131.46073193493</v>
      </c>
    </row>
    <row r="31" spans="1:8" x14ac:dyDescent="0.25">
      <c r="A31" s="28" t="s">
        <v>146</v>
      </c>
      <c r="B31" s="287">
        <f>'GS 1000-4999 BRT'!$L$36</f>
        <v>8241.4484137836153</v>
      </c>
      <c r="C31" s="287">
        <f>'GS 1000-4999 BRT'!$L$47-'GS 1000-4999 BRT'!$L$36</f>
        <v>-631.86153850370556</v>
      </c>
      <c r="D31" s="287">
        <f>'GS 1000-4999 BRT'!$L$50-'GS 1000-4999 BRT'!$L$47</f>
        <v>7968.8390399153513</v>
      </c>
      <c r="E31" s="287">
        <f>SUM('GS 1000-4999 BRT'!$L$51:$L$55)</f>
        <v>8815.9861078253634</v>
      </c>
      <c r="F31" s="287">
        <f>SUM('GS 1000-4999 BRT'!$L$56:$L$60)</f>
        <v>100500.68596984216</v>
      </c>
      <c r="G31" s="287">
        <f>'GS 1000-4999 BRT'!$L$63</f>
        <v>16236.362739072161</v>
      </c>
      <c r="H31" s="291">
        <f t="shared" si="1"/>
        <v>141131.46073193493</v>
      </c>
    </row>
    <row r="32" spans="1:8" x14ac:dyDescent="0.25">
      <c r="A32" s="28" t="s">
        <v>137</v>
      </c>
      <c r="B32" s="287">
        <f>'LARGE CND'!$L$36</f>
        <v>55359.895428584343</v>
      </c>
      <c r="C32" s="287">
        <f>'LARGE CND'!$L$47-'LARGE CND'!$L$36</f>
        <v>-3754.8078386565321</v>
      </c>
      <c r="D32" s="287">
        <f>'LARGE CND'!$L$50-'LARGE CND'!$L$47</f>
        <v>68296.030176840664</v>
      </c>
      <c r="E32" s="287">
        <f>SUM('LARGE CND'!$L$51:$L$55)</f>
        <v>72056.08</v>
      </c>
      <c r="F32" s="287">
        <f>SUM('LARGE CND'!$L$56:$L$60)</f>
        <v>808066.50925</v>
      </c>
      <c r="G32" s="287">
        <f>'LARGE CND'!$L$63</f>
        <v>130003.08191217991</v>
      </c>
      <c r="H32" s="291">
        <f t="shared" si="1"/>
        <v>1130026.7889289483</v>
      </c>
    </row>
    <row r="33" spans="1:8" x14ac:dyDescent="0.25">
      <c r="A33" s="28" t="s">
        <v>139</v>
      </c>
      <c r="B33" s="287">
        <f>'EMB CND HON'!$L$36</f>
        <v>4171.8778666160388</v>
      </c>
      <c r="C33" s="287">
        <f>'EMB CND HON'!$L$47-'EMB CND HON'!$L$36</f>
        <v>-1580.75737870699</v>
      </c>
      <c r="D33" s="287">
        <f>'EMB CND HON'!$L$50-'EMB CND HON'!$L$47</f>
        <v>10987.123630700979</v>
      </c>
      <c r="E33" s="287">
        <f>SUM('EMB CND HON'!$L$51:$L$55)</f>
        <v>15173.882285005633</v>
      </c>
      <c r="F33" s="287">
        <f>SUM('EMB CND HON'!$L$56:$L$60)</f>
        <v>171878.78566277333</v>
      </c>
      <c r="G33" s="287">
        <f>'EMB CND HON'!$L$63</f>
        <v>26082.01856863057</v>
      </c>
      <c r="H33" s="291">
        <f t="shared" si="1"/>
        <v>226712.93063501955</v>
      </c>
    </row>
    <row r="34" spans="1:8" x14ac:dyDescent="0.25">
      <c r="A34" s="28" t="s">
        <v>140</v>
      </c>
      <c r="B34" s="287">
        <f>'EMB CND WNH'!$L$36</f>
        <v>9391.3106534017952</v>
      </c>
      <c r="C34" s="287">
        <f>'EMB CND WNH'!$L$47-'EMB CND WNH'!$L$36</f>
        <v>-6759.4203452730053</v>
      </c>
      <c r="D34" s="287">
        <f>'EMB CND WNH'!$L$50-'EMB CND WNH'!$L$47</f>
        <v>35343.195893137672</v>
      </c>
      <c r="E34" s="287">
        <f>SUM('EMB CND WNH'!$L$51:$L$55)</f>
        <v>0.25</v>
      </c>
      <c r="F34" s="287">
        <f>SUM('EMB CND WNH'!$L$56:$L$60)</f>
        <v>0</v>
      </c>
      <c r="G34" s="287">
        <f>'EMB CND WNH'!$L$63</f>
        <v>4936.7937061646398</v>
      </c>
      <c r="H34" s="291">
        <f t="shared" si="1"/>
        <v>42912.129907431095</v>
      </c>
    </row>
    <row r="35" spans="1:8" x14ac:dyDescent="0.25">
      <c r="A35" s="28" t="s">
        <v>178</v>
      </c>
      <c r="B35" s="287">
        <f>'EMB BRT HON 1'!$L$36</f>
        <v>2134.3947075628748</v>
      </c>
      <c r="C35" s="287">
        <f>'EMB BRT HON 1'!$L$47-'EMB BRT HON 1'!$L$36</f>
        <v>-1027.4761059274983</v>
      </c>
      <c r="D35" s="287">
        <f>'EMB BRT HON 1'!$L$50-'EMB BRT HON 1'!$L$47</f>
        <v>7800.4273000659286</v>
      </c>
      <c r="E35" s="287">
        <f>SUM('EMB BRT HON 1'!$L$51:$L$55)</f>
        <v>14273.565463464056</v>
      </c>
      <c r="F35" s="287">
        <f>SUM('EMB BRT HON 1'!$L$56:$L$60)</f>
        <v>161680.47855398356</v>
      </c>
      <c r="G35" s="287">
        <f>'EMB BRT HON 1'!$L$63</f>
        <v>24031.980689489363</v>
      </c>
      <c r="H35" s="291">
        <f t="shared" si="1"/>
        <v>208893.3706086383</v>
      </c>
    </row>
    <row r="36" spans="1:8" x14ac:dyDescent="0.25">
      <c r="A36" s="28" t="s">
        <v>179</v>
      </c>
      <c r="B36" s="287">
        <f>'EMB BRT HON 2'!$L$36</f>
        <v>-907.43555993661289</v>
      </c>
      <c r="C36" s="287">
        <f>'EMB BRT HON 2'!$L$47-'EMB BRT HON 2'!$L$36</f>
        <v>-2062.2838883479344</v>
      </c>
      <c r="D36" s="287">
        <f>'EMB BRT HON 2'!$L$50-'EMB BRT HON 2'!$L$47</f>
        <v>0</v>
      </c>
      <c r="E36" s="287">
        <f>SUM('EMB BRT HON 2'!$L$51:$L$55)</f>
        <v>21849.40213253344</v>
      </c>
      <c r="F36" s="287">
        <f>SUM('EMB BRT HON 2'!$L$56:$L$60)</f>
        <v>247495.50178648252</v>
      </c>
      <c r="G36" s="287">
        <f>'EMB BRT HON 2'!$L$63</f>
        <v>34628.773981195089</v>
      </c>
      <c r="H36" s="291">
        <f t="shared" si="1"/>
        <v>301003.95845192648</v>
      </c>
    </row>
    <row r="37" spans="1:8" x14ac:dyDescent="0.25">
      <c r="A37" s="28" t="s">
        <v>138</v>
      </c>
      <c r="B37" s="287">
        <f>'EMB BRT BPI'!$L$36</f>
        <v>371.56831665950961</v>
      </c>
      <c r="C37" s="287">
        <f>'EMB BRT BPI'!$L$46-'EMB BRT BPI'!$L$36</f>
        <v>12.358650975922217</v>
      </c>
      <c r="D37" s="287">
        <f>'EMB BRT BPI'!$L$49-'EMB BRT BPI'!$L$46</f>
        <v>90.005170926792857</v>
      </c>
      <c r="E37" s="287">
        <f>SUM('EMB BRT BPI'!$L$50:$L$54)</f>
        <v>549.22367167169443</v>
      </c>
      <c r="F37" s="287">
        <f>SUM('EMB BRT BPI'!$L$55:$L$59)</f>
        <v>6218.4799443839838</v>
      </c>
      <c r="G37" s="287">
        <f>'EMB BRT BPI'!$L$62</f>
        <v>941.41264810032737</v>
      </c>
      <c r="H37" s="291">
        <f t="shared" si="1"/>
        <v>8183.0484027182301</v>
      </c>
    </row>
    <row r="38" spans="1:8" x14ac:dyDescent="0.25">
      <c r="A38" s="28" t="s">
        <v>143</v>
      </c>
      <c r="B38" s="287">
        <f>'STREET LIGHTING CND'!$L$36</f>
        <v>33304.743707777692</v>
      </c>
      <c r="C38" s="287">
        <f>'STREET LIGHTING CND'!$L$47-'STREET LIGHTING CND'!$L$36</f>
        <v>1601.2956971638851</v>
      </c>
      <c r="D38" s="287">
        <f>'STREET LIGHTING CND'!$L$50-'STREET LIGHTING CND'!$L$47</f>
        <v>1958.6764126238777</v>
      </c>
      <c r="E38" s="287">
        <f>SUM('STREET LIGHTING CND'!$L$51:$L$55)</f>
        <v>4408.1180539126817</v>
      </c>
      <c r="F38" s="287">
        <f>SUM('STREET LIGHTING CND'!$L$56:$L$60)</f>
        <v>50387.603500000012</v>
      </c>
      <c r="G38" s="287">
        <f>'STREET LIGHTING CND'!$L$63</f>
        <v>11915.85685829216</v>
      </c>
      <c r="H38" s="291">
        <f t="shared" si="1"/>
        <v>103576.29422977031</v>
      </c>
    </row>
    <row r="39" spans="1:8" x14ac:dyDescent="0.25">
      <c r="A39" s="28" t="s">
        <v>144</v>
      </c>
      <c r="B39" s="287">
        <f>'STREET LIGHTING BRT'!$L$36</f>
        <v>7802.1198750983931</v>
      </c>
      <c r="C39" s="287">
        <f>'STREET LIGHTING BRT'!$L$47-'STREET LIGHTING BRT'!$L$36</f>
        <v>594.63768940846967</v>
      </c>
      <c r="D39" s="287">
        <f>'STREET LIGHTING BRT'!$L$50-'STREET LIGHTING BRT'!$L$47</f>
        <v>492.46721231686024</v>
      </c>
      <c r="E39" s="287">
        <f>SUM('STREET LIGHTING BRT'!$L$51:$L$55)</f>
        <v>6612.0520808690235</v>
      </c>
      <c r="F39" s="287">
        <f>SUM('STREET LIGHTING BRT'!$L$56:$L$60)</f>
        <v>76751.509250000017</v>
      </c>
      <c r="G39" s="287">
        <f>'STREET LIGHTING BRT'!$L$63</f>
        <v>11992.862194000059</v>
      </c>
      <c r="H39" s="291">
        <f t="shared" si="1"/>
        <v>104245.64830169283</v>
      </c>
    </row>
    <row r="40" spans="1:8" x14ac:dyDescent="0.25">
      <c r="A40" s="28" t="s">
        <v>141</v>
      </c>
      <c r="B40" s="287">
        <f>'USL CND'!$L$36</f>
        <v>7.0553256173704284</v>
      </c>
      <c r="C40" s="287">
        <f>'USL CND'!$L$47-'USL CND'!$L$36</f>
        <v>0.22385141643074924</v>
      </c>
      <c r="D40" s="287">
        <f>'USL CND'!$L$50-'USL CND'!$L$47</f>
        <v>0.91290926788217774</v>
      </c>
      <c r="E40" s="287">
        <f>SUM('USL CND'!$L$51:$L$56)</f>
        <v>5.5760464739798508</v>
      </c>
      <c r="F40" s="287">
        <f>SUM('USL CND'!$L$57:$L$61)</f>
        <v>3.9910000000000005</v>
      </c>
      <c r="G40" s="287">
        <f>'USL CND'!$L$64+'USL CND'!$L$65</f>
        <v>1.4207306220530564</v>
      </c>
      <c r="H40" s="291">
        <f t="shared" si="1"/>
        <v>19.179863397716264</v>
      </c>
    </row>
    <row r="41" spans="1:8" x14ac:dyDescent="0.25">
      <c r="A41" s="28" t="s">
        <v>142</v>
      </c>
      <c r="B41" s="287">
        <f>'USL BRT'!$L$36</f>
        <v>7.0553256173704284</v>
      </c>
      <c r="C41" s="287">
        <f>'USL BRT'!$L$47-'USL BRT'!$L$36</f>
        <v>0.22385141643074924</v>
      </c>
      <c r="D41" s="287">
        <f>'USL BRT'!$L$50-'USL BRT'!$L$47</f>
        <v>0.91290926788217774</v>
      </c>
      <c r="E41" s="287">
        <f>SUM('USL BRT'!$L$51:$L$56)</f>
        <v>5.5769670134781713</v>
      </c>
      <c r="F41" s="287">
        <f>SUM('USL BRT'!$L$57:$L$61)</f>
        <v>3.9910000000000005</v>
      </c>
      <c r="G41" s="287">
        <f>'USL BRT'!$L$64+'USL BRT'!$L$65</f>
        <v>1.4208042652129222</v>
      </c>
      <c r="H41" s="291">
        <f t="shared" si="1"/>
        <v>19.18085758037445</v>
      </c>
    </row>
    <row r="42" spans="1:8" x14ac:dyDescent="0.25">
      <c r="A42" s="28" t="s">
        <v>145</v>
      </c>
      <c r="B42" s="287">
        <f>'SENTINEL BRT'!$L$36</f>
        <v>1707.4742341252436</v>
      </c>
      <c r="C42" s="287">
        <f>'SENTINEL BRT'!$L$47-'SENTINEL BRT'!$L$36</f>
        <v>47.990085896628443</v>
      </c>
      <c r="D42" s="287">
        <f>'SENTINEL BRT'!$L$50-'SENTINEL BRT'!$L$47</f>
        <v>68.525110755970672</v>
      </c>
      <c r="E42" s="287">
        <f>SUM('SENTINEL BRT'!$L$51:$L$55)</f>
        <v>110.44670134781705</v>
      </c>
      <c r="F42" s="287">
        <f>SUM('SENTINEL BRT'!$L$56:$L$60)</f>
        <v>821.6</v>
      </c>
      <c r="G42" s="287">
        <f>'SENTINEL BRT'!$L$67+'SENTINEL BRT'!$L$68</f>
        <v>220.4828905700528</v>
      </c>
      <c r="H42" s="291">
        <f t="shared" si="1"/>
        <v>2976.5190226957125</v>
      </c>
    </row>
    <row r="45" spans="1:8" s="332" customFormat="1" ht="30" x14ac:dyDescent="0.25">
      <c r="A45" s="333" t="s">
        <v>165</v>
      </c>
      <c r="B45" s="334" t="s">
        <v>159</v>
      </c>
      <c r="C45" s="334" t="s">
        <v>160</v>
      </c>
      <c r="D45" s="334" t="s">
        <v>161</v>
      </c>
      <c r="E45" s="334" t="s">
        <v>162</v>
      </c>
      <c r="F45" s="334" t="s">
        <v>175</v>
      </c>
      <c r="G45" s="334" t="s">
        <v>163</v>
      </c>
      <c r="H45" s="334" t="s">
        <v>164</v>
      </c>
    </row>
    <row r="46" spans="1:8" x14ac:dyDescent="0.25">
      <c r="A46" s="288" t="s">
        <v>130</v>
      </c>
      <c r="B46" s="287">
        <f>B24-B2</f>
        <v>2.4290552048479555</v>
      </c>
      <c r="C46" s="287">
        <f t="shared" ref="C46:G46" si="2">C24-C2</f>
        <v>3.8794296693947921</v>
      </c>
      <c r="D46" s="287">
        <f t="shared" si="2"/>
        <v>-0.49643316739368615</v>
      </c>
      <c r="E46" s="287">
        <f t="shared" si="2"/>
        <v>-8.2348989137210893E-3</v>
      </c>
      <c r="F46" s="287">
        <f>F24-F2</f>
        <v>0</v>
      </c>
      <c r="G46" s="287">
        <f t="shared" si="2"/>
        <v>0.46430534463482687</v>
      </c>
      <c r="H46" s="291">
        <f>SUM(B46:G46)</f>
        <v>6.2681221525701671</v>
      </c>
    </row>
    <row r="47" spans="1:8" x14ac:dyDescent="0.25">
      <c r="A47" s="288" t="s">
        <v>131</v>
      </c>
      <c r="B47" s="287">
        <f t="shared" ref="B47:G47" si="3">B25-B3</f>
        <v>-2.764454795152048</v>
      </c>
      <c r="C47" s="287">
        <f t="shared" si="3"/>
        <v>1.6226724372185615</v>
      </c>
      <c r="D47" s="287">
        <f t="shared" si="3"/>
        <v>8.8379332606315586E-2</v>
      </c>
      <c r="E47" s="287">
        <f t="shared" si="3"/>
        <v>-5.5034898913721264E-2</v>
      </c>
      <c r="F47" s="287">
        <f t="shared" si="3"/>
        <v>0</v>
      </c>
      <c r="G47" s="287">
        <f t="shared" si="3"/>
        <v>-8.8675033939269454E-2</v>
      </c>
      <c r="H47" s="291">
        <f t="shared" ref="H47:H64" si="4">SUM(B47:G47)</f>
        <v>-1.1971129581801616</v>
      </c>
    </row>
    <row r="48" spans="1:8" x14ac:dyDescent="0.25">
      <c r="A48" s="288" t="s">
        <v>132</v>
      </c>
      <c r="B48" s="287">
        <f t="shared" ref="B48:G48" si="5">B26-B4</f>
        <v>3.913508636543888</v>
      </c>
      <c r="C48" s="287">
        <f t="shared" si="5"/>
        <v>9.4483235906142866</v>
      </c>
      <c r="D48" s="287">
        <f t="shared" si="5"/>
        <v>-1.2848949867482418</v>
      </c>
      <c r="E48" s="287">
        <f t="shared" si="5"/>
        <v>-2.1959730436590164E-2</v>
      </c>
      <c r="F48" s="287">
        <f t="shared" si="5"/>
        <v>0</v>
      </c>
      <c r="G48" s="287">
        <f t="shared" si="5"/>
        <v>0.96439820079786998</v>
      </c>
      <c r="H48" s="291">
        <f t="shared" si="4"/>
        <v>13.019375710771213</v>
      </c>
    </row>
    <row r="49" spans="1:8" x14ac:dyDescent="0.25">
      <c r="A49" s="288" t="s">
        <v>133</v>
      </c>
      <c r="B49" s="287">
        <f t="shared" ref="B49:G49" si="6">B27-B5</f>
        <v>-10.571111363456112</v>
      </c>
      <c r="C49" s="287">
        <f t="shared" si="6"/>
        <v>3.3493016889120071</v>
      </c>
      <c r="D49" s="287">
        <f t="shared" si="6"/>
        <v>0.3066050132517546</v>
      </c>
      <c r="E49" s="287">
        <f t="shared" si="6"/>
        <v>-0.14675973043658885</v>
      </c>
      <c r="F49" s="287">
        <f t="shared" si="6"/>
        <v>0</v>
      </c>
      <c r="G49" s="287">
        <f t="shared" si="6"/>
        <v>-0.56495715133831581</v>
      </c>
      <c r="H49" s="291">
        <f t="shared" si="4"/>
        <v>-7.6269215430672546</v>
      </c>
    </row>
    <row r="50" spans="1:8" x14ac:dyDescent="0.25">
      <c r="A50" s="288" t="s">
        <v>134</v>
      </c>
      <c r="B50" s="287">
        <f t="shared" ref="B50:G50" si="7">B28-B6</f>
        <v>24.252327121934911</v>
      </c>
      <c r="C50" s="287">
        <f t="shared" si="7"/>
        <v>38.825026468485419</v>
      </c>
      <c r="D50" s="287">
        <f t="shared" si="7"/>
        <v>-31.345100333502728</v>
      </c>
      <c r="E50" s="287">
        <f t="shared" si="7"/>
        <v>-0.21959730436589098</v>
      </c>
      <c r="F50" s="287">
        <f t="shared" si="7"/>
        <v>-6.8630257539466584</v>
      </c>
      <c r="G50" s="287">
        <f t="shared" si="7"/>
        <v>3.2044519258186597</v>
      </c>
      <c r="H50" s="291">
        <f t="shared" si="4"/>
        <v>27.854082124423712</v>
      </c>
    </row>
    <row r="51" spans="1:8" x14ac:dyDescent="0.25">
      <c r="A51" s="288" t="s">
        <v>135</v>
      </c>
      <c r="B51" s="287">
        <f t="shared" ref="B51:G51" si="8">B29-B7</f>
        <v>59.539221121934816</v>
      </c>
      <c r="C51" s="287">
        <f t="shared" si="8"/>
        <v>-183.38515389179412</v>
      </c>
      <c r="D51" s="287">
        <f t="shared" si="8"/>
        <v>114.65889966649723</v>
      </c>
      <c r="E51" s="287">
        <f t="shared" si="8"/>
        <v>-1.4675973043659098</v>
      </c>
      <c r="F51" s="287">
        <f t="shared" si="8"/>
        <v>-45.866492420613667</v>
      </c>
      <c r="G51" s="287">
        <f t="shared" si="8"/>
        <v>-7.347745967684375</v>
      </c>
      <c r="H51" s="291">
        <f t="shared" si="4"/>
        <v>-63.868868796026021</v>
      </c>
    </row>
    <row r="52" spans="1:8" x14ac:dyDescent="0.25">
      <c r="A52" s="288" t="s">
        <v>136</v>
      </c>
      <c r="B52" s="287">
        <f t="shared" ref="B52:G52" si="9">B30-B8</f>
        <v>-100.37836621638417</v>
      </c>
      <c r="C52" s="287">
        <f t="shared" si="9"/>
        <v>1569.7801265768812</v>
      </c>
      <c r="D52" s="287">
        <f t="shared" si="9"/>
        <v>-1029.1609600846487</v>
      </c>
      <c r="E52" s="287">
        <f t="shared" si="9"/>
        <v>-8.7838921746370033</v>
      </c>
      <c r="F52" s="287">
        <f t="shared" si="9"/>
        <v>-274.5210301578627</v>
      </c>
      <c r="G52" s="287">
        <f t="shared" si="9"/>
        <v>20.401664132634323</v>
      </c>
      <c r="H52" s="291">
        <f t="shared" si="4"/>
        <v>177.33754207598304</v>
      </c>
    </row>
    <row r="53" spans="1:8" x14ac:dyDescent="0.25">
      <c r="A53" s="288" t="s">
        <v>146</v>
      </c>
      <c r="B53" s="287">
        <f t="shared" ref="B53:G53" si="10">B31-B9</f>
        <v>285.06841378361605</v>
      </c>
      <c r="C53" s="287">
        <f t="shared" si="10"/>
        <v>-8484.1226103932422</v>
      </c>
      <c r="D53" s="287">
        <f t="shared" si="10"/>
        <v>650.23903991535281</v>
      </c>
      <c r="E53" s="287">
        <f t="shared" si="10"/>
        <v>-58.703892174637076</v>
      </c>
      <c r="F53" s="287">
        <f t="shared" si="10"/>
        <v>-1834.6596968245285</v>
      </c>
      <c r="G53" s="287">
        <f t="shared" si="10"/>
        <v>-1227.4832369401465</v>
      </c>
      <c r="H53" s="291">
        <f t="shared" si="4"/>
        <v>-10669.661982633586</v>
      </c>
    </row>
    <row r="54" spans="1:8" x14ac:dyDescent="0.25">
      <c r="A54" s="288" t="s">
        <v>137</v>
      </c>
      <c r="B54" s="287">
        <f t="shared" ref="B54:G54" si="11">B32-B10</f>
        <v>6501.6938285843426</v>
      </c>
      <c r="C54" s="287">
        <f t="shared" si="11"/>
        <v>36143.334899025096</v>
      </c>
      <c r="D54" s="287">
        <f t="shared" si="11"/>
        <v>-2111.9698231593356</v>
      </c>
      <c r="E54" s="287">
        <f t="shared" si="11"/>
        <v>0</v>
      </c>
      <c r="F54" s="287">
        <f t="shared" si="11"/>
        <v>0</v>
      </c>
      <c r="G54" s="287">
        <f t="shared" si="11"/>
        <v>5269.2976575785287</v>
      </c>
      <c r="H54" s="291">
        <f t="shared" si="4"/>
        <v>45802.356562028632</v>
      </c>
    </row>
    <row r="55" spans="1:8" x14ac:dyDescent="0.25">
      <c r="A55" s="288" t="s">
        <v>139</v>
      </c>
      <c r="B55" s="287">
        <f t="shared" ref="B55:G55" si="12">B33-B11</f>
        <v>-1124.2630405839609</v>
      </c>
      <c r="C55" s="287">
        <f t="shared" si="12"/>
        <v>-4849.2182578614756</v>
      </c>
      <c r="D55" s="287">
        <f t="shared" si="12"/>
        <v>-339.76336929902209</v>
      </c>
      <c r="E55" s="287">
        <f t="shared" si="12"/>
        <v>-16.828014994365731</v>
      </c>
      <c r="F55" s="287">
        <f t="shared" si="12"/>
        <v>-525.92221305999556</v>
      </c>
      <c r="G55" s="287">
        <f t="shared" si="12"/>
        <v>-891.27933645384473</v>
      </c>
      <c r="H55" s="291">
        <f t="shared" si="4"/>
        <v>-7747.2742322526647</v>
      </c>
    </row>
    <row r="56" spans="1:8" x14ac:dyDescent="0.25">
      <c r="A56" s="288" t="s">
        <v>140</v>
      </c>
      <c r="B56" s="287">
        <f t="shared" ref="B56:G56" si="13">B34-B12</f>
        <v>-6478.9355385982035</v>
      </c>
      <c r="C56" s="287">
        <f t="shared" si="13"/>
        <v>-2298.1849075881346</v>
      </c>
      <c r="D56" s="287">
        <f t="shared" si="13"/>
        <v>-1092.9441068623273</v>
      </c>
      <c r="E56" s="287">
        <f t="shared" si="13"/>
        <v>0</v>
      </c>
      <c r="F56" s="287">
        <f t="shared" si="13"/>
        <v>0</v>
      </c>
      <c r="G56" s="287">
        <f t="shared" si="13"/>
        <v>-1283.1083918963277</v>
      </c>
      <c r="H56" s="291">
        <f t="shared" si="4"/>
        <v>-11153.172944944992</v>
      </c>
    </row>
    <row r="57" spans="1:8" x14ac:dyDescent="0.25">
      <c r="A57" s="288" t="s">
        <v>178</v>
      </c>
      <c r="B57" s="287">
        <f t="shared" ref="B57:G57" si="14">B35-B13</f>
        <v>-7158.0832924371243</v>
      </c>
      <c r="C57" s="287">
        <f t="shared" si="14"/>
        <v>-15383.421560038258</v>
      </c>
      <c r="D57" s="287">
        <f t="shared" si="14"/>
        <v>-762.33469993407016</v>
      </c>
      <c r="E57" s="287">
        <f t="shared" si="14"/>
        <v>-147.64953653594421</v>
      </c>
      <c r="F57" s="287">
        <f t="shared" si="14"/>
        <v>-4614.4581543498207</v>
      </c>
      <c r="G57" s="287">
        <f t="shared" si="14"/>
        <v>-3648.5731416283743</v>
      </c>
      <c r="H57" s="291">
        <f t="shared" si="4"/>
        <v>-31714.520384923591</v>
      </c>
    </row>
    <row r="58" spans="1:8" x14ac:dyDescent="0.25">
      <c r="A58" s="288" t="s">
        <v>179</v>
      </c>
      <c r="B58" s="287">
        <f t="shared" ref="B58:G58" si="15">B36-B14</f>
        <v>-1004.4155599366129</v>
      </c>
      <c r="C58" s="287">
        <f t="shared" si="15"/>
        <v>-2062.2838883479344</v>
      </c>
      <c r="D58" s="287">
        <f t="shared" si="15"/>
        <v>0</v>
      </c>
      <c r="E58" s="287">
        <f t="shared" si="15"/>
        <v>-226.01736746656388</v>
      </c>
      <c r="F58" s="287">
        <f t="shared" si="15"/>
        <v>-7063.6705593508668</v>
      </c>
      <c r="G58" s="287">
        <f t="shared" si="15"/>
        <v>-1346.3303587632545</v>
      </c>
      <c r="H58" s="291">
        <f t="shared" si="4"/>
        <v>-11702.717733865233</v>
      </c>
    </row>
    <row r="59" spans="1:8" x14ac:dyDescent="0.25">
      <c r="A59" s="288" t="s">
        <v>138</v>
      </c>
      <c r="B59" s="287">
        <f t="shared" ref="B59:G59" si="16">B37-B15</f>
        <v>168.48641665950959</v>
      </c>
      <c r="C59" s="287">
        <f t="shared" si="16"/>
        <v>-650.28687349458642</v>
      </c>
      <c r="D59" s="287">
        <f t="shared" si="16"/>
        <v>-8.7959290732071622</v>
      </c>
      <c r="E59" s="287">
        <f t="shared" si="16"/>
        <v>-3.6313283283055853</v>
      </c>
      <c r="F59" s="287">
        <f t="shared" si="16"/>
        <v>-113.48909728268245</v>
      </c>
      <c r="G59" s="287">
        <f t="shared" si="16"/>
        <v>-79.003185497505456</v>
      </c>
      <c r="H59" s="291">
        <f t="shared" si="4"/>
        <v>-686.71999701677748</v>
      </c>
    </row>
    <row r="60" spans="1:8" x14ac:dyDescent="0.25">
      <c r="A60" s="288" t="s">
        <v>143</v>
      </c>
      <c r="B60" s="287">
        <f t="shared" ref="B60:G60" si="17">B38-B16</f>
        <v>-11468.339772222302</v>
      </c>
      <c r="C60" s="287">
        <f t="shared" si="17"/>
        <v>1723.7039046471182</v>
      </c>
      <c r="D60" s="287">
        <f t="shared" si="17"/>
        <v>-96.033587376121432</v>
      </c>
      <c r="E60" s="287">
        <f t="shared" si="17"/>
        <v>-4.3919460873185017</v>
      </c>
      <c r="F60" s="287">
        <f t="shared" si="17"/>
        <v>0</v>
      </c>
      <c r="G60" s="287">
        <f t="shared" si="17"/>
        <v>-1279.8579821350213</v>
      </c>
      <c r="H60" s="291">
        <f t="shared" si="4"/>
        <v>-11124.919383173645</v>
      </c>
    </row>
    <row r="61" spans="1:8" x14ac:dyDescent="0.25">
      <c r="A61" s="288" t="s">
        <v>144</v>
      </c>
      <c r="B61" s="287">
        <f t="shared" ref="B61:G61" si="18">B39-B17</f>
        <v>-4571.0093249016063</v>
      </c>
      <c r="C61" s="287">
        <f t="shared" si="18"/>
        <v>-7700.4316163053827</v>
      </c>
      <c r="D61" s="287">
        <f t="shared" si="18"/>
        <v>36.222412316863483</v>
      </c>
      <c r="E61" s="287">
        <f t="shared" si="18"/>
        <v>-44.027919130976443</v>
      </c>
      <c r="F61" s="287">
        <f t="shared" si="18"/>
        <v>0</v>
      </c>
      <c r="G61" s="287">
        <f t="shared" si="18"/>
        <v>-1596.3020382427439</v>
      </c>
      <c r="H61" s="291">
        <f t="shared" si="4"/>
        <v>-13875.548486263846</v>
      </c>
    </row>
    <row r="62" spans="1:8" x14ac:dyDescent="0.25">
      <c r="A62" s="288" t="s">
        <v>141</v>
      </c>
      <c r="B62" s="287">
        <f t="shared" ref="B62:G62" si="19">B40-B18</f>
        <v>-9.8484382629571598E-2</v>
      </c>
      <c r="C62" s="287">
        <f t="shared" si="19"/>
        <v>0.51884150005281526</v>
      </c>
      <c r="D62" s="287">
        <f t="shared" si="19"/>
        <v>-4.8245732117822016E-2</v>
      </c>
      <c r="E62" s="287">
        <f t="shared" si="19"/>
        <v>-2.0185260201497357E-3</v>
      </c>
      <c r="F62" s="287">
        <f t="shared" si="19"/>
        <v>0</v>
      </c>
      <c r="G62" s="287">
        <f t="shared" si="19"/>
        <v>2.9607428742821629E-2</v>
      </c>
      <c r="H62" s="291">
        <f t="shared" si="4"/>
        <v>0.39970028802809354</v>
      </c>
    </row>
    <row r="63" spans="1:8" x14ac:dyDescent="0.25">
      <c r="A63" s="288" t="s">
        <v>142</v>
      </c>
      <c r="B63" s="287">
        <f t="shared" ref="B63:G63" si="20">B41-B19</f>
        <v>2.6853256173704283</v>
      </c>
      <c r="C63" s="287">
        <f t="shared" si="20"/>
        <v>0.21124253578742458</v>
      </c>
      <c r="D63" s="287">
        <f t="shared" si="20"/>
        <v>3.132926788217727E-2</v>
      </c>
      <c r="E63" s="287">
        <f t="shared" si="20"/>
        <v>-7.337986521829265E-3</v>
      </c>
      <c r="F63" s="287">
        <f t="shared" si="20"/>
        <v>0</v>
      </c>
      <c r="G63" s="287">
        <f t="shared" si="20"/>
        <v>0.23364475476145641</v>
      </c>
      <c r="H63" s="291">
        <f t="shared" si="4"/>
        <v>3.1542041892796573</v>
      </c>
    </row>
    <row r="64" spans="1:8" x14ac:dyDescent="0.25">
      <c r="A64" s="288" t="s">
        <v>145</v>
      </c>
      <c r="B64" s="287">
        <f t="shared" ref="B64:G64" si="21">B42-B20</f>
        <v>480.1730341252437</v>
      </c>
      <c r="C64" s="287">
        <f t="shared" si="21"/>
        <v>-54.585800470850245</v>
      </c>
      <c r="D64" s="287">
        <f t="shared" si="21"/>
        <v>-6.7443892440292075</v>
      </c>
      <c r="E64" s="287">
        <f t="shared" si="21"/>
        <v>-0.73379865218295492</v>
      </c>
      <c r="F64" s="287">
        <f t="shared" si="21"/>
        <v>-40.66920000000016</v>
      </c>
      <c r="G64" s="287">
        <f t="shared" si="21"/>
        <v>30.195187660654483</v>
      </c>
      <c r="H64" s="291">
        <f t="shared" si="4"/>
        <v>407.63503341883563</v>
      </c>
    </row>
    <row r="67" spans="1:8" s="332" customFormat="1" ht="30" x14ac:dyDescent="0.25">
      <c r="A67" s="333" t="s">
        <v>172</v>
      </c>
      <c r="B67" s="335" t="s">
        <v>168</v>
      </c>
      <c r="C67" s="335" t="s">
        <v>167</v>
      </c>
      <c r="D67" s="335" t="s">
        <v>166</v>
      </c>
      <c r="E67" s="335" t="s">
        <v>169</v>
      </c>
      <c r="F67" s="335" t="s">
        <v>176</v>
      </c>
      <c r="G67" s="335" t="s">
        <v>170</v>
      </c>
      <c r="H67" s="335" t="s">
        <v>171</v>
      </c>
    </row>
    <row r="68" spans="1:8" x14ac:dyDescent="0.25">
      <c r="A68" s="289" t="s">
        <v>130</v>
      </c>
      <c r="B68" s="290">
        <f>B24/B2-1</f>
        <v>9.7821564668409078E-2</v>
      </c>
      <c r="C68" s="290">
        <f t="shared" ref="C68:H68" si="22">C24/C2-1</f>
        <v>-2.2928004365663264</v>
      </c>
      <c r="D68" s="290">
        <f t="shared" si="22"/>
        <v>-6.2180157900455946E-2</v>
      </c>
      <c r="E68" s="290">
        <f t="shared" si="22"/>
        <v>-2.5160190540663985E-3</v>
      </c>
      <c r="F68" s="290">
        <f t="shared" si="22"/>
        <v>0</v>
      </c>
      <c r="G68" s="290">
        <f t="shared" si="22"/>
        <v>6.0446186973140525E-2</v>
      </c>
      <c r="H68" s="292">
        <f t="shared" si="22"/>
        <v>6.0446186973140525E-2</v>
      </c>
    </row>
    <row r="69" spans="1:8" x14ac:dyDescent="0.25">
      <c r="A69" s="289" t="s">
        <v>131</v>
      </c>
      <c r="B69" s="290">
        <f t="shared" ref="B69:H69" si="23">B25/B3-1</f>
        <v>-9.2071766699485358E-2</v>
      </c>
      <c r="C69" s="290">
        <f t="shared" si="23"/>
        <v>2.873246315375344</v>
      </c>
      <c r="D69" s="290">
        <f t="shared" si="23"/>
        <v>1.1944807572172644E-2</v>
      </c>
      <c r="E69" s="290">
        <f t="shared" si="23"/>
        <v>-1.6577837862731037E-2</v>
      </c>
      <c r="F69" s="290">
        <f t="shared" si="23"/>
        <v>0</v>
      </c>
      <c r="G69" s="290">
        <f t="shared" si="23"/>
        <v>-1.076900727168828E-2</v>
      </c>
      <c r="H69" s="292">
        <f t="shared" si="23"/>
        <v>-1.0769007271688391E-2</v>
      </c>
    </row>
    <row r="70" spans="1:8" x14ac:dyDescent="0.25">
      <c r="A70" s="289" t="s">
        <v>132</v>
      </c>
      <c r="B70" s="290">
        <f t="shared" ref="B70:H70" si="24">B26/B4-1</f>
        <v>9.0579197232934616E-2</v>
      </c>
      <c r="C70" s="290">
        <f t="shared" si="24"/>
        <v>-1.7614118018103546</v>
      </c>
      <c r="D70" s="290">
        <f t="shared" si="24"/>
        <v>-6.6841195579705803E-2</v>
      </c>
      <c r="E70" s="290">
        <f t="shared" si="24"/>
        <v>-2.6421535062614021E-3</v>
      </c>
      <c r="F70" s="290">
        <f t="shared" si="24"/>
        <v>0</v>
      </c>
      <c r="G70" s="290">
        <f t="shared" si="24"/>
        <v>4.9467334306982913E-2</v>
      </c>
      <c r="H70" s="292">
        <f t="shared" si="24"/>
        <v>5.2246494226116269E-2</v>
      </c>
    </row>
    <row r="71" spans="1:8" x14ac:dyDescent="0.25">
      <c r="A71" s="289" t="s">
        <v>133</v>
      </c>
      <c r="B71" s="290">
        <f t="shared" ref="B71:H71" si="25">B27/B5-1</f>
        <v>-0.18323992656363519</v>
      </c>
      <c r="C71" s="290">
        <f t="shared" si="25"/>
        <v>4.5571268656732942</v>
      </c>
      <c r="D71" s="290">
        <f t="shared" si="25"/>
        <v>1.7389517301422242E-2</v>
      </c>
      <c r="E71" s="290">
        <f t="shared" si="25"/>
        <v>-1.7396632381857624E-2</v>
      </c>
      <c r="F71" s="290">
        <f t="shared" si="25"/>
        <v>0</v>
      </c>
      <c r="G71" s="290">
        <f t="shared" si="25"/>
        <v>-2.6870716261994776E-2</v>
      </c>
      <c r="H71" s="292">
        <f t="shared" si="25"/>
        <v>-2.8264850836221878E-2</v>
      </c>
    </row>
    <row r="72" spans="1:8" x14ac:dyDescent="0.25">
      <c r="A72" s="289" t="s">
        <v>134</v>
      </c>
      <c r="B72" s="290">
        <f t="shared" ref="B72:H72" si="26">B28/B6-1</f>
        <v>6.5894307841432909E-2</v>
      </c>
      <c r="C72" s="290">
        <f t="shared" si="26"/>
        <v>-0.89371380862128236</v>
      </c>
      <c r="D72" s="290">
        <f t="shared" si="26"/>
        <v>-8.943987996776448E-2</v>
      </c>
      <c r="E72" s="290">
        <f t="shared" si="26"/>
        <v>-9.9426931792967466E-4</v>
      </c>
      <c r="F72" s="290">
        <f t="shared" si="26"/>
        <v>-2.7240929424026117E-3</v>
      </c>
      <c r="G72" s="290">
        <f t="shared" si="26"/>
        <v>7.2173923344371893E-3</v>
      </c>
      <c r="H72" s="292">
        <f t="shared" si="26"/>
        <v>7.2173923344374113E-3</v>
      </c>
    </row>
    <row r="73" spans="1:8" x14ac:dyDescent="0.25">
      <c r="A73" s="289" t="s">
        <v>135</v>
      </c>
      <c r="B73" s="290">
        <f t="shared" ref="B73:H73" si="27">B29/B7-1</f>
        <v>0.17892433968402277</v>
      </c>
      <c r="C73" s="290">
        <f t="shared" si="27"/>
        <v>-1.0258285938773428</v>
      </c>
      <c r="D73" s="290">
        <f t="shared" si="27"/>
        <v>0.56079987707133672</v>
      </c>
      <c r="E73" s="290">
        <f t="shared" si="27"/>
        <v>-6.6074949208544398E-3</v>
      </c>
      <c r="F73" s="290">
        <f t="shared" si="27"/>
        <v>-1.7927918109550522E-2</v>
      </c>
      <c r="G73" s="290">
        <f t="shared" si="27"/>
        <v>-1.6165147568101945E-2</v>
      </c>
      <c r="H73" s="292">
        <f t="shared" si="27"/>
        <v>-1.6165147568101945E-2</v>
      </c>
    </row>
    <row r="74" spans="1:8" x14ac:dyDescent="0.25">
      <c r="A74" s="289" t="s">
        <v>136</v>
      </c>
      <c r="B74" s="290">
        <f t="shared" ref="B74:H74" si="28">B30/B8-1</f>
        <v>-1.2033139606428489E-2</v>
      </c>
      <c r="C74" s="290">
        <f t="shared" si="28"/>
        <v>-0.71300436918258558</v>
      </c>
      <c r="D74" s="290">
        <f t="shared" si="28"/>
        <v>-0.11437663481714255</v>
      </c>
      <c r="E74" s="290">
        <f t="shared" si="28"/>
        <v>-9.9536783107512239E-4</v>
      </c>
      <c r="F74" s="290">
        <f t="shared" si="28"/>
        <v>-2.7240929424026117E-3</v>
      </c>
      <c r="G74" s="290">
        <f t="shared" si="28"/>
        <v>1.2581224164482929E-3</v>
      </c>
      <c r="H74" s="292">
        <f t="shared" si="28"/>
        <v>1.2581224164480709E-3</v>
      </c>
    </row>
    <row r="75" spans="1:8" x14ac:dyDescent="0.25">
      <c r="A75" s="289" t="s">
        <v>146</v>
      </c>
      <c r="B75" s="290">
        <f t="shared" ref="B75:H75" si="29">B31/B9-1</f>
        <v>3.5828908848448249E-2</v>
      </c>
      <c r="C75" s="290">
        <f t="shared" si="29"/>
        <v>-1.0804687379493429</v>
      </c>
      <c r="D75" s="290">
        <f t="shared" si="29"/>
        <v>8.8847462617898554E-2</v>
      </c>
      <c r="E75" s="290">
        <f t="shared" si="29"/>
        <v>-6.6147541124971232E-3</v>
      </c>
      <c r="F75" s="290">
        <f t="shared" si="29"/>
        <v>-1.79279181095503E-2</v>
      </c>
      <c r="G75" s="290">
        <f t="shared" si="29"/>
        <v>-7.0287108499821449E-2</v>
      </c>
      <c r="H75" s="292">
        <f t="shared" si="29"/>
        <v>-7.0287108499821449E-2</v>
      </c>
    </row>
    <row r="76" spans="1:8" x14ac:dyDescent="0.25">
      <c r="A76" s="289" t="s">
        <v>137</v>
      </c>
      <c r="B76" s="290">
        <f t="shared" ref="B76:H76" si="30">B32/B10-1</f>
        <v>0.13307272096941736</v>
      </c>
      <c r="C76" s="290">
        <f t="shared" si="30"/>
        <v>-0.90589015976650167</v>
      </c>
      <c r="D76" s="290">
        <f t="shared" si="30"/>
        <v>-2.9996162696843243E-2</v>
      </c>
      <c r="E76" s="290">
        <f t="shared" si="30"/>
        <v>0</v>
      </c>
      <c r="F76" s="290">
        <f t="shared" si="30"/>
        <v>0</v>
      </c>
      <c r="G76" s="290">
        <f t="shared" si="30"/>
        <v>4.2244350149940546E-2</v>
      </c>
      <c r="H76" s="292">
        <f t="shared" si="30"/>
        <v>4.2244350149940546E-2</v>
      </c>
    </row>
    <row r="77" spans="1:8" x14ac:dyDescent="0.25">
      <c r="A77" s="289" t="s">
        <v>139</v>
      </c>
      <c r="B77" s="290">
        <f t="shared" ref="B77:H77" si="31">B33/B11-1</f>
        <v>-0.21227966934481435</v>
      </c>
      <c r="C77" s="290">
        <f>C33/C11-1</f>
        <v>-1.4836396815359509</v>
      </c>
      <c r="D77" s="290">
        <f t="shared" si="31"/>
        <v>-2.9996182472644239E-2</v>
      </c>
      <c r="E77" s="290">
        <f t="shared" si="31"/>
        <v>-1.1077832874191174E-3</v>
      </c>
      <c r="F77" s="290">
        <f t="shared" si="31"/>
        <v>-3.0505095802764171E-3</v>
      </c>
      <c r="G77" s="290">
        <f t="shared" si="31"/>
        <v>-3.3043024237901619E-2</v>
      </c>
      <c r="H77" s="292">
        <f t="shared" si="31"/>
        <v>-3.304302423790173E-2</v>
      </c>
    </row>
    <row r="78" spans="1:8" x14ac:dyDescent="0.25">
      <c r="A78" s="289" t="s">
        <v>140</v>
      </c>
      <c r="B78" s="290">
        <f t="shared" ref="B78:H78" si="32">B34/B12-1</f>
        <v>-0.4082441734183152</v>
      </c>
      <c r="C78" s="290">
        <f t="shared" si="32"/>
        <v>0.51514539855371599</v>
      </c>
      <c r="D78" s="290">
        <f t="shared" si="32"/>
        <v>-2.9996155104858202E-2</v>
      </c>
      <c r="E78" s="290">
        <f t="shared" si="32"/>
        <v>0</v>
      </c>
      <c r="F78" s="290" t="e">
        <f t="shared" si="32"/>
        <v>#DIV/0!</v>
      </c>
      <c r="G78" s="290">
        <f t="shared" si="32"/>
        <v>-0.20629076980107652</v>
      </c>
      <c r="H78" s="292">
        <f t="shared" si="32"/>
        <v>-0.2062907698010763</v>
      </c>
    </row>
    <row r="79" spans="1:8" x14ac:dyDescent="0.25">
      <c r="A79" s="289" t="s">
        <v>178</v>
      </c>
      <c r="B79" s="290">
        <f t="shared" ref="B79:H79" si="33">B35/B13-1</f>
        <v>-0.77030941503839179</v>
      </c>
      <c r="C79" s="290">
        <f t="shared" si="33"/>
        <v>-1.0715714690621985</v>
      </c>
      <c r="D79" s="290">
        <f t="shared" si="33"/>
        <v>-8.9029065613883684E-2</v>
      </c>
      <c r="E79" s="290">
        <f t="shared" si="33"/>
        <v>-1.0238356236693225E-2</v>
      </c>
      <c r="F79" s="290">
        <f t="shared" si="33"/>
        <v>-2.7748638928455027E-2</v>
      </c>
      <c r="G79" s="290">
        <f t="shared" si="33"/>
        <v>-0.13180997619804646</v>
      </c>
      <c r="H79" s="292">
        <f t="shared" si="33"/>
        <v>-0.13180997619804657</v>
      </c>
    </row>
    <row r="80" spans="1:8" x14ac:dyDescent="0.25">
      <c r="A80" s="289" t="s">
        <v>179</v>
      </c>
      <c r="B80" s="290">
        <f t="shared" ref="B80:H80" si="34">B36/B14-1</f>
        <v>-10.356935037498586</v>
      </c>
      <c r="C80" s="290" t="e">
        <f t="shared" si="34"/>
        <v>#DIV/0!</v>
      </c>
      <c r="D80" s="290" t="e">
        <f t="shared" si="34"/>
        <v>#DIV/0!</v>
      </c>
      <c r="E80" s="290">
        <f t="shared" si="34"/>
        <v>-1.0238417778043352E-2</v>
      </c>
      <c r="F80" s="290">
        <f t="shared" si="34"/>
        <v>-2.7748638928454916E-2</v>
      </c>
      <c r="G80" s="290">
        <f t="shared" si="34"/>
        <v>-3.7423945905498246E-2</v>
      </c>
      <c r="H80" s="292">
        <f t="shared" si="34"/>
        <v>-3.7423945905498357E-2</v>
      </c>
    </row>
    <row r="81" spans="1:8" x14ac:dyDescent="0.25">
      <c r="A81" s="289" t="s">
        <v>138</v>
      </c>
      <c r="B81" s="290">
        <f t="shared" ref="B81:H81" si="35">B37/B15-1</f>
        <v>0.82964762817124305</v>
      </c>
      <c r="C81" s="290">
        <f t="shared" si="35"/>
        <v>-0.98134952924371222</v>
      </c>
      <c r="D81" s="290">
        <f t="shared" si="35"/>
        <v>-8.9026631011265622E-2</v>
      </c>
      <c r="E81" s="290">
        <f t="shared" si="35"/>
        <v>-6.568319592489158E-3</v>
      </c>
      <c r="F81" s="290">
        <f t="shared" si="35"/>
        <v>-1.7923192064882576E-2</v>
      </c>
      <c r="G81" s="290">
        <f t="shared" si="35"/>
        <v>-7.7422539808062463E-2</v>
      </c>
      <c r="H81" s="292">
        <f t="shared" si="35"/>
        <v>-7.7422539808062463E-2</v>
      </c>
    </row>
    <row r="82" spans="1:8" x14ac:dyDescent="0.25">
      <c r="A82" s="289" t="s">
        <v>143</v>
      </c>
      <c r="B82" s="290">
        <f t="shared" ref="B82:H82" si="36">B38/B16-1</f>
        <v>-0.25614362203454621</v>
      </c>
      <c r="C82" s="290">
        <f t="shared" si="36"/>
        <v>-14.081604004234951</v>
      </c>
      <c r="D82" s="290">
        <f t="shared" si="36"/>
        <v>-4.6738268357150892E-2</v>
      </c>
      <c r="E82" s="290">
        <f t="shared" si="36"/>
        <v>-9.9533963375009193E-4</v>
      </c>
      <c r="F82" s="290">
        <f t="shared" si="36"/>
        <v>0</v>
      </c>
      <c r="G82" s="290">
        <f t="shared" si="36"/>
        <v>-9.6990424362155214E-2</v>
      </c>
      <c r="H82" s="292">
        <f t="shared" si="36"/>
        <v>-9.6990424362155214E-2</v>
      </c>
    </row>
    <row r="83" spans="1:8" x14ac:dyDescent="0.25">
      <c r="A83" s="289" t="s">
        <v>144</v>
      </c>
      <c r="B83" s="290">
        <f t="shared" ref="B83:H83" si="37">B39/B17-1</f>
        <v>-0.36943033981263251</v>
      </c>
      <c r="C83" s="290">
        <f t="shared" si="37"/>
        <v>-0.92831431932716124</v>
      </c>
      <c r="D83" s="290">
        <f t="shared" si="37"/>
        <v>7.9392493496613481E-2</v>
      </c>
      <c r="E83" s="290">
        <f t="shared" si="37"/>
        <v>-6.6146920005433207E-3</v>
      </c>
      <c r="F83" s="290">
        <f t="shared" si="37"/>
        <v>0</v>
      </c>
      <c r="G83" s="290">
        <f t="shared" si="37"/>
        <v>-0.11746874281313213</v>
      </c>
      <c r="H83" s="292">
        <f t="shared" si="37"/>
        <v>-0.11746874281313213</v>
      </c>
    </row>
    <row r="84" spans="1:8" x14ac:dyDescent="0.25">
      <c r="A84" s="289" t="s">
        <v>141</v>
      </c>
      <c r="B84" s="290">
        <f t="shared" ref="B84:H84" si="38">B40/B18-1</f>
        <v>-1.3766703704679251E-2</v>
      </c>
      <c r="C84" s="290">
        <f t="shared" si="38"/>
        <v>-1.7588438691977935</v>
      </c>
      <c r="D84" s="290">
        <f t="shared" si="38"/>
        <v>-5.019557939959951E-2</v>
      </c>
      <c r="E84" s="290">
        <f t="shared" si="38"/>
        <v>-3.6186850102137846E-4</v>
      </c>
      <c r="F84" s="290">
        <f t="shared" si="38"/>
        <v>0</v>
      </c>
      <c r="G84" s="290">
        <f t="shared" si="38"/>
        <v>2.128311057223442E-2</v>
      </c>
      <c r="H84" s="292">
        <f t="shared" si="38"/>
        <v>2.128311057223442E-2</v>
      </c>
    </row>
    <row r="85" spans="1:8" x14ac:dyDescent="0.25">
      <c r="A85" s="289" t="s">
        <v>142</v>
      </c>
      <c r="B85" s="290">
        <f t="shared" ref="B85:H85" si="39">B41/B19-1</f>
        <v>0.61449098795661983</v>
      </c>
      <c r="C85" s="290">
        <f t="shared" si="39"/>
        <v>16.7534725534308</v>
      </c>
      <c r="D85" s="290">
        <f t="shared" si="39"/>
        <v>3.5537634567682108E-2</v>
      </c>
      <c r="E85" s="290">
        <f t="shared" si="39"/>
        <v>-1.3140375609550503E-3</v>
      </c>
      <c r="F85" s="290">
        <f t="shared" si="39"/>
        <v>0</v>
      </c>
      <c r="G85" s="290">
        <f t="shared" si="39"/>
        <v>0.19680990861337877</v>
      </c>
      <c r="H85" s="292">
        <f t="shared" si="39"/>
        <v>0.19680990861337855</v>
      </c>
    </row>
    <row r="86" spans="1:8" x14ac:dyDescent="0.25">
      <c r="A86" s="289" t="s">
        <v>145</v>
      </c>
      <c r="B86" s="290">
        <f t="shared" ref="B86:H86" si="40">B42/B20-1</f>
        <v>0.39124302504164721</v>
      </c>
      <c r="C86" s="290">
        <f t="shared" si="40"/>
        <v>-0.53215041472121727</v>
      </c>
      <c r="D86" s="290">
        <f t="shared" si="40"/>
        <v>-8.9603215698645822E-2</v>
      </c>
      <c r="E86" s="290">
        <f t="shared" si="40"/>
        <v>-6.6000661283494022E-3</v>
      </c>
      <c r="F86" s="290">
        <f t="shared" si="40"/>
        <v>-4.7165316817532332E-2</v>
      </c>
      <c r="G86" s="290">
        <f t="shared" si="40"/>
        <v>0.15868176029762315</v>
      </c>
      <c r="H86" s="292">
        <f t="shared" si="40"/>
        <v>0.15868176029762315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307"/>
  <sheetViews>
    <sheetView showGridLines="0" zoomScale="78" zoomScaleNormal="78" workbookViewId="0">
      <pane xSplit="5" ySplit="1" topLeftCell="F17" activePane="bottomRight" state="frozen"/>
      <selection activeCell="D125" sqref="D125"/>
      <selection pane="topRight" activeCell="D125" sqref="D125"/>
      <selection pane="bottomLeft" activeCell="D125" sqref="D125"/>
      <selection pane="bottomRight" activeCell="D37" sqref="D37"/>
    </sheetView>
  </sheetViews>
  <sheetFormatPr defaultColWidth="9.140625" defaultRowHeight="14.25" x14ac:dyDescent="0.2"/>
  <cols>
    <col min="1" max="1" width="6.7109375" style="12" bestFit="1" customWidth="1"/>
    <col min="2" max="2" width="59.7109375" style="12" bestFit="1" customWidth="1"/>
    <col min="3" max="3" width="33.28515625" style="13" bestFit="1" customWidth="1"/>
    <col min="4" max="4" width="28.28515625" style="13" bestFit="1" customWidth="1"/>
    <col min="5" max="5" width="14.7109375" style="13" bestFit="1" customWidth="1"/>
    <col min="6" max="6" width="13.5703125" style="13" customWidth="1"/>
    <col min="7" max="7" width="14" style="306" customWidth="1"/>
    <col min="8" max="8" width="14.42578125" style="306" customWidth="1"/>
    <col min="9" max="9" width="13.42578125" style="11" customWidth="1"/>
    <col min="10" max="10" width="10.7109375" style="306" customWidth="1"/>
    <col min="11" max="11" width="14.28515625" style="306" customWidth="1"/>
    <col min="12" max="12" width="13" style="13" bestFit="1" customWidth="1"/>
    <col min="13" max="13" width="9.140625" style="11"/>
    <col min="14" max="14" width="20.85546875" style="309" customWidth="1"/>
    <col min="15" max="15" width="33.7109375" style="11" bestFit="1" customWidth="1"/>
    <col min="16" max="16" width="16.7109375" style="11" bestFit="1" customWidth="1"/>
    <col min="17" max="17" width="30.42578125" style="11" customWidth="1"/>
    <col min="18" max="18" width="9.28515625" style="11" customWidth="1"/>
    <col min="19" max="19" width="9.140625" style="11"/>
    <col min="20" max="20" width="12.7109375" style="11" bestFit="1" customWidth="1"/>
    <col min="21" max="16384" width="9.140625" style="11"/>
  </cols>
  <sheetData>
    <row r="1" spans="1:20" s="10" customFormat="1" ht="60" x14ac:dyDescent="0.2">
      <c r="A1" s="8" t="s">
        <v>103</v>
      </c>
      <c r="B1" s="8" t="s">
        <v>22</v>
      </c>
      <c r="C1" s="8" t="s">
        <v>23</v>
      </c>
      <c r="D1" s="8" t="s">
        <v>24</v>
      </c>
      <c r="E1" s="9" t="s">
        <v>25</v>
      </c>
      <c r="F1" s="9" t="s">
        <v>43</v>
      </c>
      <c r="G1" s="300" t="s">
        <v>20</v>
      </c>
      <c r="H1" s="300" t="s">
        <v>183</v>
      </c>
      <c r="I1" s="9" t="s">
        <v>44</v>
      </c>
      <c r="J1" s="300" t="s">
        <v>19</v>
      </c>
      <c r="K1" s="300" t="s">
        <v>184</v>
      </c>
      <c r="L1" s="9" t="s">
        <v>21</v>
      </c>
      <c r="N1" s="311"/>
      <c r="O1" s="465" t="s">
        <v>202</v>
      </c>
      <c r="P1" s="465" t="s">
        <v>240</v>
      </c>
      <c r="Q1" s="465" t="s">
        <v>239</v>
      </c>
      <c r="R1" s="463" t="s">
        <v>253</v>
      </c>
      <c r="S1" s="463" t="s">
        <v>252</v>
      </c>
      <c r="T1" s="465" t="s">
        <v>246</v>
      </c>
    </row>
    <row r="2" spans="1:20" s="10" customFormat="1" ht="28.5" x14ac:dyDescent="0.2">
      <c r="A2" s="316">
        <v>22</v>
      </c>
      <c r="B2" s="316" t="s">
        <v>6</v>
      </c>
      <c r="C2" s="41" t="s">
        <v>56</v>
      </c>
      <c r="D2" s="317" t="s">
        <v>14</v>
      </c>
      <c r="E2" s="41" t="s">
        <v>13</v>
      </c>
      <c r="F2" s="274">
        <v>6.5000000000000002E-2</v>
      </c>
      <c r="G2" s="301">
        <v>6.5000000000000002E-2</v>
      </c>
      <c r="H2" s="301">
        <v>6.5000000000000002E-2</v>
      </c>
      <c r="I2" s="274">
        <v>6.5000000000000002E-2</v>
      </c>
      <c r="J2" s="301">
        <v>6.5000000000000002E-2</v>
      </c>
      <c r="K2" s="301">
        <v>6.5000000000000002E-2</v>
      </c>
      <c r="L2" s="274">
        <v>6.5000000000000002E-2</v>
      </c>
      <c r="N2" s="311"/>
      <c r="O2" s="464" t="s">
        <v>250</v>
      </c>
      <c r="P2" s="464" t="s">
        <v>254</v>
      </c>
      <c r="Q2" s="454" t="s">
        <v>251</v>
      </c>
      <c r="R2" s="467">
        <v>1.0335000000000001</v>
      </c>
      <c r="S2" s="468">
        <v>1.0495000000000001</v>
      </c>
      <c r="T2" s="466">
        <v>1.030684649944027</v>
      </c>
    </row>
    <row r="3" spans="1:20" s="10" customFormat="1" ht="13.9" customHeight="1" x14ac:dyDescent="0.2">
      <c r="A3" s="316">
        <v>23</v>
      </c>
      <c r="B3" s="316" t="s">
        <v>7</v>
      </c>
      <c r="C3" s="41" t="s">
        <v>56</v>
      </c>
      <c r="D3" s="317" t="s">
        <v>14</v>
      </c>
      <c r="E3" s="41" t="s">
        <v>13</v>
      </c>
      <c r="F3" s="274">
        <v>9.5000000000000001E-2</v>
      </c>
      <c r="G3" s="301">
        <v>9.5000000000000001E-2</v>
      </c>
      <c r="H3" s="301">
        <v>9.5000000000000001E-2</v>
      </c>
      <c r="I3" s="274">
        <v>9.5000000000000001E-2</v>
      </c>
      <c r="J3" s="301">
        <v>9.5000000000000001E-2</v>
      </c>
      <c r="K3" s="301">
        <v>9.5000000000000001E-2</v>
      </c>
      <c r="L3" s="274">
        <v>9.5000000000000001E-2</v>
      </c>
      <c r="N3" s="311"/>
      <c r="O3" s="459" t="s">
        <v>237</v>
      </c>
      <c r="P3" s="459" t="s">
        <v>242</v>
      </c>
      <c r="Q3" s="459" t="s">
        <v>241</v>
      </c>
      <c r="R3" s="460">
        <v>1.0145</v>
      </c>
      <c r="S3" s="460"/>
      <c r="T3" s="460">
        <v>1.014545</v>
      </c>
    </row>
    <row r="4" spans="1:20" s="10" customFormat="1" ht="28.5" x14ac:dyDescent="0.2">
      <c r="A4" s="318">
        <v>24</v>
      </c>
      <c r="B4" s="318" t="s">
        <v>8</v>
      </c>
      <c r="C4" s="41" t="s">
        <v>56</v>
      </c>
      <c r="D4" s="317" t="s">
        <v>14</v>
      </c>
      <c r="E4" s="41" t="s">
        <v>13</v>
      </c>
      <c r="F4" s="274">
        <v>0.13200000000000001</v>
      </c>
      <c r="G4" s="301">
        <v>0.13200000000000001</v>
      </c>
      <c r="H4" s="301">
        <v>0.13200000000000001</v>
      </c>
      <c r="I4" s="274">
        <v>0.13200000000000001</v>
      </c>
      <c r="J4" s="301">
        <v>0.13200000000000001</v>
      </c>
      <c r="K4" s="301">
        <v>0.13200000000000001</v>
      </c>
      <c r="L4" s="274">
        <v>0.13200000000000001</v>
      </c>
      <c r="N4" s="311"/>
      <c r="O4" s="457" t="s">
        <v>238</v>
      </c>
      <c r="P4" s="457" t="s">
        <v>242</v>
      </c>
      <c r="Q4" s="457" t="s">
        <v>245</v>
      </c>
      <c r="R4" s="458">
        <v>1.0044999999999999</v>
      </c>
      <c r="S4" s="458"/>
      <c r="T4" s="458">
        <v>1.0044999999999999</v>
      </c>
    </row>
    <row r="5" spans="1:20" s="10" customFormat="1" x14ac:dyDescent="0.2">
      <c r="A5" s="316">
        <v>25</v>
      </c>
      <c r="B5" s="316" t="s">
        <v>14</v>
      </c>
      <c r="C5" s="41" t="s">
        <v>56</v>
      </c>
      <c r="D5" s="317" t="s">
        <v>14</v>
      </c>
      <c r="E5" s="41" t="s">
        <v>13</v>
      </c>
      <c r="F5" s="319">
        <v>1.8855833333333332E-2</v>
      </c>
      <c r="G5" s="320">
        <v>1.8855833333333332E-2</v>
      </c>
      <c r="H5" s="320">
        <v>1.8855833333333332E-2</v>
      </c>
      <c r="I5" s="319">
        <v>1.8855833333333332E-2</v>
      </c>
      <c r="J5" s="320">
        <v>1.8855833333333332E-2</v>
      </c>
      <c r="K5" s="320">
        <v>1.8855833333333332E-2</v>
      </c>
      <c r="L5" s="319">
        <v>1.8855833333333332E-2</v>
      </c>
      <c r="N5" s="311"/>
      <c r="O5" s="457" t="s">
        <v>58</v>
      </c>
      <c r="P5" s="457" t="s">
        <v>243</v>
      </c>
      <c r="Q5" s="457" t="s">
        <v>245</v>
      </c>
      <c r="R5" s="458">
        <v>1.0044999999999999</v>
      </c>
      <c r="S5" s="458"/>
      <c r="T5" s="458">
        <v>1.0044999999999999</v>
      </c>
    </row>
    <row r="6" spans="1:20" s="10" customFormat="1" ht="18.600000000000001" customHeight="1" x14ac:dyDescent="0.2">
      <c r="A6" s="316">
        <v>26</v>
      </c>
      <c r="B6" s="316" t="s">
        <v>12</v>
      </c>
      <c r="C6" s="41" t="s">
        <v>56</v>
      </c>
      <c r="D6" s="317" t="s">
        <v>14</v>
      </c>
      <c r="E6" s="41" t="s">
        <v>13</v>
      </c>
      <c r="F6" s="319">
        <v>0.10303000000000001</v>
      </c>
      <c r="G6" s="320">
        <v>0.10303000000000001</v>
      </c>
      <c r="H6" s="320">
        <v>0.10303000000000001</v>
      </c>
      <c r="I6" s="319">
        <v>0.10303000000000001</v>
      </c>
      <c r="J6" s="320">
        <v>0.10303000000000001</v>
      </c>
      <c r="K6" s="320">
        <v>0.10303000000000001</v>
      </c>
      <c r="L6" s="319">
        <v>0.10303000000000001</v>
      </c>
      <c r="N6" s="311"/>
      <c r="O6" s="455" t="s">
        <v>57</v>
      </c>
      <c r="P6" s="455" t="s">
        <v>243</v>
      </c>
      <c r="Q6" s="455" t="s">
        <v>244</v>
      </c>
      <c r="R6" s="456">
        <v>1.0235000000000001</v>
      </c>
      <c r="S6" s="456"/>
      <c r="T6" s="456">
        <v>1.0203778034445867</v>
      </c>
    </row>
    <row r="7" spans="1:20" ht="15" x14ac:dyDescent="0.2">
      <c r="A7" s="269"/>
      <c r="B7" s="19" t="s">
        <v>60</v>
      </c>
      <c r="C7" s="20" t="s">
        <v>56</v>
      </c>
      <c r="D7" s="45" t="s">
        <v>60</v>
      </c>
      <c r="E7" s="20" t="s">
        <v>13</v>
      </c>
      <c r="F7" s="21">
        <v>1.0335000000000001</v>
      </c>
      <c r="G7" s="302">
        <v>1.0335000000000001</v>
      </c>
      <c r="H7" s="298">
        <v>1.030684649944027</v>
      </c>
      <c r="I7" s="21">
        <v>1.0495000000000001</v>
      </c>
      <c r="J7" s="302">
        <v>1.0495000000000001</v>
      </c>
      <c r="K7" s="298">
        <v>1.030684649944027</v>
      </c>
      <c r="L7" s="298">
        <v>1.030684649944027</v>
      </c>
      <c r="O7" s="455" t="s">
        <v>180</v>
      </c>
      <c r="P7" s="455" t="s">
        <v>243</v>
      </c>
      <c r="Q7" s="455" t="s">
        <v>244</v>
      </c>
      <c r="R7" s="456"/>
      <c r="S7" s="456">
        <v>1.0495000000000001</v>
      </c>
      <c r="T7" s="456">
        <v>1.0203778034445867</v>
      </c>
    </row>
    <row r="8" spans="1:20" ht="28.5" x14ac:dyDescent="0.2">
      <c r="A8" s="42">
        <v>18</v>
      </c>
      <c r="B8" s="39" t="s">
        <v>35</v>
      </c>
      <c r="C8" s="36" t="s">
        <v>56</v>
      </c>
      <c r="D8" s="321" t="s">
        <v>17</v>
      </c>
      <c r="E8" s="36" t="s">
        <v>27</v>
      </c>
      <c r="F8" s="40">
        <v>0.25</v>
      </c>
      <c r="G8" s="303">
        <v>0.25</v>
      </c>
      <c r="H8" s="303">
        <v>0.25</v>
      </c>
      <c r="I8" s="40">
        <v>0.25</v>
      </c>
      <c r="J8" s="303">
        <v>0.25</v>
      </c>
      <c r="K8" s="303">
        <v>0.25</v>
      </c>
      <c r="L8" s="40">
        <v>0.25</v>
      </c>
      <c r="O8" s="455" t="s">
        <v>181</v>
      </c>
      <c r="P8" s="455" t="s">
        <v>243</v>
      </c>
      <c r="Q8" s="455" t="s">
        <v>244</v>
      </c>
      <c r="R8" s="456"/>
      <c r="S8" s="456">
        <v>1.0495000000000001</v>
      </c>
      <c r="T8" s="456">
        <v>1.0203778034445867</v>
      </c>
    </row>
    <row r="9" spans="1:20" x14ac:dyDescent="0.2">
      <c r="A9" s="42">
        <v>19</v>
      </c>
      <c r="B9" s="39" t="s">
        <v>33</v>
      </c>
      <c r="C9" s="36" t="s">
        <v>56</v>
      </c>
      <c r="D9" s="321" t="s">
        <v>17</v>
      </c>
      <c r="E9" s="36" t="s">
        <v>13</v>
      </c>
      <c r="F9" s="40">
        <v>3.2000000000000002E-3</v>
      </c>
      <c r="G9" s="303">
        <v>3.2000000000000002E-3</v>
      </c>
      <c r="H9" s="303">
        <v>3.2000000000000002E-3</v>
      </c>
      <c r="I9" s="40">
        <v>3.2000000000000002E-3</v>
      </c>
      <c r="J9" s="303">
        <v>3.2000000000000002E-3</v>
      </c>
      <c r="K9" s="303">
        <v>3.2000000000000002E-3</v>
      </c>
      <c r="L9" s="40">
        <v>3.2000000000000002E-3</v>
      </c>
      <c r="O9" s="455" t="s">
        <v>59</v>
      </c>
      <c r="P9" s="455" t="s">
        <v>243</v>
      </c>
      <c r="Q9" s="455" t="s">
        <v>244</v>
      </c>
      <c r="R9" s="456"/>
      <c r="S9" s="456">
        <v>1.0389999999999999</v>
      </c>
      <c r="T9" s="456">
        <v>1.0203778034445867</v>
      </c>
    </row>
    <row r="10" spans="1:20" x14ac:dyDescent="0.2">
      <c r="A10" s="42">
        <v>20</v>
      </c>
      <c r="B10" s="39" t="s">
        <v>51</v>
      </c>
      <c r="C10" s="36" t="s">
        <v>56</v>
      </c>
      <c r="D10" s="321" t="s">
        <v>17</v>
      </c>
      <c r="E10" s="36" t="s">
        <v>13</v>
      </c>
      <c r="F10" s="40">
        <v>4.0000000000000002E-4</v>
      </c>
      <c r="G10" s="303">
        <v>4.0000000000000002E-4</v>
      </c>
      <c r="H10" s="303">
        <v>4.0000000000000002E-4</v>
      </c>
      <c r="I10" s="40">
        <v>4.0000000000000002E-4</v>
      </c>
      <c r="J10" s="303">
        <v>4.0000000000000002E-4</v>
      </c>
      <c r="K10" s="303">
        <v>4.0000000000000002E-4</v>
      </c>
      <c r="L10" s="40">
        <v>4.0000000000000002E-4</v>
      </c>
    </row>
    <row r="11" spans="1:20" x14ac:dyDescent="0.2">
      <c r="A11" s="42">
        <v>21</v>
      </c>
      <c r="B11" s="39" t="s">
        <v>34</v>
      </c>
      <c r="C11" s="36" t="s">
        <v>56</v>
      </c>
      <c r="D11" s="321" t="s">
        <v>17</v>
      </c>
      <c r="E11" s="36" t="s">
        <v>13</v>
      </c>
      <c r="F11" s="40">
        <v>2.9999999999999997E-4</v>
      </c>
      <c r="G11" s="303">
        <v>2.9999999999999997E-4</v>
      </c>
      <c r="H11" s="303">
        <v>2.9999999999999997E-4</v>
      </c>
      <c r="I11" s="40">
        <v>2.9999999999999997E-4</v>
      </c>
      <c r="J11" s="303">
        <v>2.9999999999999997E-4</v>
      </c>
      <c r="K11" s="303">
        <v>2.9999999999999997E-4</v>
      </c>
      <c r="L11" s="40">
        <v>2.9999999999999997E-4</v>
      </c>
    </row>
    <row r="12" spans="1:20" x14ac:dyDescent="0.2">
      <c r="A12" s="42">
        <v>21</v>
      </c>
      <c r="B12" s="39" t="s">
        <v>114</v>
      </c>
      <c r="C12" s="36" t="s">
        <v>115</v>
      </c>
      <c r="D12" s="321" t="s">
        <v>17</v>
      </c>
      <c r="E12" s="36" t="s">
        <v>13</v>
      </c>
      <c r="F12" s="40">
        <v>7.0000000000000001E-3</v>
      </c>
      <c r="G12" s="303">
        <v>7.0000000000000001E-3</v>
      </c>
      <c r="H12" s="303">
        <v>7.0000000000000001E-3</v>
      </c>
      <c r="I12" s="40">
        <v>7.0000000000000001E-3</v>
      </c>
      <c r="J12" s="303">
        <v>7.0000000000000001E-3</v>
      </c>
      <c r="K12" s="303">
        <v>7.0000000000000001E-3</v>
      </c>
      <c r="L12" s="40">
        <v>7.0000000000000001E-3</v>
      </c>
    </row>
    <row r="13" spans="1:20" ht="15" x14ac:dyDescent="0.2">
      <c r="A13" s="43">
        <v>1</v>
      </c>
      <c r="B13" s="27" t="s">
        <v>26</v>
      </c>
      <c r="C13" s="28" t="s">
        <v>59</v>
      </c>
      <c r="D13" s="322" t="s">
        <v>15</v>
      </c>
      <c r="E13" s="28" t="s">
        <v>27</v>
      </c>
      <c r="F13" s="37"/>
      <c r="G13" s="33"/>
      <c r="H13" s="33"/>
      <c r="I13" s="29">
        <v>96.98</v>
      </c>
      <c r="J13" s="314">
        <v>96.98</v>
      </c>
      <c r="K13" s="339">
        <v>0</v>
      </c>
      <c r="L13" s="285">
        <v>0</v>
      </c>
    </row>
    <row r="14" spans="1:20" ht="15" x14ac:dyDescent="0.2">
      <c r="A14" s="43">
        <v>2</v>
      </c>
      <c r="B14" s="27" t="s">
        <v>49</v>
      </c>
      <c r="C14" s="28" t="s">
        <v>59</v>
      </c>
      <c r="D14" s="322" t="s">
        <v>15</v>
      </c>
      <c r="E14" s="28" t="s">
        <v>27</v>
      </c>
      <c r="F14" s="37"/>
      <c r="G14" s="33"/>
      <c r="H14" s="33"/>
      <c r="I14" s="30"/>
      <c r="J14" s="33"/>
      <c r="K14" s="31"/>
      <c r="L14" s="31"/>
    </row>
    <row r="15" spans="1:20" ht="15" x14ac:dyDescent="0.25">
      <c r="A15" s="43">
        <v>3</v>
      </c>
      <c r="B15" s="27" t="s">
        <v>29</v>
      </c>
      <c r="C15" s="28" t="s">
        <v>59</v>
      </c>
      <c r="D15" s="322" t="s">
        <v>15</v>
      </c>
      <c r="E15" s="28" t="s">
        <v>37</v>
      </c>
      <c r="F15" s="37"/>
      <c r="G15" s="33"/>
      <c r="H15" s="33"/>
      <c r="I15" s="30">
        <v>3.9297</v>
      </c>
      <c r="J15" s="307">
        <v>3.9297</v>
      </c>
      <c r="K15" s="285">
        <v>13.945499999999999</v>
      </c>
      <c r="L15" s="285">
        <v>13.945499999999999</v>
      </c>
      <c r="O15" s="462" t="s">
        <v>249</v>
      </c>
    </row>
    <row r="16" spans="1:20" ht="15" x14ac:dyDescent="0.2">
      <c r="A16" s="43">
        <v>4</v>
      </c>
      <c r="B16" s="27" t="s">
        <v>49</v>
      </c>
      <c r="C16" s="28" t="s">
        <v>59</v>
      </c>
      <c r="D16" s="322" t="s">
        <v>15</v>
      </c>
      <c r="E16" s="28" t="s">
        <v>37</v>
      </c>
      <c r="F16" s="37"/>
      <c r="G16" s="33"/>
      <c r="H16" s="33"/>
      <c r="I16" s="30"/>
      <c r="J16" s="33"/>
      <c r="K16" s="33"/>
      <c r="L16" s="37"/>
    </row>
    <row r="17" spans="1:15" ht="15" x14ac:dyDescent="0.2">
      <c r="A17" s="43">
        <v>5</v>
      </c>
      <c r="B17" s="27" t="s">
        <v>231</v>
      </c>
      <c r="C17" s="28" t="s">
        <v>59</v>
      </c>
      <c r="D17" s="322" t="s">
        <v>15</v>
      </c>
      <c r="E17" s="28" t="s">
        <v>27</v>
      </c>
      <c r="F17" s="37"/>
      <c r="G17" s="33"/>
      <c r="H17" s="33"/>
      <c r="I17" s="31"/>
      <c r="J17" s="33"/>
      <c r="K17" s="33"/>
      <c r="L17" s="37"/>
    </row>
    <row r="18" spans="1:15" ht="15" x14ac:dyDescent="0.2">
      <c r="A18" s="27"/>
      <c r="B18" s="27" t="s">
        <v>231</v>
      </c>
      <c r="C18" s="28" t="s">
        <v>59</v>
      </c>
      <c r="D18" s="322" t="s">
        <v>15</v>
      </c>
      <c r="E18" s="28" t="s">
        <v>37</v>
      </c>
      <c r="F18" s="37"/>
      <c r="G18" s="33"/>
      <c r="H18" s="33"/>
      <c r="I18" s="31"/>
      <c r="J18" s="33"/>
      <c r="K18" s="307">
        <v>-0.10393267269968255</v>
      </c>
      <c r="L18" s="307">
        <f>AVERAGE(H18,K18)</f>
        <v>-0.10393267269968255</v>
      </c>
      <c r="N18" s="309" t="s">
        <v>195</v>
      </c>
    </row>
    <row r="19" spans="1:15" ht="15" x14ac:dyDescent="0.2">
      <c r="A19" s="27"/>
      <c r="B19" s="27" t="s">
        <v>231</v>
      </c>
      <c r="C19" s="28" t="s">
        <v>59</v>
      </c>
      <c r="D19" s="322" t="s">
        <v>15</v>
      </c>
      <c r="E19" s="28" t="s">
        <v>27</v>
      </c>
      <c r="F19" s="37"/>
      <c r="G19" s="33"/>
      <c r="H19" s="33"/>
      <c r="I19" s="31"/>
      <c r="J19" s="33"/>
      <c r="K19" s="33"/>
      <c r="L19" s="33"/>
    </row>
    <row r="20" spans="1:15" ht="15" x14ac:dyDescent="0.2">
      <c r="A20" s="27"/>
      <c r="B20" s="27" t="s">
        <v>231</v>
      </c>
      <c r="C20" s="28" t="s">
        <v>59</v>
      </c>
      <c r="D20" s="322" t="s">
        <v>15</v>
      </c>
      <c r="E20" s="28" t="s">
        <v>37</v>
      </c>
      <c r="F20" s="37"/>
      <c r="G20" s="33"/>
      <c r="H20" s="33"/>
      <c r="I20" s="31"/>
      <c r="J20" s="33"/>
      <c r="K20" s="33"/>
      <c r="L20" s="37"/>
    </row>
    <row r="21" spans="1:15" ht="15" x14ac:dyDescent="0.25">
      <c r="A21" s="27">
        <v>6</v>
      </c>
      <c r="B21" s="27" t="s">
        <v>48</v>
      </c>
      <c r="C21" s="28" t="s">
        <v>59</v>
      </c>
      <c r="D21" s="322" t="s">
        <v>15</v>
      </c>
      <c r="E21" s="28" t="s">
        <v>37</v>
      </c>
      <c r="F21" s="37"/>
      <c r="G21" s="33"/>
      <c r="H21" s="33"/>
      <c r="I21" s="31"/>
      <c r="J21" s="33"/>
      <c r="K21" s="33"/>
      <c r="L21" s="37"/>
      <c r="O21" s="461" t="s">
        <v>247</v>
      </c>
    </row>
    <row r="22" spans="1:15" ht="15" x14ac:dyDescent="0.25">
      <c r="A22" s="27"/>
      <c r="B22" s="27" t="s">
        <v>110</v>
      </c>
      <c r="C22" s="28" t="s">
        <v>59</v>
      </c>
      <c r="D22" s="322" t="s">
        <v>15</v>
      </c>
      <c r="E22" s="28" t="s">
        <v>27</v>
      </c>
      <c r="F22" s="37"/>
      <c r="G22" s="33"/>
      <c r="H22" s="33"/>
      <c r="I22" s="31"/>
      <c r="J22" s="33"/>
      <c r="K22" s="33"/>
      <c r="L22" s="37"/>
      <c r="O22"/>
    </row>
    <row r="23" spans="1:15" ht="15" x14ac:dyDescent="0.2">
      <c r="A23" s="27">
        <v>7</v>
      </c>
      <c r="B23" s="27" t="s">
        <v>111</v>
      </c>
      <c r="C23" s="28" t="s">
        <v>59</v>
      </c>
      <c r="D23" s="322" t="s">
        <v>15</v>
      </c>
      <c r="E23" s="28" t="s">
        <v>37</v>
      </c>
      <c r="F23" s="37"/>
      <c r="G23" s="33"/>
      <c r="H23" s="33"/>
      <c r="I23" s="33"/>
      <c r="J23" s="33"/>
      <c r="K23" s="33"/>
      <c r="L23" s="37"/>
    </row>
    <row r="24" spans="1:15" ht="15" x14ac:dyDescent="0.2">
      <c r="A24" s="27">
        <v>8.1</v>
      </c>
      <c r="B24" s="27" t="s">
        <v>255</v>
      </c>
      <c r="C24" s="28" t="s">
        <v>59</v>
      </c>
      <c r="D24" s="322" t="s">
        <v>15</v>
      </c>
      <c r="E24" s="28" t="s">
        <v>37</v>
      </c>
      <c r="F24" s="37"/>
      <c r="G24" s="33"/>
      <c r="H24" s="33">
        <v>-7.9777821392552434E-2</v>
      </c>
      <c r="I24" s="33"/>
      <c r="J24" s="33"/>
      <c r="K24" s="33">
        <v>-7.9777821392552434E-2</v>
      </c>
      <c r="L24" s="33">
        <f>AVERAGE(H24,K24)</f>
        <v>-7.9777821392552434E-2</v>
      </c>
    </row>
    <row r="25" spans="1:15" x14ac:dyDescent="0.2">
      <c r="A25" s="22">
        <v>9</v>
      </c>
      <c r="B25" s="22" t="s">
        <v>30</v>
      </c>
      <c r="C25" s="16" t="s">
        <v>59</v>
      </c>
      <c r="D25" s="323" t="s">
        <v>18</v>
      </c>
      <c r="E25" s="16" t="s">
        <v>37</v>
      </c>
      <c r="F25" s="17"/>
      <c r="G25" s="26"/>
      <c r="H25" s="26"/>
      <c r="I25" s="17">
        <v>1.1222000000000001</v>
      </c>
      <c r="J25" s="26">
        <v>1.1222000000000001</v>
      </c>
      <c r="K25" s="285">
        <v>0</v>
      </c>
      <c r="L25" s="285">
        <v>0</v>
      </c>
    </row>
    <row r="26" spans="1:15" x14ac:dyDescent="0.2">
      <c r="A26" s="22">
        <v>10</v>
      </c>
      <c r="B26" s="22" t="s">
        <v>66</v>
      </c>
      <c r="C26" s="16" t="s">
        <v>59</v>
      </c>
      <c r="D26" s="323" t="s">
        <v>18</v>
      </c>
      <c r="E26" s="16" t="s">
        <v>27</v>
      </c>
      <c r="F26" s="17"/>
      <c r="G26" s="26"/>
      <c r="H26" s="26"/>
      <c r="I26" s="47"/>
      <c r="J26" s="26"/>
      <c r="K26" s="26"/>
      <c r="L26" s="17"/>
    </row>
    <row r="27" spans="1:15" x14ac:dyDescent="0.2">
      <c r="A27" s="22">
        <v>12</v>
      </c>
      <c r="B27" s="22" t="s">
        <v>65</v>
      </c>
      <c r="C27" s="16" t="s">
        <v>59</v>
      </c>
      <c r="D27" s="323" t="s">
        <v>18</v>
      </c>
      <c r="E27" s="16" t="s">
        <v>37</v>
      </c>
      <c r="F27" s="17"/>
      <c r="G27" s="26"/>
      <c r="H27" s="26"/>
      <c r="I27" s="17"/>
      <c r="J27" s="26"/>
      <c r="K27" s="307">
        <v>0.28360657655012184</v>
      </c>
      <c r="L27" s="307">
        <f>AVERAGE(H27,K27)</f>
        <v>0.28360657655012184</v>
      </c>
      <c r="N27" s="309" t="s">
        <v>197</v>
      </c>
    </row>
    <row r="28" spans="1:15" x14ac:dyDescent="0.2">
      <c r="A28" s="22">
        <v>13</v>
      </c>
      <c r="B28" s="22" t="s">
        <v>45</v>
      </c>
      <c r="C28" s="16" t="s">
        <v>59</v>
      </c>
      <c r="D28" s="323" t="s">
        <v>18</v>
      </c>
      <c r="E28" s="16" t="s">
        <v>37</v>
      </c>
      <c r="F28" s="17"/>
      <c r="G28" s="26"/>
      <c r="H28" s="26"/>
      <c r="I28" s="24"/>
      <c r="J28" s="26">
        <v>-2.8760694640552322</v>
      </c>
      <c r="K28" s="307">
        <v>-0.5395042239660921</v>
      </c>
      <c r="L28" s="307">
        <f>AVERAGE(H28,K28)</f>
        <v>-0.5395042239660921</v>
      </c>
      <c r="N28" s="309" t="s">
        <v>194</v>
      </c>
    </row>
    <row r="29" spans="1:15" ht="28.5" x14ac:dyDescent="0.2">
      <c r="A29" s="22">
        <v>14</v>
      </c>
      <c r="B29" s="22" t="s">
        <v>46</v>
      </c>
      <c r="C29" s="16" t="s">
        <v>59</v>
      </c>
      <c r="D29" s="323" t="s">
        <v>18</v>
      </c>
      <c r="E29" s="16" t="s">
        <v>37</v>
      </c>
      <c r="F29" s="17"/>
      <c r="G29" s="26"/>
      <c r="H29" s="26"/>
      <c r="I29" s="24"/>
      <c r="J29" s="26"/>
      <c r="K29" s="26"/>
      <c r="L29" s="26"/>
    </row>
    <row r="30" spans="1:15" ht="15" x14ac:dyDescent="0.25">
      <c r="A30" s="22">
        <v>15</v>
      </c>
      <c r="B30" s="22" t="s">
        <v>47</v>
      </c>
      <c r="C30" s="16" t="s">
        <v>59</v>
      </c>
      <c r="D30" s="323" t="s">
        <v>18</v>
      </c>
      <c r="E30" s="16" t="s">
        <v>13</v>
      </c>
      <c r="F30" s="17"/>
      <c r="G30" s="26"/>
      <c r="H30" s="26"/>
      <c r="I30" s="24"/>
      <c r="J30" s="307">
        <v>1.4200000000000001E-2</v>
      </c>
      <c r="K30" s="307">
        <v>3.8449181889326281E-4</v>
      </c>
      <c r="L30" s="307">
        <f>AVERAGE(H30,K30)</f>
        <v>3.8449181889326281E-4</v>
      </c>
      <c r="N30" s="309" t="s">
        <v>194</v>
      </c>
      <c r="O30" s="461" t="s">
        <v>248</v>
      </c>
    </row>
    <row r="31" spans="1:15" ht="28.5" x14ac:dyDescent="0.25">
      <c r="A31" s="22">
        <v>27</v>
      </c>
      <c r="B31" s="22" t="s">
        <v>260</v>
      </c>
      <c r="C31" s="16" t="s">
        <v>59</v>
      </c>
      <c r="D31" s="323" t="s">
        <v>18</v>
      </c>
      <c r="E31" s="16" t="s">
        <v>37</v>
      </c>
      <c r="F31" s="17"/>
      <c r="G31" s="26"/>
      <c r="H31" s="26">
        <v>1.6035744996387073E-3</v>
      </c>
      <c r="I31" s="24"/>
      <c r="J31" s="24"/>
      <c r="K31" s="26">
        <v>1.6035744996387073E-3</v>
      </c>
      <c r="L31" s="26">
        <v>1.6035744996387073E-3</v>
      </c>
      <c r="O31"/>
    </row>
    <row r="32" spans="1:15" ht="15" x14ac:dyDescent="0.2">
      <c r="A32" s="18">
        <v>16</v>
      </c>
      <c r="B32" s="18" t="s">
        <v>31</v>
      </c>
      <c r="C32" s="14" t="s">
        <v>59</v>
      </c>
      <c r="D32" s="324" t="s">
        <v>16</v>
      </c>
      <c r="E32" s="14" t="s">
        <v>37</v>
      </c>
      <c r="F32" s="15"/>
      <c r="G32" s="34"/>
      <c r="H32" s="34"/>
      <c r="I32" s="15">
        <v>2.3694000000000002</v>
      </c>
      <c r="J32" s="307">
        <v>2.3643999999999998</v>
      </c>
      <c r="K32" s="307">
        <v>2.0494761512864939</v>
      </c>
      <c r="L32" s="307">
        <f>AVERAGE(H32,K32)</f>
        <v>2.0494761512864939</v>
      </c>
      <c r="N32" s="309" t="s">
        <v>194</v>
      </c>
    </row>
    <row r="33" spans="1:14" ht="28.5" x14ac:dyDescent="0.2">
      <c r="A33" s="18">
        <v>17</v>
      </c>
      <c r="B33" s="18" t="s">
        <v>32</v>
      </c>
      <c r="C33" s="14" t="s">
        <v>59</v>
      </c>
      <c r="D33" s="324" t="s">
        <v>16</v>
      </c>
      <c r="E33" s="14" t="s">
        <v>37</v>
      </c>
      <c r="F33" s="15"/>
      <c r="G33" s="34"/>
      <c r="H33" s="34"/>
      <c r="I33" s="15">
        <v>1.2301</v>
      </c>
      <c r="J33" s="307">
        <v>1.2948999999999999</v>
      </c>
      <c r="K33" s="307">
        <v>1.284048697853982</v>
      </c>
      <c r="L33" s="307">
        <f>AVERAGE(H33,K33)</f>
        <v>1.284048697853982</v>
      </c>
      <c r="N33" s="309" t="s">
        <v>194</v>
      </c>
    </row>
    <row r="34" spans="1:14" ht="15" x14ac:dyDescent="0.2">
      <c r="A34" s="27">
        <v>1</v>
      </c>
      <c r="B34" s="27" t="s">
        <v>26</v>
      </c>
      <c r="C34" s="28" t="s">
        <v>180</v>
      </c>
      <c r="D34" s="325" t="s">
        <v>15</v>
      </c>
      <c r="E34" s="28" t="s">
        <v>27</v>
      </c>
      <c r="F34" s="37"/>
      <c r="G34" s="33"/>
      <c r="H34" s="33"/>
      <c r="I34" s="29">
        <v>96.98</v>
      </c>
      <c r="J34" s="314">
        <v>96.98</v>
      </c>
      <c r="K34" s="339">
        <v>59.1</v>
      </c>
      <c r="L34" s="285">
        <v>59.1</v>
      </c>
    </row>
    <row r="35" spans="1:14" ht="15" x14ac:dyDescent="0.2">
      <c r="A35" s="27">
        <v>2</v>
      </c>
      <c r="B35" s="27" t="s">
        <v>49</v>
      </c>
      <c r="C35" s="28" t="s">
        <v>180</v>
      </c>
      <c r="D35" s="325" t="s">
        <v>15</v>
      </c>
      <c r="E35" s="28" t="s">
        <v>27</v>
      </c>
      <c r="F35" s="37"/>
      <c r="G35" s="33"/>
      <c r="H35" s="33"/>
      <c r="I35" s="30"/>
      <c r="J35" s="30"/>
      <c r="K35" s="31"/>
      <c r="L35" s="31"/>
    </row>
    <row r="36" spans="1:14" ht="15" x14ac:dyDescent="0.2">
      <c r="A36" s="27">
        <v>3</v>
      </c>
      <c r="B36" s="27" t="s">
        <v>29</v>
      </c>
      <c r="C36" s="28" t="s">
        <v>180</v>
      </c>
      <c r="D36" s="325" t="s">
        <v>15</v>
      </c>
      <c r="E36" s="28" t="s">
        <v>37</v>
      </c>
      <c r="F36" s="37"/>
      <c r="G36" s="33"/>
      <c r="H36" s="33"/>
      <c r="I36" s="30">
        <v>3.9297</v>
      </c>
      <c r="J36" s="307">
        <v>3.9297</v>
      </c>
      <c r="K36" s="285">
        <v>1.1176999999999999</v>
      </c>
      <c r="L36" s="285">
        <v>1.1176999999999999</v>
      </c>
    </row>
    <row r="37" spans="1:14" ht="15" x14ac:dyDescent="0.2">
      <c r="A37" s="27">
        <v>4</v>
      </c>
      <c r="B37" s="27" t="s">
        <v>49</v>
      </c>
      <c r="C37" s="28" t="s">
        <v>180</v>
      </c>
      <c r="D37" s="325" t="s">
        <v>15</v>
      </c>
      <c r="E37" s="28" t="s">
        <v>37</v>
      </c>
      <c r="F37" s="37"/>
      <c r="G37" s="33"/>
      <c r="H37" s="33"/>
      <c r="I37" s="30"/>
      <c r="J37" s="30"/>
      <c r="K37" s="33"/>
      <c r="L37" s="37"/>
    </row>
    <row r="38" spans="1:14" ht="15" x14ac:dyDescent="0.2">
      <c r="A38" s="27">
        <v>5</v>
      </c>
      <c r="B38" s="27" t="s">
        <v>231</v>
      </c>
      <c r="C38" s="28" t="s">
        <v>180</v>
      </c>
      <c r="D38" s="325" t="s">
        <v>15</v>
      </c>
      <c r="E38" s="28" t="s">
        <v>27</v>
      </c>
      <c r="F38" s="37"/>
      <c r="G38" s="33"/>
      <c r="H38" s="33"/>
      <c r="I38" s="31"/>
      <c r="J38" s="31"/>
      <c r="K38" s="33"/>
      <c r="L38" s="37"/>
    </row>
    <row r="39" spans="1:14" ht="15" x14ac:dyDescent="0.2">
      <c r="A39" s="27"/>
      <c r="B39" s="27" t="s">
        <v>231</v>
      </c>
      <c r="C39" s="28" t="s">
        <v>180</v>
      </c>
      <c r="D39" s="325" t="s">
        <v>15</v>
      </c>
      <c r="E39" s="28" t="s">
        <v>37</v>
      </c>
      <c r="F39" s="37"/>
      <c r="G39" s="33"/>
      <c r="H39" s="33"/>
      <c r="I39" s="31"/>
      <c r="J39" s="31"/>
      <c r="K39" s="307">
        <v>-0.13058427143961215</v>
      </c>
      <c r="L39" s="307">
        <f>AVERAGE(H39,K39)</f>
        <v>-0.13058427143961215</v>
      </c>
      <c r="N39" s="309" t="s">
        <v>195</v>
      </c>
    </row>
    <row r="40" spans="1:14" ht="15" x14ac:dyDescent="0.2">
      <c r="A40" s="27"/>
      <c r="B40" s="27" t="s">
        <v>231</v>
      </c>
      <c r="C40" s="28" t="s">
        <v>180</v>
      </c>
      <c r="D40" s="325" t="s">
        <v>15</v>
      </c>
      <c r="E40" s="28" t="s">
        <v>27</v>
      </c>
      <c r="F40" s="37"/>
      <c r="G40" s="33"/>
      <c r="H40" s="33"/>
      <c r="I40" s="31"/>
      <c r="J40" s="31"/>
      <c r="K40" s="33"/>
      <c r="L40" s="33"/>
    </row>
    <row r="41" spans="1:14" ht="15" x14ac:dyDescent="0.2">
      <c r="A41" s="27">
        <v>6</v>
      </c>
      <c r="B41" s="27" t="s">
        <v>231</v>
      </c>
      <c r="C41" s="28" t="s">
        <v>180</v>
      </c>
      <c r="D41" s="322" t="s">
        <v>15</v>
      </c>
      <c r="E41" s="28" t="s">
        <v>37</v>
      </c>
      <c r="F41" s="37"/>
      <c r="G41" s="33"/>
      <c r="H41" s="33"/>
      <c r="I41" s="31"/>
      <c r="J41" s="31"/>
      <c r="K41" s="33"/>
      <c r="L41" s="37"/>
    </row>
    <row r="42" spans="1:14" ht="15" x14ac:dyDescent="0.2">
      <c r="A42" s="27">
        <v>7</v>
      </c>
      <c r="B42" s="27" t="s">
        <v>48</v>
      </c>
      <c r="C42" s="28" t="s">
        <v>180</v>
      </c>
      <c r="D42" s="322" t="s">
        <v>15</v>
      </c>
      <c r="E42" s="28" t="s">
        <v>37</v>
      </c>
      <c r="F42" s="37"/>
      <c r="G42" s="33"/>
      <c r="H42" s="33"/>
      <c r="I42" s="31"/>
      <c r="J42" s="31"/>
      <c r="K42" s="33"/>
      <c r="L42" s="37"/>
    </row>
    <row r="43" spans="1:14" ht="15" x14ac:dyDescent="0.2">
      <c r="A43" s="27"/>
      <c r="B43" s="27" t="s">
        <v>110</v>
      </c>
      <c r="C43" s="28" t="s">
        <v>180</v>
      </c>
      <c r="D43" s="325" t="s">
        <v>15</v>
      </c>
      <c r="E43" s="28" t="s">
        <v>27</v>
      </c>
      <c r="F43" s="37"/>
      <c r="G43" s="33"/>
      <c r="H43" s="33"/>
      <c r="I43" s="31"/>
      <c r="J43" s="31"/>
      <c r="K43" s="33"/>
      <c r="L43" s="37"/>
    </row>
    <row r="44" spans="1:14" ht="15" x14ac:dyDescent="0.2">
      <c r="A44" s="27">
        <v>8</v>
      </c>
      <c r="B44" s="27" t="s">
        <v>111</v>
      </c>
      <c r="C44" s="28" t="s">
        <v>180</v>
      </c>
      <c r="D44" s="322" t="s">
        <v>15</v>
      </c>
      <c r="E44" s="28" t="s">
        <v>37</v>
      </c>
      <c r="F44" s="37"/>
      <c r="G44" s="33"/>
      <c r="H44" s="33"/>
      <c r="I44" s="33"/>
      <c r="J44" s="33"/>
      <c r="K44" s="33"/>
      <c r="L44" s="37"/>
    </row>
    <row r="45" spans="1:14" ht="15" x14ac:dyDescent="0.2">
      <c r="A45" s="27">
        <v>8.1</v>
      </c>
      <c r="B45" s="27" t="s">
        <v>255</v>
      </c>
      <c r="C45" s="28" t="s">
        <v>180</v>
      </c>
      <c r="D45" s="322" t="s">
        <v>15</v>
      </c>
      <c r="E45" s="28" t="s">
        <v>37</v>
      </c>
      <c r="F45" s="37"/>
      <c r="G45" s="33"/>
      <c r="H45" s="33">
        <v>-0.10023764840531296</v>
      </c>
      <c r="I45" s="33"/>
      <c r="J45" s="33"/>
      <c r="K45" s="33">
        <v>-0.10023764840531296</v>
      </c>
      <c r="L45" s="33">
        <f>AVERAGE(H45,K45)</f>
        <v>-0.10023764840531296</v>
      </c>
    </row>
    <row r="46" spans="1:14" x14ac:dyDescent="0.2">
      <c r="A46" s="22">
        <v>9</v>
      </c>
      <c r="B46" s="22" t="s">
        <v>30</v>
      </c>
      <c r="C46" s="16" t="s">
        <v>180</v>
      </c>
      <c r="D46" s="326" t="s">
        <v>18</v>
      </c>
      <c r="E46" s="16" t="s">
        <v>37</v>
      </c>
      <c r="F46" s="17"/>
      <c r="G46" s="26"/>
      <c r="H46" s="26"/>
      <c r="I46" s="17">
        <v>1.1222000000000001</v>
      </c>
      <c r="J46" s="307">
        <v>1.1222000000000001</v>
      </c>
      <c r="K46" s="26">
        <v>1.1222000000000001</v>
      </c>
      <c r="L46" s="285">
        <v>0</v>
      </c>
    </row>
    <row r="47" spans="1:14" x14ac:dyDescent="0.2">
      <c r="A47" s="22">
        <v>10</v>
      </c>
      <c r="B47" s="22" t="s">
        <v>66</v>
      </c>
      <c r="C47" s="16" t="s">
        <v>180</v>
      </c>
      <c r="D47" s="326" t="s">
        <v>18</v>
      </c>
      <c r="E47" s="16" t="s">
        <v>27</v>
      </c>
      <c r="F47" s="17"/>
      <c r="G47" s="26"/>
      <c r="H47" s="26"/>
      <c r="I47" s="47"/>
      <c r="J47" s="47"/>
      <c r="K47" s="26"/>
      <c r="L47" s="17"/>
    </row>
    <row r="48" spans="1:14" x14ac:dyDescent="0.2">
      <c r="A48" s="22">
        <v>12</v>
      </c>
      <c r="B48" s="22" t="s">
        <v>65</v>
      </c>
      <c r="C48" s="16" t="s">
        <v>180</v>
      </c>
      <c r="D48" s="326" t="s">
        <v>18</v>
      </c>
      <c r="E48" s="16" t="s">
        <v>37</v>
      </c>
      <c r="F48" s="17"/>
      <c r="G48" s="26"/>
      <c r="H48" s="26"/>
      <c r="I48" s="25"/>
      <c r="J48" s="25"/>
      <c r="K48" s="307">
        <v>2.3136336571263801E-2</v>
      </c>
      <c r="L48" s="307">
        <f>AVERAGE(H48,K48)</f>
        <v>2.3136336571263801E-2</v>
      </c>
      <c r="N48" s="309" t="s">
        <v>197</v>
      </c>
    </row>
    <row r="49" spans="1:14" x14ac:dyDescent="0.2">
      <c r="A49" s="22">
        <v>12</v>
      </c>
      <c r="B49" s="22" t="s">
        <v>65</v>
      </c>
      <c r="C49" s="16" t="s">
        <v>180</v>
      </c>
      <c r="D49" s="326" t="s">
        <v>18</v>
      </c>
      <c r="E49" s="16" t="s">
        <v>37</v>
      </c>
      <c r="F49" s="17"/>
      <c r="G49" s="26"/>
      <c r="H49" s="26"/>
      <c r="I49" s="17"/>
      <c r="J49" s="17"/>
      <c r="K49" s="26"/>
      <c r="L49" s="26"/>
    </row>
    <row r="50" spans="1:14" x14ac:dyDescent="0.2">
      <c r="A50" s="22">
        <v>13</v>
      </c>
      <c r="B50" s="22" t="s">
        <v>45</v>
      </c>
      <c r="C50" s="16" t="s">
        <v>180</v>
      </c>
      <c r="D50" s="326" t="s">
        <v>18</v>
      </c>
      <c r="E50" s="16" t="s">
        <v>37</v>
      </c>
      <c r="F50" s="17"/>
      <c r="G50" s="26"/>
      <c r="H50" s="26"/>
      <c r="I50" s="24"/>
      <c r="J50" s="307">
        <v>-2.8760694640552322</v>
      </c>
      <c r="K50" s="307">
        <v>-0.6778500369058692</v>
      </c>
      <c r="L50" s="307">
        <f>AVERAGE(H50,K50)</f>
        <v>-0.6778500369058692</v>
      </c>
      <c r="N50" s="309" t="s">
        <v>194</v>
      </c>
    </row>
    <row r="51" spans="1:14" ht="28.5" x14ac:dyDescent="0.2">
      <c r="A51" s="22">
        <v>14</v>
      </c>
      <c r="B51" s="22" t="s">
        <v>46</v>
      </c>
      <c r="C51" s="16" t="s">
        <v>180</v>
      </c>
      <c r="D51" s="326" t="s">
        <v>18</v>
      </c>
      <c r="E51" s="16" t="s">
        <v>37</v>
      </c>
      <c r="F51" s="17"/>
      <c r="G51" s="26"/>
      <c r="H51" s="26"/>
      <c r="I51" s="24"/>
      <c r="J51" s="24"/>
      <c r="K51" s="26"/>
      <c r="L51" s="26"/>
    </row>
    <row r="52" spans="1:14" x14ac:dyDescent="0.2">
      <c r="A52" s="22">
        <v>15</v>
      </c>
      <c r="B52" s="22" t="s">
        <v>47</v>
      </c>
      <c r="C52" s="16" t="s">
        <v>180</v>
      </c>
      <c r="D52" s="326" t="s">
        <v>18</v>
      </c>
      <c r="E52" s="16" t="s">
        <v>13</v>
      </c>
      <c r="F52" s="17"/>
      <c r="G52" s="26"/>
      <c r="H52" s="26"/>
      <c r="I52" s="24"/>
      <c r="J52" s="307">
        <v>1.4200000000000001E-2</v>
      </c>
      <c r="K52" s="307">
        <v>3.8449181889326281E-4</v>
      </c>
      <c r="L52" s="307">
        <f>AVERAGE(H52,K52)</f>
        <v>3.8449181889326281E-4</v>
      </c>
      <c r="N52" s="309" t="s">
        <v>194</v>
      </c>
    </row>
    <row r="53" spans="1:14" ht="28.5" x14ac:dyDescent="0.2">
      <c r="A53" s="22">
        <v>27</v>
      </c>
      <c r="B53" s="22" t="s">
        <v>260</v>
      </c>
      <c r="C53" s="16" t="s">
        <v>180</v>
      </c>
      <c r="D53" s="323" t="s">
        <v>18</v>
      </c>
      <c r="E53" s="16" t="s">
        <v>37</v>
      </c>
      <c r="F53" s="17"/>
      <c r="G53" s="26"/>
      <c r="H53" s="26">
        <v>2.0147813223232993E-3</v>
      </c>
      <c r="I53" s="24"/>
      <c r="J53" s="24"/>
      <c r="K53" s="26">
        <v>2.0147813223232993E-3</v>
      </c>
      <c r="L53" s="26">
        <v>2.0147813223232993E-3</v>
      </c>
    </row>
    <row r="54" spans="1:14" ht="15" x14ac:dyDescent="0.2">
      <c r="A54" s="18">
        <v>16</v>
      </c>
      <c r="B54" s="18" t="s">
        <v>31</v>
      </c>
      <c r="C54" s="14" t="s">
        <v>180</v>
      </c>
      <c r="D54" s="327" t="s">
        <v>16</v>
      </c>
      <c r="E54" s="14" t="s">
        <v>37</v>
      </c>
      <c r="F54" s="15"/>
      <c r="G54" s="34"/>
      <c r="H54" s="34"/>
      <c r="I54" s="15">
        <v>2.3694000000000002</v>
      </c>
      <c r="J54" s="307">
        <v>2.3643999999999998</v>
      </c>
      <c r="K54" s="307">
        <v>2.049472157469471</v>
      </c>
      <c r="L54" s="307">
        <f>AVERAGE(H54,K54)</f>
        <v>2.049472157469471</v>
      </c>
      <c r="N54" s="309" t="s">
        <v>194</v>
      </c>
    </row>
    <row r="55" spans="1:14" ht="28.5" x14ac:dyDescent="0.2">
      <c r="A55" s="18">
        <v>17</v>
      </c>
      <c r="B55" s="18" t="s">
        <v>32</v>
      </c>
      <c r="C55" s="14" t="s">
        <v>180</v>
      </c>
      <c r="D55" s="327" t="s">
        <v>16</v>
      </c>
      <c r="E55" s="14" t="s">
        <v>37</v>
      </c>
      <c r="F55" s="15"/>
      <c r="G55" s="34"/>
      <c r="H55" s="34"/>
      <c r="I55" s="15">
        <v>1.2301</v>
      </c>
      <c r="J55" s="307">
        <v>1.2948999999999999</v>
      </c>
      <c r="K55" s="307">
        <v>1.284043782729644</v>
      </c>
      <c r="L55" s="307">
        <f>AVERAGE(H55,K55)</f>
        <v>1.284043782729644</v>
      </c>
      <c r="N55" s="309" t="s">
        <v>194</v>
      </c>
    </row>
    <row r="56" spans="1:14" ht="15" x14ac:dyDescent="0.2">
      <c r="A56" s="27">
        <v>1</v>
      </c>
      <c r="B56" s="27" t="s">
        <v>26</v>
      </c>
      <c r="C56" s="28" t="s">
        <v>181</v>
      </c>
      <c r="D56" s="322" t="s">
        <v>15</v>
      </c>
      <c r="E56" s="28" t="s">
        <v>27</v>
      </c>
      <c r="F56" s="37"/>
      <c r="G56" s="33"/>
      <c r="H56" s="33"/>
      <c r="I56" s="29">
        <v>96.98</v>
      </c>
      <c r="J56" s="314">
        <v>96.98</v>
      </c>
      <c r="K56" s="339">
        <v>59.1</v>
      </c>
      <c r="L56" s="339">
        <v>59.1</v>
      </c>
    </row>
    <row r="57" spans="1:14" ht="15" x14ac:dyDescent="0.2">
      <c r="A57" s="27">
        <v>2</v>
      </c>
      <c r="B57" s="27" t="s">
        <v>49</v>
      </c>
      <c r="C57" s="28" t="s">
        <v>181</v>
      </c>
      <c r="D57" s="322" t="s">
        <v>15</v>
      </c>
      <c r="E57" s="28" t="s">
        <v>27</v>
      </c>
      <c r="F57" s="37"/>
      <c r="G57" s="33"/>
      <c r="H57" s="33"/>
      <c r="I57" s="30"/>
      <c r="J57" s="30"/>
      <c r="K57" s="31"/>
      <c r="L57" s="31"/>
    </row>
    <row r="58" spans="1:14" ht="15" x14ac:dyDescent="0.2">
      <c r="A58" s="27">
        <v>3</v>
      </c>
      <c r="B58" s="27" t="s">
        <v>29</v>
      </c>
      <c r="C58" s="28" t="s">
        <v>181</v>
      </c>
      <c r="D58" s="322" t="s">
        <v>15</v>
      </c>
      <c r="E58" s="28" t="s">
        <v>37</v>
      </c>
      <c r="F58" s="37"/>
      <c r="G58" s="33"/>
      <c r="H58" s="33"/>
      <c r="I58" s="30"/>
      <c r="J58" s="30"/>
      <c r="K58" s="339">
        <v>0</v>
      </c>
      <c r="L58" s="339">
        <v>0</v>
      </c>
    </row>
    <row r="59" spans="1:14" ht="15" x14ac:dyDescent="0.2">
      <c r="A59" s="27">
        <v>4</v>
      </c>
      <c r="B59" s="27" t="s">
        <v>49</v>
      </c>
      <c r="C59" s="28" t="s">
        <v>181</v>
      </c>
      <c r="D59" s="322" t="s">
        <v>15</v>
      </c>
      <c r="E59" s="28" t="s">
        <v>37</v>
      </c>
      <c r="F59" s="37"/>
      <c r="G59" s="33"/>
      <c r="H59" s="33"/>
      <c r="I59" s="30"/>
      <c r="J59" s="30"/>
      <c r="K59" s="33"/>
      <c r="L59" s="37"/>
    </row>
    <row r="60" spans="1:14" ht="15" x14ac:dyDescent="0.2">
      <c r="A60" s="27"/>
      <c r="B60" s="27" t="s">
        <v>231</v>
      </c>
      <c r="C60" s="28" t="s">
        <v>181</v>
      </c>
      <c r="D60" s="322" t="s">
        <v>15</v>
      </c>
      <c r="E60" s="28" t="s">
        <v>27</v>
      </c>
      <c r="F60" s="37"/>
      <c r="G60" s="33"/>
      <c r="H60" s="33"/>
      <c r="I60" s="30"/>
      <c r="J60" s="30"/>
      <c r="K60" s="33"/>
      <c r="L60" s="37"/>
    </row>
    <row r="61" spans="1:14" ht="15" x14ac:dyDescent="0.2">
      <c r="A61" s="27"/>
      <c r="B61" s="27" t="s">
        <v>231</v>
      </c>
      <c r="C61" s="28" t="s">
        <v>181</v>
      </c>
      <c r="D61" s="322" t="s">
        <v>15</v>
      </c>
      <c r="E61" s="28" t="s">
        <v>37</v>
      </c>
      <c r="F61" s="37"/>
      <c r="G61" s="33"/>
      <c r="H61" s="33"/>
      <c r="I61" s="30"/>
      <c r="J61" s="30"/>
      <c r="K61" s="307">
        <v>-0.13501260473657092</v>
      </c>
      <c r="L61" s="307">
        <f>AVERAGE(H61,K61)</f>
        <v>-0.13501260473657092</v>
      </c>
      <c r="N61" s="309" t="s">
        <v>195</v>
      </c>
    </row>
    <row r="62" spans="1:14" ht="15" x14ac:dyDescent="0.2">
      <c r="A62" s="27"/>
      <c r="B62" s="27" t="s">
        <v>231</v>
      </c>
      <c r="C62" s="28" t="s">
        <v>181</v>
      </c>
      <c r="D62" s="322" t="s">
        <v>15</v>
      </c>
      <c r="E62" s="28" t="s">
        <v>27</v>
      </c>
      <c r="F62" s="37"/>
      <c r="G62" s="33"/>
      <c r="H62" s="33"/>
      <c r="I62" s="30"/>
      <c r="J62" s="30"/>
      <c r="K62" s="33"/>
      <c r="L62" s="33"/>
    </row>
    <row r="63" spans="1:14" ht="15" x14ac:dyDescent="0.2">
      <c r="A63" s="27">
        <v>5</v>
      </c>
      <c r="B63" s="27" t="s">
        <v>231</v>
      </c>
      <c r="C63" s="28" t="s">
        <v>181</v>
      </c>
      <c r="D63" s="322" t="s">
        <v>15</v>
      </c>
      <c r="E63" s="28" t="s">
        <v>37</v>
      </c>
      <c r="F63" s="37"/>
      <c r="G63" s="33"/>
      <c r="H63" s="33"/>
      <c r="I63" s="31"/>
      <c r="J63" s="31"/>
      <c r="K63" s="33"/>
      <c r="L63" s="37"/>
    </row>
    <row r="64" spans="1:14" ht="15" x14ac:dyDescent="0.2">
      <c r="A64" s="27">
        <v>6</v>
      </c>
      <c r="B64" s="27" t="s">
        <v>48</v>
      </c>
      <c r="C64" s="28" t="s">
        <v>181</v>
      </c>
      <c r="D64" s="322" t="s">
        <v>15</v>
      </c>
      <c r="E64" s="28" t="s">
        <v>37</v>
      </c>
      <c r="F64" s="37"/>
      <c r="G64" s="33"/>
      <c r="H64" s="33"/>
      <c r="I64" s="31"/>
      <c r="J64" s="31"/>
      <c r="K64" s="33"/>
      <c r="L64" s="37"/>
    </row>
    <row r="65" spans="1:14" ht="15" x14ac:dyDescent="0.2">
      <c r="A65" s="27">
        <v>7</v>
      </c>
      <c r="B65" s="27" t="s">
        <v>110</v>
      </c>
      <c r="C65" s="28" t="s">
        <v>181</v>
      </c>
      <c r="D65" s="322" t="s">
        <v>15</v>
      </c>
      <c r="E65" s="28" t="s">
        <v>27</v>
      </c>
      <c r="F65" s="37"/>
      <c r="G65" s="33"/>
      <c r="H65" s="33"/>
      <c r="I65" s="33"/>
      <c r="J65" s="33"/>
      <c r="K65" s="33"/>
      <c r="L65" s="37"/>
    </row>
    <row r="66" spans="1:14" ht="15" x14ac:dyDescent="0.2">
      <c r="A66" s="27">
        <v>8</v>
      </c>
      <c r="B66" s="27" t="s">
        <v>111</v>
      </c>
      <c r="C66" s="28" t="s">
        <v>181</v>
      </c>
      <c r="D66" s="322" t="s">
        <v>15</v>
      </c>
      <c r="E66" s="28" t="s">
        <v>37</v>
      </c>
      <c r="F66" s="37"/>
      <c r="G66" s="33"/>
      <c r="H66" s="33"/>
      <c r="I66" s="33"/>
      <c r="J66" s="33"/>
      <c r="K66" s="33"/>
      <c r="L66" s="37"/>
    </row>
    <row r="67" spans="1:14" ht="15" x14ac:dyDescent="0.2">
      <c r="A67" s="27">
        <v>8.1</v>
      </c>
      <c r="B67" s="27" t="s">
        <v>255</v>
      </c>
      <c r="C67" s="28" t="s">
        <v>181</v>
      </c>
      <c r="D67" s="322" t="s">
        <v>15</v>
      </c>
      <c r="E67" s="28" t="s">
        <v>37</v>
      </c>
      <c r="F67" s="37"/>
      <c r="G67" s="33"/>
      <c r="H67" s="33">
        <v>-0.10363815080333348</v>
      </c>
      <c r="I67" s="33"/>
      <c r="J67" s="33"/>
      <c r="K67" s="33">
        <v>-0.10363815080333348</v>
      </c>
      <c r="L67" s="33">
        <f>AVERAGE(H67,K67)</f>
        <v>-0.10363815080333348</v>
      </c>
    </row>
    <row r="68" spans="1:14" x14ac:dyDescent="0.2">
      <c r="A68" s="22">
        <v>9</v>
      </c>
      <c r="B68" s="22" t="s">
        <v>30</v>
      </c>
      <c r="C68" s="16" t="s">
        <v>181</v>
      </c>
      <c r="D68" s="326" t="s">
        <v>18</v>
      </c>
      <c r="E68" s="16" t="s">
        <v>37</v>
      </c>
      <c r="F68" s="17"/>
      <c r="G68" s="26"/>
      <c r="H68" s="26"/>
      <c r="I68" s="17"/>
      <c r="J68" s="17"/>
      <c r="K68" s="285">
        <v>0</v>
      </c>
      <c r="L68" s="285">
        <v>0</v>
      </c>
    </row>
    <row r="69" spans="1:14" x14ac:dyDescent="0.2">
      <c r="A69" s="22">
        <v>10</v>
      </c>
      <c r="B69" s="22" t="s">
        <v>66</v>
      </c>
      <c r="C69" s="16" t="s">
        <v>181</v>
      </c>
      <c r="D69" s="326" t="s">
        <v>18</v>
      </c>
      <c r="E69" s="16" t="s">
        <v>27</v>
      </c>
      <c r="F69" s="17"/>
      <c r="G69" s="26"/>
      <c r="H69" s="26"/>
      <c r="I69" s="47"/>
      <c r="J69" s="47"/>
      <c r="K69" s="26"/>
      <c r="L69" s="17"/>
    </row>
    <row r="70" spans="1:14" x14ac:dyDescent="0.2">
      <c r="A70" s="22">
        <v>12</v>
      </c>
      <c r="B70" s="22" t="s">
        <v>65</v>
      </c>
      <c r="C70" s="16" t="s">
        <v>181</v>
      </c>
      <c r="D70" s="326" t="s">
        <v>18</v>
      </c>
      <c r="E70" s="16" t="s">
        <v>37</v>
      </c>
      <c r="F70" s="17"/>
      <c r="G70" s="26"/>
      <c r="H70" s="26"/>
      <c r="I70" s="25"/>
      <c r="J70" s="25"/>
      <c r="K70" s="307">
        <v>6.2493208204681002E-4</v>
      </c>
      <c r="L70" s="307">
        <f>AVERAGE(H70,K70)</f>
        <v>6.2493208204681002E-4</v>
      </c>
      <c r="N70" s="309" t="s">
        <v>197</v>
      </c>
    </row>
    <row r="71" spans="1:14" x14ac:dyDescent="0.2">
      <c r="A71" s="22">
        <v>12</v>
      </c>
      <c r="B71" s="22" t="s">
        <v>65</v>
      </c>
      <c r="C71" s="16" t="s">
        <v>181</v>
      </c>
      <c r="D71" s="326" t="s">
        <v>18</v>
      </c>
      <c r="E71" s="16" t="s">
        <v>37</v>
      </c>
      <c r="F71" s="17"/>
      <c r="G71" s="26"/>
      <c r="H71" s="26"/>
      <c r="I71" s="17"/>
      <c r="J71" s="17"/>
      <c r="K71" s="26"/>
      <c r="L71" s="26"/>
    </row>
    <row r="72" spans="1:14" x14ac:dyDescent="0.2">
      <c r="A72" s="22">
        <v>13</v>
      </c>
      <c r="B72" s="22" t="s">
        <v>45</v>
      </c>
      <c r="C72" s="16" t="s">
        <v>181</v>
      </c>
      <c r="D72" s="326" t="s">
        <v>18</v>
      </c>
      <c r="E72" s="16" t="s">
        <v>37</v>
      </c>
      <c r="F72" s="17"/>
      <c r="G72" s="26"/>
      <c r="H72" s="26"/>
      <c r="I72" s="24"/>
      <c r="J72" s="24"/>
      <c r="K72" s="307">
        <v>-0.70083707704234655</v>
      </c>
      <c r="L72" s="307">
        <f>AVERAGE(H72,K72)</f>
        <v>-0.70083707704234655</v>
      </c>
      <c r="N72" s="309" t="s">
        <v>194</v>
      </c>
    </row>
    <row r="73" spans="1:14" ht="28.5" x14ac:dyDescent="0.2">
      <c r="A73" s="22">
        <v>14</v>
      </c>
      <c r="B73" s="22" t="s">
        <v>46</v>
      </c>
      <c r="C73" s="16" t="s">
        <v>181</v>
      </c>
      <c r="D73" s="326" t="s">
        <v>18</v>
      </c>
      <c r="E73" s="16" t="s">
        <v>37</v>
      </c>
      <c r="F73" s="17"/>
      <c r="G73" s="26"/>
      <c r="H73" s="26"/>
      <c r="I73" s="24"/>
      <c r="J73" s="24"/>
      <c r="K73" s="26"/>
      <c r="L73" s="26"/>
    </row>
    <row r="74" spans="1:14" x14ac:dyDescent="0.2">
      <c r="A74" s="22">
        <v>15</v>
      </c>
      <c r="B74" s="22" t="s">
        <v>47</v>
      </c>
      <c r="C74" s="16" t="s">
        <v>181</v>
      </c>
      <c r="D74" s="326" t="s">
        <v>18</v>
      </c>
      <c r="E74" s="16" t="s">
        <v>13</v>
      </c>
      <c r="F74" s="17"/>
      <c r="G74" s="26"/>
      <c r="H74" s="26"/>
      <c r="I74" s="24"/>
      <c r="J74" s="24"/>
      <c r="K74" s="307">
        <v>3.8449181889326287E-4</v>
      </c>
      <c r="L74" s="307">
        <f>AVERAGE(H74,K74)</f>
        <v>3.8449181889326287E-4</v>
      </c>
      <c r="N74" s="309" t="s">
        <v>191</v>
      </c>
    </row>
    <row r="75" spans="1:14" ht="28.5" x14ac:dyDescent="0.2">
      <c r="A75" s="22">
        <v>27</v>
      </c>
      <c r="B75" s="22" t="s">
        <v>260</v>
      </c>
      <c r="C75" s="16" t="s">
        <v>181</v>
      </c>
      <c r="D75" s="323" t="s">
        <v>18</v>
      </c>
      <c r="E75" s="16" t="s">
        <v>37</v>
      </c>
      <c r="F75" s="17"/>
      <c r="G75" s="26"/>
      <c r="H75" s="26">
        <v>2.0831059614040558E-3</v>
      </c>
      <c r="I75" s="24"/>
      <c r="J75" s="24"/>
      <c r="K75" s="26">
        <v>2.0831059614040558E-3</v>
      </c>
      <c r="L75" s="26">
        <v>2.0831059614040558E-3</v>
      </c>
    </row>
    <row r="76" spans="1:14" ht="15" x14ac:dyDescent="0.2">
      <c r="A76" s="18">
        <v>16</v>
      </c>
      <c r="B76" s="18" t="s">
        <v>31</v>
      </c>
      <c r="C76" s="14" t="s">
        <v>181</v>
      </c>
      <c r="D76" s="327" t="s">
        <v>16</v>
      </c>
      <c r="E76" s="14" t="s">
        <v>37</v>
      </c>
      <c r="F76" s="15"/>
      <c r="G76" s="34"/>
      <c r="H76" s="34"/>
      <c r="I76" s="15"/>
      <c r="J76" s="15"/>
      <c r="K76" s="307">
        <v>2.0494723530429031</v>
      </c>
      <c r="L76" s="307">
        <f>AVERAGE(H76,K76)</f>
        <v>2.0494723530429031</v>
      </c>
      <c r="N76" s="309" t="s">
        <v>191</v>
      </c>
    </row>
    <row r="77" spans="1:14" ht="28.5" x14ac:dyDescent="0.2">
      <c r="A77" s="18">
        <v>17</v>
      </c>
      <c r="B77" s="18" t="s">
        <v>32</v>
      </c>
      <c r="C77" s="14" t="s">
        <v>181</v>
      </c>
      <c r="D77" s="327" t="s">
        <v>16</v>
      </c>
      <c r="E77" s="14" t="s">
        <v>37</v>
      </c>
      <c r="F77" s="15"/>
      <c r="G77" s="34"/>
      <c r="H77" s="34"/>
      <c r="I77" s="15"/>
      <c r="J77" s="15"/>
      <c r="K77" s="307">
        <v>1.2840440031843527</v>
      </c>
      <c r="L77" s="307">
        <f>AVERAGE(H77,K77)</f>
        <v>1.2840440031843527</v>
      </c>
      <c r="N77" s="309" t="s">
        <v>191</v>
      </c>
    </row>
    <row r="78" spans="1:14" ht="15" x14ac:dyDescent="0.2">
      <c r="A78" s="27">
        <v>1</v>
      </c>
      <c r="B78" s="27" t="s">
        <v>26</v>
      </c>
      <c r="C78" s="28" t="s">
        <v>57</v>
      </c>
      <c r="D78" s="322" t="s">
        <v>15</v>
      </c>
      <c r="E78" s="28" t="s">
        <v>27</v>
      </c>
      <c r="F78" s="37">
        <v>0</v>
      </c>
      <c r="G78" s="33">
        <v>0</v>
      </c>
      <c r="H78" s="339">
        <v>0</v>
      </c>
      <c r="I78" s="37"/>
      <c r="J78" s="33"/>
      <c r="K78" s="33"/>
      <c r="L78" s="285">
        <v>0</v>
      </c>
    </row>
    <row r="79" spans="1:14" ht="15" x14ac:dyDescent="0.2">
      <c r="A79" s="27">
        <v>2</v>
      </c>
      <c r="B79" s="27" t="s">
        <v>49</v>
      </c>
      <c r="C79" s="28" t="s">
        <v>57</v>
      </c>
      <c r="D79" s="322" t="s">
        <v>15</v>
      </c>
      <c r="E79" s="28" t="s">
        <v>27</v>
      </c>
      <c r="F79" s="37"/>
      <c r="G79" s="33"/>
      <c r="H79" s="33">
        <v>0</v>
      </c>
      <c r="I79" s="37"/>
      <c r="J79" s="33"/>
      <c r="K79" s="33"/>
      <c r="L79" s="31"/>
    </row>
    <row r="80" spans="1:14" ht="15" x14ac:dyDescent="0.2">
      <c r="A80" s="27">
        <v>3</v>
      </c>
      <c r="B80" s="27" t="s">
        <v>29</v>
      </c>
      <c r="C80" s="28" t="s">
        <v>57</v>
      </c>
      <c r="D80" s="322" t="s">
        <v>15</v>
      </c>
      <c r="E80" s="28" t="s">
        <v>37</v>
      </c>
      <c r="F80" s="37">
        <v>2.0392000000000001</v>
      </c>
      <c r="G80" s="307">
        <v>2.0575527999999998</v>
      </c>
      <c r="H80" s="285">
        <v>1.9142999999999999</v>
      </c>
      <c r="I80" s="37"/>
      <c r="J80" s="33"/>
      <c r="K80" s="33"/>
      <c r="L80" s="285">
        <v>1.9142999999999999</v>
      </c>
    </row>
    <row r="81" spans="1:14" ht="15" x14ac:dyDescent="0.2">
      <c r="A81" s="27"/>
      <c r="B81" s="27" t="s">
        <v>49</v>
      </c>
      <c r="C81" s="28" t="s">
        <v>57</v>
      </c>
      <c r="D81" s="322" t="s">
        <v>15</v>
      </c>
      <c r="E81" s="28" t="s">
        <v>37</v>
      </c>
      <c r="F81" s="37"/>
      <c r="G81" s="37"/>
      <c r="H81" s="33">
        <v>0</v>
      </c>
      <c r="I81" s="37"/>
      <c r="J81" s="33"/>
      <c r="K81" s="33"/>
      <c r="L81" s="37"/>
    </row>
    <row r="82" spans="1:14" ht="15" x14ac:dyDescent="0.2">
      <c r="A82" s="27"/>
      <c r="B82" s="27" t="s">
        <v>231</v>
      </c>
      <c r="C82" s="28" t="s">
        <v>57</v>
      </c>
      <c r="D82" s="322" t="s">
        <v>15</v>
      </c>
      <c r="E82" s="28" t="s">
        <v>27</v>
      </c>
      <c r="F82" s="37"/>
      <c r="G82" s="37"/>
      <c r="H82" s="33"/>
      <c r="I82" s="37"/>
      <c r="J82" s="33"/>
      <c r="K82" s="33"/>
      <c r="L82" s="37"/>
    </row>
    <row r="83" spans="1:14" ht="15" x14ac:dyDescent="0.2">
      <c r="A83" s="27"/>
      <c r="B83" s="27" t="s">
        <v>231</v>
      </c>
      <c r="C83" s="28" t="s">
        <v>57</v>
      </c>
      <c r="D83" s="322" t="s">
        <v>15</v>
      </c>
      <c r="E83" s="28" t="s">
        <v>37</v>
      </c>
      <c r="F83" s="37"/>
      <c r="G83" s="37"/>
      <c r="H83" s="307">
        <v>-0.16605476043910622</v>
      </c>
      <c r="I83" s="37"/>
      <c r="J83" s="33"/>
      <c r="K83" s="33"/>
      <c r="L83" s="307">
        <f>AVERAGE(H83,K83)</f>
        <v>-0.16605476043910622</v>
      </c>
      <c r="N83" s="309" t="s">
        <v>193</v>
      </c>
    </row>
    <row r="84" spans="1:14" ht="15" x14ac:dyDescent="0.2">
      <c r="A84" s="27"/>
      <c r="B84" s="27" t="s">
        <v>231</v>
      </c>
      <c r="C84" s="28" t="s">
        <v>57</v>
      </c>
      <c r="D84" s="322" t="s">
        <v>15</v>
      </c>
      <c r="E84" s="28" t="s">
        <v>27</v>
      </c>
      <c r="F84" s="37"/>
      <c r="G84" s="37"/>
      <c r="H84" s="33"/>
      <c r="I84" s="37"/>
      <c r="J84" s="33"/>
      <c r="K84" s="33"/>
      <c r="L84" s="37"/>
    </row>
    <row r="85" spans="1:14" ht="15" x14ac:dyDescent="0.2">
      <c r="A85" s="27">
        <v>4</v>
      </c>
      <c r="B85" s="27" t="s">
        <v>231</v>
      </c>
      <c r="C85" s="28" t="s">
        <v>57</v>
      </c>
      <c r="D85" s="322" t="s">
        <v>15</v>
      </c>
      <c r="E85" s="28" t="s">
        <v>37</v>
      </c>
      <c r="F85" s="37"/>
      <c r="G85" s="37"/>
      <c r="H85" s="33"/>
      <c r="I85" s="37"/>
      <c r="J85" s="33"/>
      <c r="K85" s="33"/>
      <c r="L85" s="37"/>
    </row>
    <row r="86" spans="1:14" ht="15" x14ac:dyDescent="0.2">
      <c r="A86" s="27">
        <v>5</v>
      </c>
      <c r="B86" s="27" t="s">
        <v>48</v>
      </c>
      <c r="C86" s="28" t="s">
        <v>57</v>
      </c>
      <c r="D86" s="322" t="s">
        <v>15</v>
      </c>
      <c r="E86" s="28" t="s">
        <v>37</v>
      </c>
      <c r="F86" s="37"/>
      <c r="G86" s="37"/>
      <c r="H86" s="33"/>
      <c r="I86" s="37"/>
      <c r="J86" s="33"/>
      <c r="K86" s="33"/>
      <c r="L86" s="37"/>
    </row>
    <row r="87" spans="1:14" ht="15" x14ac:dyDescent="0.2">
      <c r="A87" s="27">
        <v>6</v>
      </c>
      <c r="B87" s="27" t="s">
        <v>110</v>
      </c>
      <c r="C87" s="28" t="s">
        <v>57</v>
      </c>
      <c r="D87" s="322" t="s">
        <v>15</v>
      </c>
      <c r="E87" s="28" t="s">
        <v>27</v>
      </c>
      <c r="F87" s="37"/>
      <c r="G87" s="37"/>
      <c r="H87" s="33"/>
      <c r="I87" s="37"/>
      <c r="J87" s="33"/>
      <c r="K87" s="33"/>
      <c r="L87" s="37"/>
    </row>
    <row r="88" spans="1:14" ht="15" x14ac:dyDescent="0.2">
      <c r="A88" s="27">
        <v>7</v>
      </c>
      <c r="B88" s="27" t="s">
        <v>111</v>
      </c>
      <c r="C88" s="28" t="s">
        <v>57</v>
      </c>
      <c r="D88" s="322" t="s">
        <v>15</v>
      </c>
      <c r="E88" s="28" t="s">
        <v>37</v>
      </c>
      <c r="F88" s="37"/>
      <c r="G88" s="37"/>
      <c r="H88" s="33"/>
      <c r="I88" s="37"/>
      <c r="J88" s="33"/>
      <c r="K88" s="33"/>
      <c r="L88" s="37"/>
    </row>
    <row r="89" spans="1:14" ht="15" x14ac:dyDescent="0.2">
      <c r="A89" s="27">
        <v>8.1</v>
      </c>
      <c r="B89" s="27" t="s">
        <v>255</v>
      </c>
      <c r="C89" s="28" t="s">
        <v>57</v>
      </c>
      <c r="D89" s="322" t="s">
        <v>15</v>
      </c>
      <c r="E89" s="28" t="s">
        <v>37</v>
      </c>
      <c r="F89" s="37"/>
      <c r="G89" s="37"/>
      <c r="H89" s="33">
        <v>-0.12746906760439053</v>
      </c>
      <c r="I89" s="37"/>
      <c r="J89" s="33"/>
      <c r="K89" s="33">
        <v>-0.12746906760439053</v>
      </c>
      <c r="L89" s="33">
        <f>AVERAGE(H89,K89)</f>
        <v>-0.12746906760439053</v>
      </c>
    </row>
    <row r="90" spans="1:14" x14ac:dyDescent="0.2">
      <c r="A90" s="22">
        <v>9</v>
      </c>
      <c r="B90" s="22" t="s">
        <v>30</v>
      </c>
      <c r="C90" s="16" t="s">
        <v>57</v>
      </c>
      <c r="D90" s="326" t="s">
        <v>18</v>
      </c>
      <c r="E90" s="16" t="s">
        <v>37</v>
      </c>
      <c r="F90" s="17"/>
      <c r="G90" s="17"/>
      <c r="H90" s="285">
        <v>0</v>
      </c>
      <c r="I90" s="17"/>
      <c r="J90" s="26"/>
      <c r="K90" s="26"/>
      <c r="L90" s="285">
        <v>0</v>
      </c>
    </row>
    <row r="91" spans="1:14" x14ac:dyDescent="0.2">
      <c r="A91" s="22">
        <v>10</v>
      </c>
      <c r="B91" s="22" t="s">
        <v>66</v>
      </c>
      <c r="C91" s="16" t="s">
        <v>57</v>
      </c>
      <c r="D91" s="326" t="s">
        <v>18</v>
      </c>
      <c r="E91" s="16" t="s">
        <v>27</v>
      </c>
      <c r="F91" s="17"/>
      <c r="G91" s="17"/>
      <c r="H91" s="26"/>
      <c r="I91" s="17"/>
      <c r="J91" s="26"/>
      <c r="K91" s="26"/>
      <c r="L91" s="17"/>
    </row>
    <row r="92" spans="1:14" x14ac:dyDescent="0.2">
      <c r="A92" s="22">
        <v>12</v>
      </c>
      <c r="B92" s="22" t="s">
        <v>65</v>
      </c>
      <c r="C92" s="16" t="s">
        <v>57</v>
      </c>
      <c r="D92" s="326" t="s">
        <v>18</v>
      </c>
      <c r="E92" s="16" t="s">
        <v>37</v>
      </c>
      <c r="F92" s="17"/>
      <c r="G92" s="17"/>
      <c r="H92" s="307">
        <v>3.885037113475287E-2</v>
      </c>
      <c r="I92" s="17"/>
      <c r="J92" s="26"/>
      <c r="K92" s="26"/>
      <c r="L92" s="307">
        <f>AVERAGE(H92,K92)</f>
        <v>3.885037113475287E-2</v>
      </c>
      <c r="N92" s="309" t="s">
        <v>198</v>
      </c>
    </row>
    <row r="93" spans="1:14" x14ac:dyDescent="0.2">
      <c r="A93" s="22">
        <v>12</v>
      </c>
      <c r="B93" s="22" t="s">
        <v>65</v>
      </c>
      <c r="C93" s="16" t="s">
        <v>57</v>
      </c>
      <c r="D93" s="326" t="s">
        <v>18</v>
      </c>
      <c r="E93" s="16" t="s">
        <v>37</v>
      </c>
      <c r="F93" s="17"/>
      <c r="G93" s="17"/>
      <c r="H93" s="26"/>
      <c r="I93" s="17"/>
      <c r="J93" s="26"/>
      <c r="K93" s="26"/>
      <c r="L93" s="26"/>
    </row>
    <row r="94" spans="1:14" x14ac:dyDescent="0.2">
      <c r="A94" s="22">
        <v>13</v>
      </c>
      <c r="B94" s="22" t="s">
        <v>45</v>
      </c>
      <c r="C94" s="16" t="s">
        <v>57</v>
      </c>
      <c r="D94" s="326" t="s">
        <v>18</v>
      </c>
      <c r="E94" s="16" t="s">
        <v>37</v>
      </c>
      <c r="F94" s="17"/>
      <c r="G94" s="307">
        <v>-0.53879655044503272</v>
      </c>
      <c r="H94" s="307">
        <v>-0.86197383690344542</v>
      </c>
      <c r="I94" s="17"/>
      <c r="J94" s="26"/>
      <c r="K94" s="26"/>
      <c r="L94" s="307">
        <f>AVERAGE(H94,K94)</f>
        <v>-0.86197383690344542</v>
      </c>
      <c r="N94" s="309" t="s">
        <v>192</v>
      </c>
    </row>
    <row r="95" spans="1:14" ht="28.5" x14ac:dyDescent="0.2">
      <c r="A95" s="22">
        <v>14</v>
      </c>
      <c r="B95" s="22" t="s">
        <v>46</v>
      </c>
      <c r="C95" s="16" t="s">
        <v>57</v>
      </c>
      <c r="D95" s="326" t="s">
        <v>18</v>
      </c>
      <c r="E95" s="16" t="s">
        <v>37</v>
      </c>
      <c r="F95" s="17"/>
      <c r="G95" s="17"/>
      <c r="H95" s="26"/>
      <c r="I95" s="26"/>
      <c r="J95" s="26"/>
      <c r="K95" s="26"/>
      <c r="L95" s="26"/>
    </row>
    <row r="96" spans="1:14" x14ac:dyDescent="0.2">
      <c r="A96" s="22">
        <v>15</v>
      </c>
      <c r="B96" s="22" t="s">
        <v>47</v>
      </c>
      <c r="C96" s="16" t="s">
        <v>57</v>
      </c>
      <c r="D96" s="326" t="s">
        <v>18</v>
      </c>
      <c r="E96" s="16" t="s">
        <v>13</v>
      </c>
      <c r="F96" s="17"/>
      <c r="G96" s="315">
        <v>3.3E-3</v>
      </c>
      <c r="H96" s="307">
        <v>3.8449181889326276E-4</v>
      </c>
      <c r="I96" s="17"/>
      <c r="J96" s="26"/>
      <c r="K96" s="26"/>
      <c r="L96" s="307">
        <f>AVERAGE(H96,K96)</f>
        <v>3.8449181889326276E-4</v>
      </c>
      <c r="N96" s="309" t="s">
        <v>192</v>
      </c>
    </row>
    <row r="97" spans="1:14" ht="28.5" x14ac:dyDescent="0.2">
      <c r="A97" s="22">
        <v>27</v>
      </c>
      <c r="B97" s="22" t="s">
        <v>260</v>
      </c>
      <c r="C97" s="16" t="s">
        <v>57</v>
      </c>
      <c r="D97" s="323" t="s">
        <v>18</v>
      </c>
      <c r="E97" s="16" t="s">
        <v>37</v>
      </c>
      <c r="F97" s="17"/>
      <c r="G97" s="315">
        <v>3.6799999999999999E-2</v>
      </c>
      <c r="H97" s="26">
        <v>2.5620545730907448E-3</v>
      </c>
      <c r="I97" s="24"/>
      <c r="J97" s="26"/>
      <c r="K97" s="26">
        <v>2.5620545730907448E-3</v>
      </c>
      <c r="L97" s="26">
        <v>2.5620545730907448E-3</v>
      </c>
    </row>
    <row r="98" spans="1:14" ht="15" x14ac:dyDescent="0.2">
      <c r="A98" s="18">
        <v>16</v>
      </c>
      <c r="B98" s="18" t="s">
        <v>31</v>
      </c>
      <c r="C98" s="14" t="s">
        <v>57</v>
      </c>
      <c r="D98" s="327" t="s">
        <v>16</v>
      </c>
      <c r="E98" s="14" t="s">
        <v>37</v>
      </c>
      <c r="F98" s="15">
        <v>2.8439000000000001</v>
      </c>
      <c r="G98" s="307">
        <v>2.4156</v>
      </c>
      <c r="H98" s="307">
        <v>2.3100639460253656</v>
      </c>
      <c r="I98" s="15"/>
      <c r="J98" s="34"/>
      <c r="K98" s="34"/>
      <c r="L98" s="307">
        <f>AVERAGE(H98,K98)</f>
        <v>2.3100639460253656</v>
      </c>
      <c r="N98" s="309" t="s">
        <v>192</v>
      </c>
    </row>
    <row r="99" spans="1:14" ht="28.5" x14ac:dyDescent="0.2">
      <c r="A99" s="18">
        <v>17</v>
      </c>
      <c r="B99" s="18" t="s">
        <v>32</v>
      </c>
      <c r="C99" s="14" t="s">
        <v>57</v>
      </c>
      <c r="D99" s="327" t="s">
        <v>16</v>
      </c>
      <c r="E99" s="14" t="s">
        <v>37</v>
      </c>
      <c r="F99" s="15">
        <v>2.0406</v>
      </c>
      <c r="G99" s="307">
        <v>1.9849000000000001</v>
      </c>
      <c r="H99" s="307">
        <v>1.9584378530037638</v>
      </c>
      <c r="I99" s="15"/>
      <c r="J99" s="34"/>
      <c r="K99" s="34"/>
      <c r="L99" s="307">
        <f>AVERAGE(H99,K99)</f>
        <v>1.9584378530037638</v>
      </c>
      <c r="N99" s="309" t="s">
        <v>192</v>
      </c>
    </row>
    <row r="100" spans="1:14" ht="15" x14ac:dyDescent="0.2">
      <c r="A100" s="27">
        <v>1</v>
      </c>
      <c r="B100" s="27" t="s">
        <v>26</v>
      </c>
      <c r="C100" s="28" t="s">
        <v>58</v>
      </c>
      <c r="D100" s="322" t="s">
        <v>15</v>
      </c>
      <c r="E100" s="28" t="s">
        <v>27</v>
      </c>
      <c r="F100" s="37"/>
      <c r="G100" s="37"/>
      <c r="H100" s="339">
        <v>0</v>
      </c>
      <c r="I100" s="37"/>
      <c r="J100" s="33"/>
      <c r="K100" s="33"/>
      <c r="L100" s="285">
        <v>0</v>
      </c>
    </row>
    <row r="101" spans="1:14" ht="15" x14ac:dyDescent="0.2">
      <c r="A101" s="27">
        <v>2</v>
      </c>
      <c r="B101" s="27" t="s">
        <v>49</v>
      </c>
      <c r="C101" s="28" t="s">
        <v>58</v>
      </c>
      <c r="D101" s="322" t="s">
        <v>15</v>
      </c>
      <c r="E101" s="28" t="s">
        <v>27</v>
      </c>
      <c r="F101" s="37"/>
      <c r="G101" s="37"/>
      <c r="H101" s="33"/>
      <c r="I101" s="37"/>
      <c r="J101" s="33"/>
      <c r="K101" s="33"/>
      <c r="L101" s="31"/>
    </row>
    <row r="102" spans="1:14" ht="15" x14ac:dyDescent="0.2">
      <c r="A102" s="27">
        <v>3</v>
      </c>
      <c r="B102" s="27" t="s">
        <v>29</v>
      </c>
      <c r="C102" s="28" t="s">
        <v>58</v>
      </c>
      <c r="D102" s="322" t="s">
        <v>15</v>
      </c>
      <c r="E102" s="28" t="s">
        <v>37</v>
      </c>
      <c r="F102" s="37">
        <v>1.8996</v>
      </c>
      <c r="G102" s="307">
        <v>1.9166963999999997</v>
      </c>
      <c r="H102" s="285">
        <v>1.4219999999999999</v>
      </c>
      <c r="I102" s="37"/>
      <c r="J102" s="33"/>
      <c r="K102" s="33"/>
      <c r="L102" s="285">
        <v>1.4219999999999999</v>
      </c>
    </row>
    <row r="103" spans="1:14" ht="15" x14ac:dyDescent="0.2">
      <c r="A103" s="27"/>
      <c r="B103" s="27" t="s">
        <v>49</v>
      </c>
      <c r="C103" s="28" t="s">
        <v>58</v>
      </c>
      <c r="D103" s="322" t="s">
        <v>15</v>
      </c>
      <c r="E103" s="28" t="s">
        <v>37</v>
      </c>
      <c r="F103" s="37"/>
      <c r="G103" s="33"/>
      <c r="H103" s="33"/>
      <c r="I103" s="37"/>
      <c r="J103" s="33"/>
      <c r="K103" s="33"/>
      <c r="L103" s="37"/>
    </row>
    <row r="104" spans="1:14" ht="15" x14ac:dyDescent="0.2">
      <c r="A104" s="27"/>
      <c r="B104" s="27" t="s">
        <v>231</v>
      </c>
      <c r="C104" s="28" t="s">
        <v>58</v>
      </c>
      <c r="D104" s="322" t="s">
        <v>15</v>
      </c>
      <c r="E104" s="28" t="s">
        <v>27</v>
      </c>
      <c r="F104" s="37"/>
      <c r="G104" s="33"/>
      <c r="H104" s="33"/>
      <c r="I104" s="37"/>
      <c r="J104" s="33"/>
      <c r="K104" s="33"/>
      <c r="L104" s="37"/>
    </row>
    <row r="105" spans="1:14" ht="15" x14ac:dyDescent="0.2">
      <c r="A105" s="27"/>
      <c r="B105" s="27" t="s">
        <v>231</v>
      </c>
      <c r="C105" s="28" t="s">
        <v>58</v>
      </c>
      <c r="D105" s="322" t="s">
        <v>15</v>
      </c>
      <c r="E105" s="28" t="s">
        <v>37</v>
      </c>
      <c r="F105" s="37"/>
      <c r="G105" s="33"/>
      <c r="H105" s="307">
        <v>-0.16280876196483032</v>
      </c>
      <c r="I105" s="37"/>
      <c r="J105" s="33"/>
      <c r="K105" s="33"/>
      <c r="L105" s="307">
        <f>AVERAGE(H105,K105)</f>
        <v>-0.16280876196483032</v>
      </c>
      <c r="N105" s="309" t="s">
        <v>193</v>
      </c>
    </row>
    <row r="106" spans="1:14" ht="15" x14ac:dyDescent="0.2">
      <c r="A106" s="27">
        <v>4</v>
      </c>
      <c r="B106" s="27" t="s">
        <v>231</v>
      </c>
      <c r="C106" s="28" t="s">
        <v>58</v>
      </c>
      <c r="D106" s="322" t="s">
        <v>15</v>
      </c>
      <c r="E106" s="28" t="s">
        <v>27</v>
      </c>
      <c r="F106" s="37"/>
      <c r="G106" s="33"/>
      <c r="H106" s="33"/>
      <c r="I106" s="37"/>
      <c r="J106" s="33"/>
      <c r="K106" s="33"/>
      <c r="L106" s="37"/>
    </row>
    <row r="107" spans="1:14" ht="15" x14ac:dyDescent="0.2">
      <c r="A107" s="27">
        <v>5</v>
      </c>
      <c r="B107" s="27" t="s">
        <v>231</v>
      </c>
      <c r="C107" s="28" t="s">
        <v>58</v>
      </c>
      <c r="D107" s="322" t="s">
        <v>15</v>
      </c>
      <c r="E107" s="28" t="s">
        <v>37</v>
      </c>
      <c r="F107" s="37"/>
      <c r="G107" s="33"/>
      <c r="H107" s="33"/>
      <c r="I107" s="37"/>
      <c r="J107" s="33"/>
      <c r="K107" s="33"/>
      <c r="L107" s="37"/>
    </row>
    <row r="108" spans="1:14" ht="15" x14ac:dyDescent="0.2">
      <c r="A108" s="27">
        <v>6</v>
      </c>
      <c r="B108" s="27" t="s">
        <v>48</v>
      </c>
      <c r="C108" s="28" t="s">
        <v>58</v>
      </c>
      <c r="D108" s="322" t="s">
        <v>15</v>
      </c>
      <c r="E108" s="28" t="s">
        <v>37</v>
      </c>
      <c r="F108" s="37"/>
      <c r="G108" s="33"/>
      <c r="H108" s="33"/>
      <c r="I108" s="37"/>
      <c r="J108" s="33"/>
      <c r="K108" s="33"/>
      <c r="L108" s="37"/>
    </row>
    <row r="109" spans="1:14" ht="15" x14ac:dyDescent="0.2">
      <c r="A109" s="27">
        <v>7</v>
      </c>
      <c r="B109" s="27" t="s">
        <v>110</v>
      </c>
      <c r="C109" s="28" t="s">
        <v>58</v>
      </c>
      <c r="D109" s="322" t="s">
        <v>15</v>
      </c>
      <c r="E109" s="28" t="s">
        <v>27</v>
      </c>
      <c r="F109" s="37"/>
      <c r="G109" s="33"/>
      <c r="H109" s="33"/>
      <c r="I109" s="37"/>
      <c r="J109" s="33"/>
      <c r="K109" s="33"/>
      <c r="L109" s="37"/>
    </row>
    <row r="110" spans="1:14" ht="15" x14ac:dyDescent="0.2">
      <c r="A110" s="27">
        <v>8</v>
      </c>
      <c r="B110" s="27" t="s">
        <v>111</v>
      </c>
      <c r="C110" s="28" t="s">
        <v>58</v>
      </c>
      <c r="D110" s="322" t="s">
        <v>15</v>
      </c>
      <c r="E110" s="28" t="s">
        <v>37</v>
      </c>
      <c r="F110" s="37"/>
      <c r="G110" s="33"/>
      <c r="H110" s="33"/>
      <c r="I110" s="37"/>
      <c r="J110" s="33"/>
      <c r="K110" s="33"/>
      <c r="L110" s="37"/>
    </row>
    <row r="111" spans="1:14" ht="15" x14ac:dyDescent="0.2">
      <c r="A111" s="27">
        <v>8.1</v>
      </c>
      <c r="B111" s="27" t="s">
        <v>255</v>
      </c>
      <c r="C111" s="28" t="s">
        <v>58</v>
      </c>
      <c r="D111" s="322" t="s">
        <v>15</v>
      </c>
      <c r="E111" s="28" t="s">
        <v>37</v>
      </c>
      <c r="F111" s="37"/>
      <c r="G111" s="33"/>
      <c r="H111" s="33">
        <v>-0.12497497554703023</v>
      </c>
      <c r="I111" s="37"/>
      <c r="J111" s="33"/>
      <c r="K111" s="33">
        <v>-0.12497497554703023</v>
      </c>
      <c r="L111" s="33">
        <f>AVERAGE(H111,K111)</f>
        <v>-0.12497497554703023</v>
      </c>
    </row>
    <row r="112" spans="1:14" x14ac:dyDescent="0.2">
      <c r="A112" s="22">
        <v>9</v>
      </c>
      <c r="B112" s="22" t="s">
        <v>30</v>
      </c>
      <c r="C112" s="16" t="s">
        <v>58</v>
      </c>
      <c r="D112" s="326" t="s">
        <v>18</v>
      </c>
      <c r="E112" s="16" t="s">
        <v>37</v>
      </c>
      <c r="F112" s="17"/>
      <c r="G112" s="26"/>
      <c r="H112" s="285">
        <v>0</v>
      </c>
      <c r="I112" s="17"/>
      <c r="J112" s="26"/>
      <c r="K112" s="26"/>
      <c r="L112" s="285">
        <v>0</v>
      </c>
    </row>
    <row r="113" spans="1:14" x14ac:dyDescent="0.2">
      <c r="A113" s="22">
        <v>10</v>
      </c>
      <c r="B113" s="22" t="s">
        <v>66</v>
      </c>
      <c r="C113" s="16" t="s">
        <v>58</v>
      </c>
      <c r="D113" s="326" t="s">
        <v>18</v>
      </c>
      <c r="E113" s="16" t="s">
        <v>27</v>
      </c>
      <c r="F113" s="17"/>
      <c r="G113" s="26"/>
      <c r="H113" s="26"/>
      <c r="I113" s="17"/>
      <c r="J113" s="26"/>
      <c r="K113" s="26"/>
      <c r="L113" s="17"/>
    </row>
    <row r="114" spans="1:14" x14ac:dyDescent="0.2">
      <c r="A114" s="22">
        <v>12</v>
      </c>
      <c r="B114" s="22" t="s">
        <v>65</v>
      </c>
      <c r="C114" s="16" t="s">
        <v>58</v>
      </c>
      <c r="D114" s="326" t="s">
        <v>18</v>
      </c>
      <c r="E114" s="16" t="s">
        <v>37</v>
      </c>
      <c r="F114" s="17"/>
      <c r="G114" s="26"/>
      <c r="H114" s="307">
        <v>2.8769065722947407E-2</v>
      </c>
      <c r="I114" s="17"/>
      <c r="J114" s="26"/>
      <c r="K114" s="26"/>
      <c r="L114" s="307">
        <f>AVERAGE(H114,K114)</f>
        <v>2.8769065722947407E-2</v>
      </c>
      <c r="N114" s="309" t="s">
        <v>198</v>
      </c>
    </row>
    <row r="115" spans="1:14" x14ac:dyDescent="0.2">
      <c r="A115" s="22">
        <v>12</v>
      </c>
      <c r="B115" s="22" t="s">
        <v>65</v>
      </c>
      <c r="C115" s="16" t="s">
        <v>58</v>
      </c>
      <c r="D115" s="326" t="s">
        <v>18</v>
      </c>
      <c r="E115" s="16" t="s">
        <v>37</v>
      </c>
      <c r="F115" s="17"/>
      <c r="G115" s="26"/>
      <c r="H115" s="26"/>
      <c r="I115" s="17"/>
      <c r="J115" s="26"/>
      <c r="K115" s="26"/>
      <c r="L115" s="26"/>
    </row>
    <row r="116" spans="1:14" x14ac:dyDescent="0.2">
      <c r="A116" s="22">
        <v>13</v>
      </c>
      <c r="B116" s="22" t="s">
        <v>45</v>
      </c>
      <c r="C116" s="16" t="s">
        <v>58</v>
      </c>
      <c r="D116" s="326" t="s">
        <v>18</v>
      </c>
      <c r="E116" s="16" t="s">
        <v>37</v>
      </c>
      <c r="F116" s="17"/>
      <c r="G116" s="307">
        <v>-0.53879655044503272</v>
      </c>
      <c r="H116" s="307">
        <v>-0.8451241798863538</v>
      </c>
      <c r="I116" s="17"/>
      <c r="J116" s="26"/>
      <c r="K116" s="26"/>
      <c r="L116" s="307">
        <f>AVERAGE(H116,K116)</f>
        <v>-0.8451241798863538</v>
      </c>
      <c r="N116" s="309" t="s">
        <v>192</v>
      </c>
    </row>
    <row r="117" spans="1:14" ht="28.5" x14ac:dyDescent="0.2">
      <c r="A117" s="22">
        <v>14</v>
      </c>
      <c r="B117" s="22" t="s">
        <v>46</v>
      </c>
      <c r="C117" s="16" t="s">
        <v>58</v>
      </c>
      <c r="D117" s="326" t="s">
        <v>18</v>
      </c>
      <c r="E117" s="16" t="s">
        <v>37</v>
      </c>
      <c r="F117" s="17"/>
      <c r="G117" s="17"/>
      <c r="H117" s="26"/>
      <c r="I117" s="17"/>
      <c r="J117" s="26"/>
      <c r="K117" s="26"/>
      <c r="L117" s="26"/>
    </row>
    <row r="118" spans="1:14" x14ac:dyDescent="0.2">
      <c r="A118" s="22">
        <v>15</v>
      </c>
      <c r="B118" s="22" t="s">
        <v>47</v>
      </c>
      <c r="C118" s="16" t="s">
        <v>58</v>
      </c>
      <c r="D118" s="326" t="s">
        <v>18</v>
      </c>
      <c r="E118" s="16" t="s">
        <v>13</v>
      </c>
      <c r="F118" s="17"/>
      <c r="G118" s="315">
        <v>3.3E-3</v>
      </c>
      <c r="H118" s="307">
        <v>3.8449181889326281E-4</v>
      </c>
      <c r="I118" s="17"/>
      <c r="J118" s="26"/>
      <c r="K118" s="26"/>
      <c r="L118" s="307">
        <f>AVERAGE(H118,K118)</f>
        <v>3.8449181889326281E-4</v>
      </c>
      <c r="N118" s="309" t="s">
        <v>192</v>
      </c>
    </row>
    <row r="119" spans="1:14" ht="28.5" x14ac:dyDescent="0.2">
      <c r="A119" s="22">
        <v>27</v>
      </c>
      <c r="B119" s="22" t="s">
        <v>260</v>
      </c>
      <c r="C119" s="16" t="s">
        <v>58</v>
      </c>
      <c r="D119" s="323" t="s">
        <v>18</v>
      </c>
      <c r="E119" s="16" t="s">
        <v>37</v>
      </c>
      <c r="F119" s="17"/>
      <c r="G119" s="315">
        <v>3.6799999999999999E-2</v>
      </c>
      <c r="H119" s="26">
        <v>2.5119721471893578E-3</v>
      </c>
      <c r="I119" s="24"/>
      <c r="J119" s="26"/>
      <c r="K119" s="26">
        <v>2.5119721471893578E-3</v>
      </c>
      <c r="L119" s="26">
        <v>2.5119721471893578E-3</v>
      </c>
    </row>
    <row r="120" spans="1:14" ht="15" x14ac:dyDescent="0.2">
      <c r="A120" s="18">
        <v>16</v>
      </c>
      <c r="B120" s="18" t="s">
        <v>31</v>
      </c>
      <c r="C120" s="14" t="s">
        <v>58</v>
      </c>
      <c r="D120" s="327" t="s">
        <v>16</v>
      </c>
      <c r="E120" s="14" t="s">
        <v>37</v>
      </c>
      <c r="F120" s="15">
        <v>2.8439000000000001</v>
      </c>
      <c r="G120" s="307">
        <v>2.4156</v>
      </c>
      <c r="H120" s="307">
        <v>2.310063868617755</v>
      </c>
      <c r="I120" s="15"/>
      <c r="J120" s="34"/>
      <c r="K120" s="34"/>
      <c r="L120" s="307">
        <f>AVERAGE(H120,K120)</f>
        <v>2.310063868617755</v>
      </c>
      <c r="N120" s="309" t="s">
        <v>192</v>
      </c>
    </row>
    <row r="121" spans="1:14" ht="28.5" x14ac:dyDescent="0.2">
      <c r="A121" s="18">
        <v>17</v>
      </c>
      <c r="B121" s="18" t="s">
        <v>32</v>
      </c>
      <c r="C121" s="14" t="s">
        <v>58</v>
      </c>
      <c r="D121" s="327" t="s">
        <v>16</v>
      </c>
      <c r="E121" s="14" t="s">
        <v>37</v>
      </c>
      <c r="F121" s="15">
        <v>2.0406</v>
      </c>
      <c r="G121" s="307">
        <v>1.9849000000000001</v>
      </c>
      <c r="H121" s="307">
        <v>1.9584380508433166</v>
      </c>
      <c r="I121" s="15"/>
      <c r="J121" s="34"/>
      <c r="K121" s="34"/>
      <c r="L121" s="307">
        <f>AVERAGE(H121,K121)</f>
        <v>1.9584380508433166</v>
      </c>
      <c r="N121" s="309" t="s">
        <v>192</v>
      </c>
    </row>
    <row r="122" spans="1:14" ht="15" x14ac:dyDescent="0.2">
      <c r="A122" s="27">
        <v>1</v>
      </c>
      <c r="B122" s="27" t="s">
        <v>26</v>
      </c>
      <c r="C122" s="28" t="s">
        <v>36</v>
      </c>
      <c r="D122" s="322" t="s">
        <v>15</v>
      </c>
      <c r="E122" s="28" t="s">
        <v>27</v>
      </c>
      <c r="F122" s="29">
        <v>13.62</v>
      </c>
      <c r="G122" s="314">
        <v>13.742579999999998</v>
      </c>
      <c r="H122" s="284">
        <v>15.18</v>
      </c>
      <c r="I122" s="29">
        <v>17.36</v>
      </c>
      <c r="J122" s="314">
        <v>17.36</v>
      </c>
      <c r="K122" s="284">
        <v>15.18</v>
      </c>
      <c r="L122" s="284">
        <v>15.18</v>
      </c>
    </row>
    <row r="123" spans="1:14" ht="15" x14ac:dyDescent="0.2">
      <c r="A123" s="27">
        <v>2</v>
      </c>
      <c r="B123" s="27" t="s">
        <v>49</v>
      </c>
      <c r="C123" s="28" t="s">
        <v>36</v>
      </c>
      <c r="D123" s="322" t="s">
        <v>15</v>
      </c>
      <c r="E123" s="28" t="s">
        <v>27</v>
      </c>
      <c r="F123" s="31"/>
      <c r="G123" s="33"/>
      <c r="H123" s="33">
        <v>0</v>
      </c>
      <c r="I123" s="28"/>
      <c r="J123" s="33"/>
      <c r="K123" s="31"/>
      <c r="L123" s="31"/>
    </row>
    <row r="124" spans="1:14" ht="15" x14ac:dyDescent="0.2">
      <c r="A124" s="27">
        <v>3</v>
      </c>
      <c r="B124" s="27" t="s">
        <v>29</v>
      </c>
      <c r="C124" s="28" t="s">
        <v>36</v>
      </c>
      <c r="D124" s="322" t="s">
        <v>15</v>
      </c>
      <c r="E124" s="28" t="s">
        <v>13</v>
      </c>
      <c r="F124" s="30">
        <v>1.46E-2</v>
      </c>
      <c r="G124" s="307">
        <v>1.4731399999999999E-2</v>
      </c>
      <c r="H124" s="282">
        <v>1.6199999999999999E-2</v>
      </c>
      <c r="I124" s="30">
        <v>1.7999999999999999E-2</v>
      </c>
      <c r="J124" s="307">
        <v>1.7999999999999999E-2</v>
      </c>
      <c r="K124" s="282">
        <v>1.6199999999999999E-2</v>
      </c>
      <c r="L124" s="282">
        <v>1.6199999999999999E-2</v>
      </c>
    </row>
    <row r="125" spans="1:14" ht="15" x14ac:dyDescent="0.2">
      <c r="A125" s="27">
        <v>4</v>
      </c>
      <c r="B125" s="27" t="s">
        <v>49</v>
      </c>
      <c r="C125" s="28" t="s">
        <v>36</v>
      </c>
      <c r="D125" s="322" t="s">
        <v>15</v>
      </c>
      <c r="E125" s="28" t="s">
        <v>13</v>
      </c>
      <c r="F125" s="31"/>
      <c r="G125" s="33"/>
      <c r="H125" s="33">
        <v>0</v>
      </c>
      <c r="I125" s="28"/>
      <c r="J125" s="33"/>
      <c r="K125" s="33"/>
      <c r="L125" s="31"/>
    </row>
    <row r="126" spans="1:14" ht="15" x14ac:dyDescent="0.2">
      <c r="A126" s="27">
        <v>5</v>
      </c>
      <c r="B126" s="27" t="s">
        <v>231</v>
      </c>
      <c r="C126" s="28" t="s">
        <v>36</v>
      </c>
      <c r="D126" s="322" t="s">
        <v>15</v>
      </c>
      <c r="E126" s="28" t="s">
        <v>27</v>
      </c>
      <c r="F126" s="31"/>
      <c r="G126" s="33"/>
      <c r="H126" s="33"/>
      <c r="I126" s="28"/>
      <c r="J126" s="33"/>
      <c r="K126" s="33"/>
      <c r="L126" s="31"/>
    </row>
    <row r="127" spans="1:14" ht="15" x14ac:dyDescent="0.2">
      <c r="A127" s="27">
        <v>5</v>
      </c>
      <c r="B127" s="27" t="s">
        <v>231</v>
      </c>
      <c r="C127" s="28" t="s">
        <v>36</v>
      </c>
      <c r="D127" s="322" t="s">
        <v>15</v>
      </c>
      <c r="E127" s="28" t="s">
        <v>13</v>
      </c>
      <c r="F127" s="31"/>
      <c r="G127" s="33"/>
      <c r="H127" s="307">
        <v>-3.2126915242846417E-4</v>
      </c>
      <c r="I127" s="28"/>
      <c r="J127" s="33"/>
      <c r="K127" s="307">
        <v>-3.2126915242846417E-4</v>
      </c>
      <c r="L127" s="307">
        <f>AVERAGE(H127,K127)</f>
        <v>-3.2126915242846417E-4</v>
      </c>
      <c r="N127" s="309" t="s">
        <v>187</v>
      </c>
    </row>
    <row r="128" spans="1:14" ht="15" x14ac:dyDescent="0.2">
      <c r="A128" s="27">
        <v>5</v>
      </c>
      <c r="B128" s="27" t="s">
        <v>231</v>
      </c>
      <c r="C128" s="28" t="s">
        <v>36</v>
      </c>
      <c r="D128" s="322" t="s">
        <v>15</v>
      </c>
      <c r="E128" s="28" t="s">
        <v>27</v>
      </c>
      <c r="F128" s="31"/>
      <c r="G128" s="33"/>
      <c r="H128" s="33"/>
      <c r="I128" s="33"/>
      <c r="J128" s="33"/>
      <c r="K128" s="33"/>
      <c r="L128" s="31"/>
    </row>
    <row r="129" spans="1:14" ht="15" x14ac:dyDescent="0.2">
      <c r="A129" s="27">
        <v>6</v>
      </c>
      <c r="B129" s="27" t="s">
        <v>231</v>
      </c>
      <c r="C129" s="28" t="s">
        <v>36</v>
      </c>
      <c r="D129" s="322" t="s">
        <v>15</v>
      </c>
      <c r="E129" s="28" t="s">
        <v>13</v>
      </c>
      <c r="F129" s="31"/>
      <c r="G129" s="33"/>
      <c r="H129" s="33"/>
      <c r="I129" s="31"/>
      <c r="J129" s="33"/>
      <c r="K129" s="33"/>
      <c r="L129" s="31"/>
    </row>
    <row r="130" spans="1:14" ht="15" x14ac:dyDescent="0.2">
      <c r="A130" s="27">
        <v>7</v>
      </c>
      <c r="B130" s="27" t="s">
        <v>48</v>
      </c>
      <c r="C130" s="28" t="s">
        <v>36</v>
      </c>
      <c r="D130" s="322" t="s">
        <v>15</v>
      </c>
      <c r="E130" s="28" t="s">
        <v>13</v>
      </c>
      <c r="F130" s="31"/>
      <c r="G130" s="33"/>
      <c r="H130" s="307">
        <v>2.0735183467511436E-4</v>
      </c>
      <c r="I130" s="33">
        <v>3.0000000000000001E-3</v>
      </c>
      <c r="J130" s="33"/>
      <c r="K130" s="307">
        <v>2.0735183467511436E-4</v>
      </c>
      <c r="L130" s="307">
        <f>AVERAGE(H130,K130)</f>
        <v>2.0735183467511436E-4</v>
      </c>
    </row>
    <row r="131" spans="1:14" ht="15" x14ac:dyDescent="0.2">
      <c r="A131" s="44">
        <v>7.1</v>
      </c>
      <c r="B131" s="44" t="s">
        <v>230</v>
      </c>
      <c r="C131" s="28" t="s">
        <v>36</v>
      </c>
      <c r="D131" s="322" t="s">
        <v>15</v>
      </c>
      <c r="E131" s="28" t="s">
        <v>27</v>
      </c>
      <c r="F131" s="31"/>
      <c r="G131" s="33"/>
      <c r="H131" s="336">
        <v>0.25994789727448581</v>
      </c>
      <c r="I131" s="33">
        <v>4.33</v>
      </c>
      <c r="J131" s="33">
        <v>4.33</v>
      </c>
      <c r="K131" s="336">
        <v>0.25994789727448581</v>
      </c>
      <c r="L131" s="307">
        <f>AVERAGE(H131,K131)</f>
        <v>0.25994789727448581</v>
      </c>
      <c r="N131" s="309" t="s">
        <v>199</v>
      </c>
    </row>
    <row r="132" spans="1:14" ht="15" x14ac:dyDescent="0.2">
      <c r="A132" s="27">
        <v>8</v>
      </c>
      <c r="B132" s="27" t="s">
        <v>110</v>
      </c>
      <c r="C132" s="28" t="s">
        <v>36</v>
      </c>
      <c r="D132" s="322" t="s">
        <v>15</v>
      </c>
      <c r="E132" s="28" t="s">
        <v>27</v>
      </c>
      <c r="F132" s="31"/>
      <c r="G132" s="33"/>
      <c r="H132" s="33"/>
      <c r="I132" s="31"/>
      <c r="J132" s="33"/>
      <c r="K132" s="33"/>
      <c r="L132" s="31"/>
    </row>
    <row r="133" spans="1:14" ht="15" x14ac:dyDescent="0.2">
      <c r="A133" s="27">
        <v>8</v>
      </c>
      <c r="B133" s="27" t="s">
        <v>111</v>
      </c>
      <c r="C133" s="28" t="s">
        <v>36</v>
      </c>
      <c r="D133" s="322" t="s">
        <v>15</v>
      </c>
      <c r="E133" s="28" t="s">
        <v>13</v>
      </c>
      <c r="F133" s="31"/>
      <c r="G133" s="33"/>
      <c r="H133" s="33"/>
      <c r="I133" s="31"/>
      <c r="J133" s="33"/>
      <c r="K133" s="33"/>
      <c r="L133" s="31"/>
    </row>
    <row r="134" spans="1:14" ht="15" x14ac:dyDescent="0.2">
      <c r="A134" s="27">
        <v>8.1</v>
      </c>
      <c r="B134" s="27" t="s">
        <v>255</v>
      </c>
      <c r="C134" s="28" t="s">
        <v>36</v>
      </c>
      <c r="D134" s="322" t="s">
        <v>15</v>
      </c>
      <c r="E134" s="28" t="s">
        <v>13</v>
      </c>
      <c r="F134" s="31"/>
      <c r="G134" s="33"/>
      <c r="H134" s="33">
        <v>-2.4661231261194989E-4</v>
      </c>
      <c r="I134" s="31"/>
      <c r="J134" s="33"/>
      <c r="K134" s="33">
        <v>-2.4661231261194989E-4</v>
      </c>
      <c r="L134" s="31">
        <f>AVERAGE(H134,K134)</f>
        <v>-2.4661231261194989E-4</v>
      </c>
    </row>
    <row r="135" spans="1:14" x14ac:dyDescent="0.2">
      <c r="A135" s="22">
        <v>9</v>
      </c>
      <c r="B135" s="22" t="s">
        <v>30</v>
      </c>
      <c r="C135" s="16" t="s">
        <v>36</v>
      </c>
      <c r="D135" s="323" t="s">
        <v>18</v>
      </c>
      <c r="E135" s="16" t="s">
        <v>13</v>
      </c>
      <c r="F135" s="17">
        <v>1E-4</v>
      </c>
      <c r="G135" s="26">
        <v>1E-4</v>
      </c>
      <c r="H135" s="285">
        <v>4.0000000000000002E-4</v>
      </c>
      <c r="I135" s="17">
        <v>2.3999999999999998E-3</v>
      </c>
      <c r="J135" s="26">
        <v>2.3999999999999998E-3</v>
      </c>
      <c r="K135" s="285">
        <v>4.0000000000000002E-4</v>
      </c>
      <c r="L135" s="285">
        <v>4.0000000000000002E-4</v>
      </c>
    </row>
    <row r="136" spans="1:14" x14ac:dyDescent="0.2">
      <c r="A136" s="22">
        <v>10</v>
      </c>
      <c r="B136" s="22" t="s">
        <v>66</v>
      </c>
      <c r="C136" s="16" t="s">
        <v>36</v>
      </c>
      <c r="D136" s="323" t="s">
        <v>18</v>
      </c>
      <c r="E136" s="16" t="s">
        <v>27</v>
      </c>
      <c r="F136" s="24"/>
      <c r="G136" s="26"/>
      <c r="H136" s="26"/>
      <c r="I136" s="16"/>
      <c r="J136" s="26"/>
      <c r="K136" s="26"/>
      <c r="L136" s="26"/>
    </row>
    <row r="137" spans="1:14" ht="28.5" x14ac:dyDescent="0.2">
      <c r="A137" s="22">
        <v>11</v>
      </c>
      <c r="B137" s="22" t="s">
        <v>28</v>
      </c>
      <c r="C137" s="16" t="s">
        <v>36</v>
      </c>
      <c r="D137" s="323" t="s">
        <v>18</v>
      </c>
      <c r="E137" s="16" t="s">
        <v>27</v>
      </c>
      <c r="F137" s="24">
        <v>0.79</v>
      </c>
      <c r="G137" s="307">
        <v>0.56999999999999995</v>
      </c>
      <c r="H137" s="307">
        <v>0.56999999999999995</v>
      </c>
      <c r="I137" s="307">
        <v>0.79</v>
      </c>
      <c r="J137" s="307">
        <v>0.56999999999999995</v>
      </c>
      <c r="K137" s="307">
        <v>0.56999999999999995</v>
      </c>
      <c r="L137" s="307">
        <f>AVERAGE(H137,K137)</f>
        <v>0.56999999999999995</v>
      </c>
    </row>
    <row r="138" spans="1:14" x14ac:dyDescent="0.2">
      <c r="A138" s="22">
        <v>12</v>
      </c>
      <c r="B138" s="22" t="s">
        <v>65</v>
      </c>
      <c r="C138" s="16" t="s">
        <v>36</v>
      </c>
      <c r="D138" s="323" t="s">
        <v>18</v>
      </c>
      <c r="E138" s="16" t="s">
        <v>13</v>
      </c>
      <c r="F138" s="24"/>
      <c r="G138" s="26"/>
      <c r="H138" s="307">
        <v>5.0740010961371359E-4</v>
      </c>
      <c r="I138" s="24"/>
      <c r="J138" s="26"/>
      <c r="K138" s="307">
        <v>5.0740010961371359E-4</v>
      </c>
      <c r="L138" s="307">
        <f>AVERAGE(H138,K138)</f>
        <v>5.0740010961371359E-4</v>
      </c>
      <c r="N138" s="309" t="s">
        <v>186</v>
      </c>
    </row>
    <row r="139" spans="1:14" x14ac:dyDescent="0.2">
      <c r="A139" s="22">
        <v>13</v>
      </c>
      <c r="B139" s="22" t="s">
        <v>45</v>
      </c>
      <c r="C139" s="16" t="s">
        <v>36</v>
      </c>
      <c r="D139" s="323" t="s">
        <v>18</v>
      </c>
      <c r="E139" s="16" t="s">
        <v>13</v>
      </c>
      <c r="F139" s="24"/>
      <c r="G139" s="307">
        <v>-6.2193914195985949E-3</v>
      </c>
      <c r="H139" s="307">
        <v>-1.6762774266901727E-3</v>
      </c>
      <c r="I139" s="16"/>
      <c r="J139" s="307">
        <v>-6.3844404687474557E-3</v>
      </c>
      <c r="K139" s="307">
        <v>-1.6762774266901727E-3</v>
      </c>
      <c r="L139" s="307">
        <f>AVERAGE(H139,K139)</f>
        <v>-1.6762774266901727E-3</v>
      </c>
    </row>
    <row r="140" spans="1:14" ht="28.5" x14ac:dyDescent="0.2">
      <c r="A140" s="22">
        <v>14</v>
      </c>
      <c r="B140" s="22" t="s">
        <v>46</v>
      </c>
      <c r="C140" s="16" t="s">
        <v>36</v>
      </c>
      <c r="D140" s="323" t="s">
        <v>18</v>
      </c>
      <c r="E140" s="16" t="s">
        <v>13</v>
      </c>
      <c r="F140" s="24"/>
      <c r="G140" s="26"/>
      <c r="H140" s="26"/>
      <c r="I140" s="16"/>
      <c r="J140" s="26"/>
      <c r="K140" s="26"/>
      <c r="L140" s="26"/>
    </row>
    <row r="141" spans="1:14" x14ac:dyDescent="0.2">
      <c r="A141" s="22">
        <v>15</v>
      </c>
      <c r="B141" s="22" t="s">
        <v>47</v>
      </c>
      <c r="C141" s="16" t="s">
        <v>36</v>
      </c>
      <c r="D141" s="323" t="s">
        <v>18</v>
      </c>
      <c r="E141" s="16" t="s">
        <v>13</v>
      </c>
      <c r="F141" s="24"/>
      <c r="G141" s="307">
        <v>3.3E-3</v>
      </c>
      <c r="H141" s="307">
        <v>3.8449181889326276E-4</v>
      </c>
      <c r="I141" s="16"/>
      <c r="J141" s="307">
        <v>1.4200000000000001E-2</v>
      </c>
      <c r="K141" s="307">
        <v>3.8449181889326276E-4</v>
      </c>
      <c r="L141" s="307">
        <f>AVERAGE(H141,K141)</f>
        <v>3.8449181889326276E-4</v>
      </c>
    </row>
    <row r="142" spans="1:14" ht="28.5" x14ac:dyDescent="0.2">
      <c r="A142" s="22">
        <v>27</v>
      </c>
      <c r="B142" s="22" t="s">
        <v>260</v>
      </c>
      <c r="C142" s="16" t="s">
        <v>36</v>
      </c>
      <c r="D142" s="323" t="s">
        <v>18</v>
      </c>
      <c r="E142" s="16" t="s">
        <v>13</v>
      </c>
      <c r="F142" s="17"/>
      <c r="G142" s="307">
        <v>4.0000000000000002E-4</v>
      </c>
      <c r="H142" s="26">
        <v>4.9568533837617705E-6</v>
      </c>
      <c r="I142" s="24"/>
      <c r="J142" s="26"/>
      <c r="K142" s="26">
        <v>4.9568533837617705E-6</v>
      </c>
      <c r="L142" s="26">
        <v>4.9568533837617705E-6</v>
      </c>
    </row>
    <row r="143" spans="1:14" ht="15" x14ac:dyDescent="0.2">
      <c r="A143" s="18">
        <v>16</v>
      </c>
      <c r="B143" s="18" t="s">
        <v>31</v>
      </c>
      <c r="C143" s="14" t="s">
        <v>36</v>
      </c>
      <c r="D143" s="324" t="s">
        <v>16</v>
      </c>
      <c r="E143" s="14" t="s">
        <v>13</v>
      </c>
      <c r="F143" s="15">
        <v>6.1000000000000004E-3</v>
      </c>
      <c r="G143" s="307">
        <v>5.1999999999999998E-3</v>
      </c>
      <c r="H143" s="307">
        <v>4.9369576887273803E-3</v>
      </c>
      <c r="I143" s="15">
        <v>5.5999999999999999E-3</v>
      </c>
      <c r="J143" s="307">
        <v>5.5999999999999999E-3</v>
      </c>
      <c r="K143" s="307">
        <v>4.9369576887273803E-3</v>
      </c>
      <c r="L143" s="307">
        <f>AVERAGE(H143,K143)</f>
        <v>4.9369576887273803E-3</v>
      </c>
    </row>
    <row r="144" spans="1:14" ht="28.5" x14ac:dyDescent="0.2">
      <c r="A144" s="18">
        <v>17</v>
      </c>
      <c r="B144" s="18" t="s">
        <v>32</v>
      </c>
      <c r="C144" s="14" t="s">
        <v>36</v>
      </c>
      <c r="D144" s="324" t="s">
        <v>16</v>
      </c>
      <c r="E144" s="14" t="s">
        <v>13</v>
      </c>
      <c r="F144" s="15">
        <v>4.1999999999999997E-3</v>
      </c>
      <c r="G144" s="307">
        <v>4.1000000000000003E-3</v>
      </c>
      <c r="H144" s="307">
        <v>3.7651244729822726E-3</v>
      </c>
      <c r="I144" s="15">
        <v>2.7000000000000001E-3</v>
      </c>
      <c r="J144" s="307">
        <v>2.8E-3</v>
      </c>
      <c r="K144" s="307">
        <v>3.7651244729822726E-3</v>
      </c>
      <c r="L144" s="307">
        <f>AVERAGE(H144,K144)</f>
        <v>3.7651244729822726E-3</v>
      </c>
    </row>
    <row r="145" spans="1:14" ht="15" x14ac:dyDescent="0.2">
      <c r="A145" s="27">
        <v>1</v>
      </c>
      <c r="B145" s="27" t="s">
        <v>26</v>
      </c>
      <c r="C145" s="28" t="s">
        <v>52</v>
      </c>
      <c r="D145" s="325" t="s">
        <v>15</v>
      </c>
      <c r="E145" s="28" t="s">
        <v>27</v>
      </c>
      <c r="F145" s="29">
        <v>114.56</v>
      </c>
      <c r="G145" s="314">
        <v>115.59103999999999</v>
      </c>
      <c r="H145" s="280">
        <v>111.18</v>
      </c>
      <c r="I145" s="29">
        <v>96.98</v>
      </c>
      <c r="J145" s="314">
        <v>96.98</v>
      </c>
      <c r="K145" s="280">
        <v>111.18</v>
      </c>
      <c r="L145" s="280">
        <v>111.18</v>
      </c>
    </row>
    <row r="146" spans="1:14" ht="15" x14ac:dyDescent="0.2">
      <c r="A146" s="27">
        <v>2</v>
      </c>
      <c r="B146" s="27" t="s">
        <v>49</v>
      </c>
      <c r="C146" s="28" t="s">
        <v>52</v>
      </c>
      <c r="D146" s="325" t="s">
        <v>15</v>
      </c>
      <c r="E146" s="28" t="s">
        <v>27</v>
      </c>
      <c r="F146" s="30"/>
      <c r="G146" s="33"/>
      <c r="H146" s="33">
        <v>0</v>
      </c>
      <c r="I146" s="30"/>
      <c r="J146" s="33"/>
      <c r="K146" s="31"/>
      <c r="L146" s="31"/>
    </row>
    <row r="147" spans="1:14" ht="15" x14ac:dyDescent="0.2">
      <c r="A147" s="27">
        <v>3</v>
      </c>
      <c r="B147" s="27" t="s">
        <v>29</v>
      </c>
      <c r="C147" s="28" t="s">
        <v>52</v>
      </c>
      <c r="D147" s="325" t="s">
        <v>15</v>
      </c>
      <c r="E147" s="28" t="s">
        <v>37</v>
      </c>
      <c r="F147" s="30">
        <v>4.1700999999999997</v>
      </c>
      <c r="G147" s="307">
        <v>4.207630899999999</v>
      </c>
      <c r="H147" s="281">
        <v>4.1018999999999997</v>
      </c>
      <c r="I147" s="30">
        <v>3.9297</v>
      </c>
      <c r="J147" s="307">
        <v>3.9297</v>
      </c>
      <c r="K147" s="281">
        <v>4.1018999999999997</v>
      </c>
      <c r="L147" s="281">
        <v>4.1018999999999997</v>
      </c>
    </row>
    <row r="148" spans="1:14" ht="15" x14ac:dyDescent="0.2">
      <c r="A148" s="27">
        <v>4</v>
      </c>
      <c r="B148" s="27" t="s">
        <v>49</v>
      </c>
      <c r="C148" s="28" t="s">
        <v>52</v>
      </c>
      <c r="D148" s="325" t="s">
        <v>15</v>
      </c>
      <c r="E148" s="28" t="s">
        <v>37</v>
      </c>
      <c r="F148" s="30"/>
      <c r="G148" s="33"/>
      <c r="H148" s="33">
        <v>0</v>
      </c>
      <c r="I148" s="30"/>
      <c r="J148" s="33"/>
      <c r="K148" s="33"/>
      <c r="L148" s="30"/>
    </row>
    <row r="149" spans="1:14" ht="15" x14ac:dyDescent="0.2">
      <c r="A149" s="27">
        <v>5</v>
      </c>
      <c r="B149" s="27" t="s">
        <v>231</v>
      </c>
      <c r="C149" s="28" t="s">
        <v>52</v>
      </c>
      <c r="D149" s="325" t="s">
        <v>15</v>
      </c>
      <c r="E149" s="28" t="s">
        <v>37</v>
      </c>
      <c r="F149" s="32"/>
      <c r="G149" s="304"/>
      <c r="H149" s="307">
        <v>-0.10277596422689866</v>
      </c>
      <c r="I149" s="30"/>
      <c r="J149" s="30"/>
      <c r="K149" s="307">
        <v>-0.10277596422689866</v>
      </c>
      <c r="L149" s="307">
        <f>AVERAGE(H149,K149)</f>
        <v>-0.10277596422689866</v>
      </c>
      <c r="N149" s="309" t="s">
        <v>187</v>
      </c>
    </row>
    <row r="150" spans="1:14" ht="15" x14ac:dyDescent="0.2">
      <c r="A150" s="27">
        <v>5</v>
      </c>
      <c r="B150" s="27" t="s">
        <v>231</v>
      </c>
      <c r="C150" s="28" t="s">
        <v>52</v>
      </c>
      <c r="D150" s="325" t="s">
        <v>15</v>
      </c>
      <c r="E150" s="28" t="s">
        <v>27</v>
      </c>
      <c r="F150" s="32"/>
      <c r="G150" s="304"/>
      <c r="H150" s="304"/>
      <c r="I150" s="30"/>
      <c r="J150" s="30"/>
      <c r="K150" s="304"/>
      <c r="L150" s="32"/>
    </row>
    <row r="151" spans="1:14" ht="15" x14ac:dyDescent="0.2">
      <c r="A151" s="27">
        <v>5</v>
      </c>
      <c r="B151" s="27" t="s">
        <v>231</v>
      </c>
      <c r="C151" s="28" t="s">
        <v>52</v>
      </c>
      <c r="D151" s="325" t="s">
        <v>15</v>
      </c>
      <c r="E151" s="28" t="s">
        <v>37</v>
      </c>
      <c r="F151" s="30"/>
      <c r="G151" s="33"/>
      <c r="H151" s="33"/>
      <c r="I151" s="30"/>
      <c r="J151" s="30"/>
      <c r="K151" s="33"/>
      <c r="L151" s="32"/>
    </row>
    <row r="152" spans="1:14" ht="15" x14ac:dyDescent="0.2">
      <c r="A152" s="27">
        <v>6</v>
      </c>
      <c r="B152" s="27" t="s">
        <v>231</v>
      </c>
      <c r="C152" s="28" t="s">
        <v>52</v>
      </c>
      <c r="D152" s="325" t="s">
        <v>15</v>
      </c>
      <c r="E152" s="28" t="s">
        <v>27</v>
      </c>
      <c r="F152" s="30"/>
      <c r="G152" s="33"/>
      <c r="H152" s="33"/>
      <c r="I152" s="30"/>
      <c r="J152" s="30"/>
      <c r="K152" s="33"/>
      <c r="L152" s="32"/>
    </row>
    <row r="153" spans="1:14" ht="15" x14ac:dyDescent="0.2">
      <c r="A153" s="27">
        <v>7</v>
      </c>
      <c r="B153" s="27" t="s">
        <v>48</v>
      </c>
      <c r="C153" s="28" t="s">
        <v>52</v>
      </c>
      <c r="D153" s="325" t="s">
        <v>15</v>
      </c>
      <c r="E153" s="28" t="s">
        <v>37</v>
      </c>
      <c r="F153" s="33"/>
      <c r="G153" s="33"/>
      <c r="H153" s="307">
        <v>0.4554727233494929</v>
      </c>
      <c r="I153" s="30">
        <v>4.4000000000000003E-3</v>
      </c>
      <c r="J153" s="30"/>
      <c r="K153" s="307">
        <v>0.4554727233494929</v>
      </c>
      <c r="L153" s="307">
        <f>AVERAGE(H153,K153)</f>
        <v>0.4554727233494929</v>
      </c>
    </row>
    <row r="154" spans="1:14" ht="15" x14ac:dyDescent="0.2">
      <c r="A154" s="44">
        <v>7.1</v>
      </c>
      <c r="B154" s="27" t="s">
        <v>50</v>
      </c>
      <c r="C154" s="28" t="s">
        <v>52</v>
      </c>
      <c r="D154" s="325" t="s">
        <v>15</v>
      </c>
      <c r="E154" s="28" t="s">
        <v>27</v>
      </c>
      <c r="F154" s="33"/>
      <c r="G154" s="33"/>
      <c r="H154" s="336">
        <v>18.578982363534003</v>
      </c>
      <c r="I154" s="30"/>
      <c r="J154" s="30"/>
      <c r="K154" s="336">
        <v>18.578982363534003</v>
      </c>
      <c r="L154" s="307">
        <f>AVERAGE(H154,K154)</f>
        <v>18.578982363534003</v>
      </c>
      <c r="N154" s="309" t="s">
        <v>200</v>
      </c>
    </row>
    <row r="155" spans="1:14" ht="15" x14ac:dyDescent="0.2">
      <c r="A155" s="27">
        <v>8</v>
      </c>
      <c r="B155" s="27" t="s">
        <v>110</v>
      </c>
      <c r="C155" s="28" t="s">
        <v>52</v>
      </c>
      <c r="D155" s="325" t="s">
        <v>15</v>
      </c>
      <c r="E155" s="28" t="s">
        <v>27</v>
      </c>
      <c r="F155" s="33"/>
      <c r="G155" s="33"/>
      <c r="H155" s="33"/>
      <c r="I155" s="30"/>
      <c r="J155" s="30"/>
      <c r="K155" s="33"/>
      <c r="L155" s="33"/>
    </row>
    <row r="156" spans="1:14" ht="15" x14ac:dyDescent="0.2">
      <c r="A156" s="27">
        <v>8</v>
      </c>
      <c r="B156" s="27" t="s">
        <v>111</v>
      </c>
      <c r="C156" s="28" t="s">
        <v>52</v>
      </c>
      <c r="D156" s="325" t="s">
        <v>15</v>
      </c>
      <c r="E156" s="28" t="s">
        <v>37</v>
      </c>
      <c r="F156" s="33"/>
      <c r="G156" s="33"/>
      <c r="H156" s="33"/>
      <c r="I156" s="30"/>
      <c r="J156" s="30"/>
      <c r="K156" s="33"/>
      <c r="L156" s="33"/>
    </row>
    <row r="157" spans="1:14" ht="15" x14ac:dyDescent="0.2">
      <c r="A157" s="27">
        <v>8.1</v>
      </c>
      <c r="B157" s="27" t="s">
        <v>255</v>
      </c>
      <c r="C157" s="28" t="s">
        <v>52</v>
      </c>
      <c r="D157" s="325" t="s">
        <v>15</v>
      </c>
      <c r="E157" s="28" t="s">
        <v>37</v>
      </c>
      <c r="F157" s="33"/>
      <c r="G157" s="33"/>
      <c r="H157" s="33">
        <v>-7.8892779815913319E-2</v>
      </c>
      <c r="I157" s="30"/>
      <c r="J157" s="30"/>
      <c r="K157" s="33">
        <v>-7.8892779815913319E-2</v>
      </c>
      <c r="L157" s="33">
        <f>AVERAGE(H157,K157)</f>
        <v>-7.8892779815913319E-2</v>
      </c>
    </row>
    <row r="158" spans="1:14" x14ac:dyDescent="0.2">
      <c r="A158" s="22">
        <v>9</v>
      </c>
      <c r="B158" s="22" t="s">
        <v>30</v>
      </c>
      <c r="C158" s="16" t="s">
        <v>52</v>
      </c>
      <c r="D158" s="323" t="s">
        <v>18</v>
      </c>
      <c r="E158" s="16" t="s">
        <v>37</v>
      </c>
      <c r="F158" s="17">
        <v>5.3699999999999998E-2</v>
      </c>
      <c r="G158" s="26">
        <v>5.3699999999999998E-2</v>
      </c>
      <c r="H158" s="285">
        <v>0.23050000000000001</v>
      </c>
      <c r="I158" s="30">
        <v>1.1222000000000001</v>
      </c>
      <c r="J158" s="30">
        <v>1.1222000000000001</v>
      </c>
      <c r="K158" s="285">
        <v>0.23050000000000001</v>
      </c>
      <c r="L158" s="285">
        <v>0.23050000000000001</v>
      </c>
    </row>
    <row r="159" spans="1:14" x14ac:dyDescent="0.2">
      <c r="A159" s="22">
        <v>10</v>
      </c>
      <c r="B159" s="22" t="s">
        <v>66</v>
      </c>
      <c r="C159" s="16" t="s">
        <v>52</v>
      </c>
      <c r="D159" s="323" t="s">
        <v>18</v>
      </c>
      <c r="E159" s="16" t="s">
        <v>27</v>
      </c>
      <c r="F159" s="24"/>
      <c r="G159" s="26"/>
      <c r="H159" s="26"/>
      <c r="I159" s="30"/>
      <c r="J159" s="30"/>
      <c r="K159" s="26"/>
      <c r="L159" s="24"/>
    </row>
    <row r="160" spans="1:14" x14ac:dyDescent="0.2">
      <c r="A160" s="22">
        <v>12</v>
      </c>
      <c r="B160" s="22" t="s">
        <v>65</v>
      </c>
      <c r="C160" s="16" t="s">
        <v>52</v>
      </c>
      <c r="D160" s="323" t="s">
        <v>18</v>
      </c>
      <c r="E160" s="16" t="s">
        <v>37</v>
      </c>
      <c r="F160" s="26"/>
      <c r="G160" s="26"/>
      <c r="H160" s="307">
        <v>9.5483921157550861E-2</v>
      </c>
      <c r="I160" s="17"/>
      <c r="J160" s="47"/>
      <c r="K160" s="307">
        <v>9.5483921157550861E-2</v>
      </c>
      <c r="L160" s="307">
        <f>AVERAGE(H160,K160)</f>
        <v>9.5483921157550861E-2</v>
      </c>
      <c r="N160" s="309" t="s">
        <v>186</v>
      </c>
    </row>
    <row r="161" spans="1:18" x14ac:dyDescent="0.2">
      <c r="A161" s="22">
        <v>12</v>
      </c>
      <c r="B161" s="22" t="s">
        <v>65</v>
      </c>
      <c r="C161" s="16" t="s">
        <v>52</v>
      </c>
      <c r="D161" s="323" t="s">
        <v>18</v>
      </c>
      <c r="E161" s="16" t="s">
        <v>37</v>
      </c>
      <c r="F161" s="26"/>
      <c r="G161" s="26"/>
      <c r="H161" s="26"/>
      <c r="I161" s="17"/>
      <c r="J161" s="47"/>
      <c r="K161" s="26"/>
      <c r="L161" s="24"/>
    </row>
    <row r="162" spans="1:18" x14ac:dyDescent="0.2">
      <c r="A162" s="22">
        <v>13</v>
      </c>
      <c r="B162" s="22" t="s">
        <v>45</v>
      </c>
      <c r="C162" s="16" t="s">
        <v>52</v>
      </c>
      <c r="D162" s="323" t="s">
        <v>18</v>
      </c>
      <c r="E162" s="16" t="s">
        <v>37</v>
      </c>
      <c r="F162" s="26"/>
      <c r="G162" s="307">
        <v>-0.29754431886348609</v>
      </c>
      <c r="H162" s="307">
        <v>-0.44588513494045856</v>
      </c>
      <c r="I162" s="17"/>
      <c r="J162" s="307">
        <v>-2.8760694640552322</v>
      </c>
      <c r="K162" s="307">
        <v>-0.44588513494045856</v>
      </c>
      <c r="L162" s="307">
        <f>AVERAGE(H162,K162)</f>
        <v>-0.44588513494045856</v>
      </c>
    </row>
    <row r="163" spans="1:18" ht="28.5" x14ac:dyDescent="0.2">
      <c r="A163" s="22">
        <v>14</v>
      </c>
      <c r="B163" s="22" t="s">
        <v>46</v>
      </c>
      <c r="C163" s="16" t="s">
        <v>52</v>
      </c>
      <c r="D163" s="323" t="s">
        <v>18</v>
      </c>
      <c r="E163" s="16" t="s">
        <v>37</v>
      </c>
      <c r="F163" s="26"/>
      <c r="G163" s="307">
        <v>-1.7176948178630711</v>
      </c>
      <c r="H163" s="307">
        <v>-8.6780676279522614E-2</v>
      </c>
      <c r="I163" s="16"/>
      <c r="J163" s="26"/>
      <c r="K163" s="26"/>
      <c r="L163" s="307">
        <f>AVERAGE(H163,K163)</f>
        <v>-8.6780676279522614E-2</v>
      </c>
      <c r="N163" s="309" t="s">
        <v>196</v>
      </c>
    </row>
    <row r="164" spans="1:18" x14ac:dyDescent="0.2">
      <c r="A164" s="22">
        <v>15</v>
      </c>
      <c r="B164" s="22" t="s">
        <v>47</v>
      </c>
      <c r="C164" s="16" t="s">
        <v>52</v>
      </c>
      <c r="D164" s="323" t="s">
        <v>18</v>
      </c>
      <c r="E164" s="16" t="s">
        <v>13</v>
      </c>
      <c r="F164" s="26"/>
      <c r="G164" s="307">
        <v>3.3E-3</v>
      </c>
      <c r="H164" s="307">
        <v>3.8449181889326276E-4</v>
      </c>
      <c r="I164" s="16"/>
      <c r="J164" s="307">
        <v>1.4200000000000001E-2</v>
      </c>
      <c r="K164" s="307">
        <v>3.8449181889326276E-4</v>
      </c>
      <c r="L164" s="307">
        <f>AVERAGE(H164,K164)</f>
        <v>3.8449181889326276E-4</v>
      </c>
    </row>
    <row r="165" spans="1:18" ht="28.5" x14ac:dyDescent="0.2">
      <c r="A165" s="22">
        <v>27</v>
      </c>
      <c r="B165" s="22" t="s">
        <v>260</v>
      </c>
      <c r="C165" s="16" t="s">
        <v>52</v>
      </c>
      <c r="D165" s="323" t="s">
        <v>18</v>
      </c>
      <c r="E165" s="16" t="s">
        <v>37</v>
      </c>
      <c r="F165" s="17"/>
      <c r="G165" s="307">
        <v>0.13750000000000001</v>
      </c>
      <c r="H165" s="26">
        <v>1.5625881795421066E-3</v>
      </c>
      <c r="I165" s="24"/>
      <c r="J165" s="26"/>
      <c r="K165" s="26">
        <v>1.5625881795421066E-3</v>
      </c>
      <c r="L165" s="26">
        <v>1.5625881795421066E-3</v>
      </c>
    </row>
    <row r="166" spans="1:18" ht="15" x14ac:dyDescent="0.2">
      <c r="A166" s="18">
        <v>16</v>
      </c>
      <c r="B166" s="18" t="s">
        <v>31</v>
      </c>
      <c r="C166" s="14" t="s">
        <v>52</v>
      </c>
      <c r="D166" s="324" t="s">
        <v>16</v>
      </c>
      <c r="E166" s="14" t="s">
        <v>37</v>
      </c>
      <c r="F166" s="15">
        <v>3.9514</v>
      </c>
      <c r="G166" s="307">
        <v>3.3563000000000001</v>
      </c>
      <c r="H166" s="307">
        <v>3.039109007035127</v>
      </c>
      <c r="I166" s="30">
        <v>2.2311000000000001</v>
      </c>
      <c r="J166" s="307">
        <v>2.2263999999999999</v>
      </c>
      <c r="K166" s="307">
        <v>3.039109007035127</v>
      </c>
      <c r="L166" s="307">
        <f>AVERAGE(H166,K166)</f>
        <v>3.039109007035127</v>
      </c>
      <c r="M166" s="310"/>
      <c r="N166" s="309" t="s">
        <v>188</v>
      </c>
    </row>
    <row r="167" spans="1:18" ht="28.5" x14ac:dyDescent="0.2">
      <c r="A167" s="18">
        <v>16</v>
      </c>
      <c r="B167" s="18" t="s">
        <v>53</v>
      </c>
      <c r="C167" s="14" t="s">
        <v>52</v>
      </c>
      <c r="D167" s="324" t="s">
        <v>16</v>
      </c>
      <c r="E167" s="14" t="s">
        <v>37</v>
      </c>
      <c r="F167" s="15"/>
      <c r="G167" s="307">
        <f>G166</f>
        <v>3.3563000000000001</v>
      </c>
      <c r="H167" s="307">
        <v>3.0547851757037856</v>
      </c>
      <c r="I167" s="30">
        <v>2.3666999999999998</v>
      </c>
      <c r="J167" s="307">
        <v>2.3616999999999999</v>
      </c>
      <c r="K167" s="307">
        <v>3.0547851757037856</v>
      </c>
      <c r="L167" s="307">
        <f>AVERAGE(H167,K167)</f>
        <v>3.0547851757037856</v>
      </c>
      <c r="M167" s="310"/>
      <c r="N167" s="309" t="s">
        <v>189</v>
      </c>
    </row>
    <row r="168" spans="1:18" ht="28.5" x14ac:dyDescent="0.2">
      <c r="A168" s="18">
        <v>17</v>
      </c>
      <c r="B168" s="18" t="s">
        <v>32</v>
      </c>
      <c r="C168" s="14" t="s">
        <v>52</v>
      </c>
      <c r="D168" s="324" t="s">
        <v>16</v>
      </c>
      <c r="E168" s="14" t="s">
        <v>37</v>
      </c>
      <c r="F168" s="15">
        <v>2.5545</v>
      </c>
      <c r="G168" s="307">
        <v>2.4847000000000001</v>
      </c>
      <c r="H168" s="307">
        <v>2.2794726540731611</v>
      </c>
      <c r="I168" s="30">
        <v>1.1221000000000001</v>
      </c>
      <c r="J168" s="307">
        <v>1.1812</v>
      </c>
      <c r="K168" s="307">
        <v>2.2794726540731611</v>
      </c>
      <c r="L168" s="307">
        <f>AVERAGE(H168,K168)</f>
        <v>2.2794726540731611</v>
      </c>
      <c r="M168" s="310"/>
      <c r="N168" s="309" t="s">
        <v>188</v>
      </c>
    </row>
    <row r="169" spans="1:18" ht="28.5" x14ac:dyDescent="0.2">
      <c r="A169" s="18">
        <v>17</v>
      </c>
      <c r="B169" s="18" t="s">
        <v>54</v>
      </c>
      <c r="C169" s="14" t="s">
        <v>52</v>
      </c>
      <c r="D169" s="324" t="s">
        <v>16</v>
      </c>
      <c r="E169" s="14" t="s">
        <v>37</v>
      </c>
      <c r="F169" s="15"/>
      <c r="G169" s="307">
        <f>G168</f>
        <v>2.4847000000000001</v>
      </c>
      <c r="H169" s="307">
        <v>2.2957713829409307</v>
      </c>
      <c r="I169" s="30">
        <v>1.24</v>
      </c>
      <c r="J169" s="307">
        <v>1.3052999999999999</v>
      </c>
      <c r="K169" s="307">
        <v>2.2957713829409307</v>
      </c>
      <c r="L169" s="307">
        <f>AVERAGE(H169,K169)</f>
        <v>2.2957713829409307</v>
      </c>
      <c r="M169" s="310"/>
      <c r="N169" s="309" t="s">
        <v>189</v>
      </c>
      <c r="R169" s="500" t="s">
        <v>190</v>
      </c>
    </row>
    <row r="170" spans="1:18" ht="15" x14ac:dyDescent="0.2">
      <c r="A170" s="27">
        <v>1</v>
      </c>
      <c r="B170" s="27" t="s">
        <v>26</v>
      </c>
      <c r="C170" s="28" t="s">
        <v>38</v>
      </c>
      <c r="D170" s="325" t="s">
        <v>15</v>
      </c>
      <c r="E170" s="28" t="s">
        <v>27</v>
      </c>
      <c r="F170" s="29">
        <v>1038.42</v>
      </c>
      <c r="G170" s="314">
        <v>1047.7657799999999</v>
      </c>
      <c r="H170" s="280">
        <v>904.08</v>
      </c>
      <c r="I170" s="30">
        <v>96.98</v>
      </c>
      <c r="J170" s="29">
        <v>96.98</v>
      </c>
      <c r="K170" s="280">
        <v>904.08</v>
      </c>
      <c r="L170" s="280">
        <v>904.08</v>
      </c>
      <c r="M170" s="310"/>
      <c r="R170" s="500"/>
    </row>
    <row r="171" spans="1:18" ht="15" x14ac:dyDescent="0.2">
      <c r="A171" s="27">
        <v>2</v>
      </c>
      <c r="B171" s="27" t="s">
        <v>49</v>
      </c>
      <c r="C171" s="28" t="s">
        <v>38</v>
      </c>
      <c r="D171" s="325" t="s">
        <v>15</v>
      </c>
      <c r="E171" s="28" t="s">
        <v>27</v>
      </c>
      <c r="F171" s="30"/>
      <c r="G171" s="33"/>
      <c r="H171" s="33">
        <v>0</v>
      </c>
      <c r="I171" s="30"/>
      <c r="J171" s="30"/>
      <c r="K171" s="31"/>
      <c r="L171" s="31"/>
    </row>
    <row r="172" spans="1:18" ht="15" x14ac:dyDescent="0.2">
      <c r="A172" s="27">
        <v>3</v>
      </c>
      <c r="B172" s="27" t="s">
        <v>29</v>
      </c>
      <c r="C172" s="28" t="s">
        <v>38</v>
      </c>
      <c r="D172" s="325" t="s">
        <v>15</v>
      </c>
      <c r="E172" s="28" t="s">
        <v>37</v>
      </c>
      <c r="F172" s="30">
        <v>3.6145</v>
      </c>
      <c r="G172" s="307">
        <v>3.6470304999999996</v>
      </c>
      <c r="H172" s="281">
        <v>3.8454000000000002</v>
      </c>
      <c r="I172" s="30">
        <v>3.9297</v>
      </c>
      <c r="J172" s="30">
        <v>3.9297</v>
      </c>
      <c r="K172" s="281">
        <v>3.8454000000000002</v>
      </c>
      <c r="L172" s="281">
        <v>3.8454000000000002</v>
      </c>
    </row>
    <row r="173" spans="1:18" ht="15" x14ac:dyDescent="0.2">
      <c r="A173" s="27">
        <v>4</v>
      </c>
      <c r="B173" s="27" t="s">
        <v>49</v>
      </c>
      <c r="C173" s="28" t="s">
        <v>38</v>
      </c>
      <c r="D173" s="325" t="s">
        <v>15</v>
      </c>
      <c r="E173" s="28" t="s">
        <v>37</v>
      </c>
      <c r="F173" s="30"/>
      <c r="G173" s="33"/>
      <c r="H173" s="33"/>
      <c r="I173" s="30"/>
      <c r="J173" s="30"/>
      <c r="K173" s="33"/>
      <c r="L173" s="30"/>
    </row>
    <row r="174" spans="1:18" ht="15" x14ac:dyDescent="0.2">
      <c r="A174" s="27">
        <v>5</v>
      </c>
      <c r="B174" s="27" t="s">
        <v>231</v>
      </c>
      <c r="C174" s="28" t="s">
        <v>38</v>
      </c>
      <c r="D174" s="325" t="s">
        <v>15</v>
      </c>
      <c r="E174" s="28" t="s">
        <v>37</v>
      </c>
      <c r="F174" s="32"/>
      <c r="G174" s="304"/>
      <c r="H174" s="307">
        <v>-0.14117530117823188</v>
      </c>
      <c r="I174" s="30"/>
      <c r="J174" s="30"/>
      <c r="K174" s="307">
        <v>-0.14117530117823188</v>
      </c>
      <c r="L174" s="307">
        <f>AVERAGE(H174,K174)</f>
        <v>-0.14117530117823188</v>
      </c>
      <c r="N174" s="309" t="s">
        <v>187</v>
      </c>
    </row>
    <row r="175" spans="1:18" ht="15" x14ac:dyDescent="0.2">
      <c r="A175" s="27"/>
      <c r="B175" s="27" t="s">
        <v>231</v>
      </c>
      <c r="C175" s="28" t="s">
        <v>38</v>
      </c>
      <c r="D175" s="325" t="s">
        <v>15</v>
      </c>
      <c r="E175" s="28" t="s">
        <v>27</v>
      </c>
      <c r="F175" s="32"/>
      <c r="G175" s="304"/>
      <c r="H175" s="304"/>
      <c r="I175" s="30"/>
      <c r="J175" s="30"/>
      <c r="K175" s="304"/>
      <c r="L175" s="32"/>
    </row>
    <row r="176" spans="1:18" ht="15" x14ac:dyDescent="0.2">
      <c r="A176" s="27"/>
      <c r="B176" s="27" t="s">
        <v>231</v>
      </c>
      <c r="C176" s="28" t="s">
        <v>38</v>
      </c>
      <c r="D176" s="325" t="s">
        <v>15</v>
      </c>
      <c r="E176" s="28" t="s">
        <v>37</v>
      </c>
      <c r="F176" s="32"/>
      <c r="G176" s="304"/>
      <c r="H176" s="304"/>
      <c r="I176" s="30"/>
      <c r="J176" s="30"/>
      <c r="K176" s="304"/>
      <c r="L176" s="304"/>
    </row>
    <row r="177" spans="1:14" ht="15" x14ac:dyDescent="0.2">
      <c r="A177" s="27">
        <v>6</v>
      </c>
      <c r="B177" s="27" t="s">
        <v>231</v>
      </c>
      <c r="C177" s="28" t="s">
        <v>38</v>
      </c>
      <c r="D177" s="325" t="s">
        <v>15</v>
      </c>
      <c r="E177" s="28" t="s">
        <v>27</v>
      </c>
      <c r="F177" s="30"/>
      <c r="G177" s="33"/>
      <c r="H177" s="33"/>
      <c r="I177" s="30"/>
      <c r="J177" s="30"/>
      <c r="K177" s="33"/>
      <c r="L177" s="30"/>
    </row>
    <row r="178" spans="1:14" ht="15" x14ac:dyDescent="0.2">
      <c r="A178" s="27">
        <v>7</v>
      </c>
      <c r="B178" s="27" t="s">
        <v>48</v>
      </c>
      <c r="C178" s="28" t="s">
        <v>38</v>
      </c>
      <c r="D178" s="325" t="s">
        <v>15</v>
      </c>
      <c r="E178" s="28" t="s">
        <v>37</v>
      </c>
      <c r="F178" s="33"/>
      <c r="G178" s="33"/>
      <c r="H178" s="307">
        <v>7.282843324020509E-2</v>
      </c>
      <c r="I178" s="33">
        <v>4.4000000000000003E-3</v>
      </c>
      <c r="J178" s="30"/>
      <c r="K178" s="307">
        <v>7.282843324020509E-2</v>
      </c>
      <c r="L178" s="307">
        <f>AVERAGE(H178,K178)</f>
        <v>7.282843324020509E-2</v>
      </c>
    </row>
    <row r="179" spans="1:14" ht="15" x14ac:dyDescent="0.2">
      <c r="A179" s="27"/>
      <c r="B179" s="27" t="s">
        <v>50</v>
      </c>
      <c r="C179" s="28" t="s">
        <v>38</v>
      </c>
      <c r="D179" s="325" t="s">
        <v>15</v>
      </c>
      <c r="E179" s="28" t="s">
        <v>27</v>
      </c>
      <c r="F179" s="33"/>
      <c r="G179" s="33"/>
      <c r="H179" s="33"/>
      <c r="I179" s="33"/>
      <c r="J179" s="30"/>
      <c r="K179" s="33"/>
      <c r="L179" s="33"/>
    </row>
    <row r="180" spans="1:14" ht="15" x14ac:dyDescent="0.2">
      <c r="A180" s="27"/>
      <c r="B180" s="27" t="s">
        <v>110</v>
      </c>
      <c r="C180" s="28" t="s">
        <v>38</v>
      </c>
      <c r="D180" s="325" t="s">
        <v>15</v>
      </c>
      <c r="E180" s="28" t="s">
        <v>27</v>
      </c>
      <c r="F180" s="33"/>
      <c r="G180" s="33"/>
      <c r="H180" s="33"/>
      <c r="I180" s="33"/>
      <c r="J180" s="30"/>
      <c r="K180" s="33"/>
      <c r="L180" s="33"/>
    </row>
    <row r="181" spans="1:14" ht="15" x14ac:dyDescent="0.2">
      <c r="A181" s="27">
        <v>8</v>
      </c>
      <c r="B181" s="27" t="s">
        <v>111</v>
      </c>
      <c r="C181" s="28" t="s">
        <v>38</v>
      </c>
      <c r="D181" s="325" t="s">
        <v>15</v>
      </c>
      <c r="E181" s="28" t="s">
        <v>37</v>
      </c>
      <c r="F181" s="30"/>
      <c r="G181" s="33"/>
      <c r="H181" s="33"/>
      <c r="I181" s="33"/>
      <c r="J181" s="30"/>
      <c r="K181" s="33"/>
      <c r="L181" s="30"/>
    </row>
    <row r="182" spans="1:14" ht="15" x14ac:dyDescent="0.2">
      <c r="A182" s="27">
        <v>8.1</v>
      </c>
      <c r="B182" s="27" t="s">
        <v>255</v>
      </c>
      <c r="C182" s="28" t="s">
        <v>38</v>
      </c>
      <c r="D182" s="325" t="s">
        <v>15</v>
      </c>
      <c r="E182" s="28" t="s">
        <v>37</v>
      </c>
      <c r="F182" s="30"/>
      <c r="G182" s="33"/>
      <c r="H182" s="33">
        <v>-0.10836892517016627</v>
      </c>
      <c r="I182" s="33"/>
      <c r="J182" s="30"/>
      <c r="K182" s="33">
        <v>-0.10836892517016627</v>
      </c>
      <c r="L182" s="33">
        <f>AVERAGE(H182,K182)</f>
        <v>-0.10836892517016627</v>
      </c>
    </row>
    <row r="183" spans="1:14" x14ac:dyDescent="0.2">
      <c r="A183" s="22">
        <v>9</v>
      </c>
      <c r="B183" s="22" t="s">
        <v>30</v>
      </c>
      <c r="C183" s="16" t="s">
        <v>38</v>
      </c>
      <c r="D183" s="323" t="s">
        <v>18</v>
      </c>
      <c r="E183" s="16" t="s">
        <v>37</v>
      </c>
      <c r="F183" s="17">
        <v>4.2099999999999999E-2</v>
      </c>
      <c r="G183" s="26">
        <v>4.2099999999999999E-2</v>
      </c>
      <c r="H183" s="285">
        <v>0.18090000000000001</v>
      </c>
      <c r="I183" s="17">
        <v>1.1222000000000001</v>
      </c>
      <c r="J183" s="307">
        <v>1.1222000000000001</v>
      </c>
      <c r="K183" s="285">
        <v>0.18090000000000001</v>
      </c>
      <c r="L183" s="285">
        <v>0.18090000000000001</v>
      </c>
    </row>
    <row r="184" spans="1:14" x14ac:dyDescent="0.2">
      <c r="A184" s="22">
        <v>10</v>
      </c>
      <c r="B184" s="22" t="s">
        <v>66</v>
      </c>
      <c r="C184" s="16" t="s">
        <v>38</v>
      </c>
      <c r="D184" s="323" t="s">
        <v>18</v>
      </c>
      <c r="E184" s="16" t="s">
        <v>27</v>
      </c>
      <c r="F184" s="24"/>
      <c r="G184" s="26"/>
      <c r="H184" s="26"/>
      <c r="I184" s="47"/>
      <c r="J184" s="47"/>
      <c r="K184" s="26"/>
      <c r="L184" s="26"/>
    </row>
    <row r="185" spans="1:14" x14ac:dyDescent="0.2">
      <c r="A185" s="22">
        <v>12</v>
      </c>
      <c r="B185" s="22" t="s">
        <v>65</v>
      </c>
      <c r="C185" s="16" t="s">
        <v>38</v>
      </c>
      <c r="D185" s="323" t="s">
        <v>18</v>
      </c>
      <c r="E185" s="16" t="s">
        <v>37</v>
      </c>
      <c r="F185" s="26"/>
      <c r="G185" s="26"/>
      <c r="H185" s="307">
        <v>7.7022646877985754E-2</v>
      </c>
      <c r="I185" s="25"/>
      <c r="J185" s="47"/>
      <c r="K185" s="307">
        <v>7.7022646877985754E-2</v>
      </c>
      <c r="L185" s="307">
        <f>AVERAGE(H185,K185)</f>
        <v>7.7022646877985754E-2</v>
      </c>
      <c r="N185" s="309" t="s">
        <v>186</v>
      </c>
    </row>
    <row r="186" spans="1:14" x14ac:dyDescent="0.2">
      <c r="A186" s="22">
        <v>12</v>
      </c>
      <c r="B186" s="22" t="s">
        <v>65</v>
      </c>
      <c r="C186" s="16" t="s">
        <v>38</v>
      </c>
      <c r="D186" s="323" t="s">
        <v>18</v>
      </c>
      <c r="E186" s="16" t="s">
        <v>37</v>
      </c>
      <c r="F186" s="17"/>
      <c r="G186" s="26"/>
      <c r="H186" s="26"/>
      <c r="I186" s="17"/>
      <c r="J186" s="47"/>
      <c r="K186" s="26"/>
      <c r="L186" s="26"/>
    </row>
    <row r="187" spans="1:14" x14ac:dyDescent="0.2">
      <c r="A187" s="22">
        <v>13</v>
      </c>
      <c r="B187" s="22" t="s">
        <v>45</v>
      </c>
      <c r="C187" s="16" t="s">
        <v>38</v>
      </c>
      <c r="D187" s="323" t="s">
        <v>18</v>
      </c>
      <c r="E187" s="16" t="s">
        <v>37</v>
      </c>
      <c r="F187" s="26"/>
      <c r="G187" s="307">
        <v>-0.39842107158418288</v>
      </c>
      <c r="H187" s="307">
        <v>-0.61247752516478926</v>
      </c>
      <c r="I187" s="24"/>
      <c r="J187" s="307">
        <v>-2.8760694640552322</v>
      </c>
      <c r="K187" s="307">
        <v>-0.61247752516478926</v>
      </c>
      <c r="L187" s="307">
        <f>AVERAGE(H187,K187)</f>
        <v>-0.61247752516478926</v>
      </c>
    </row>
    <row r="188" spans="1:14" ht="28.5" x14ac:dyDescent="0.2">
      <c r="A188" s="22">
        <v>14</v>
      </c>
      <c r="B188" s="22" t="s">
        <v>46</v>
      </c>
      <c r="C188" s="16" t="s">
        <v>38</v>
      </c>
      <c r="D188" s="323" t="s">
        <v>18</v>
      </c>
      <c r="E188" s="16" t="s">
        <v>37</v>
      </c>
      <c r="F188" s="26"/>
      <c r="G188" s="307">
        <v>-2.2353997609561107</v>
      </c>
      <c r="H188" s="307">
        <v>-0.1166961875706015</v>
      </c>
      <c r="I188" s="17"/>
      <c r="J188" s="26"/>
      <c r="K188" s="26"/>
      <c r="L188" s="307">
        <f>AVERAGE(H188,K188)</f>
        <v>-0.1166961875706015</v>
      </c>
      <c r="N188" s="309" t="s">
        <v>196</v>
      </c>
    </row>
    <row r="189" spans="1:14" x14ac:dyDescent="0.2">
      <c r="A189" s="22">
        <v>15</v>
      </c>
      <c r="B189" s="22" t="s">
        <v>47</v>
      </c>
      <c r="C189" s="16" t="s">
        <v>38</v>
      </c>
      <c r="D189" s="323" t="s">
        <v>18</v>
      </c>
      <c r="E189" s="16" t="s">
        <v>13</v>
      </c>
      <c r="F189" s="26"/>
      <c r="G189" s="307">
        <v>3.3E-3</v>
      </c>
      <c r="H189" s="307">
        <v>3.8449181889326281E-4</v>
      </c>
      <c r="I189" s="24"/>
      <c r="J189" s="307">
        <v>1.4200000000000001E-2</v>
      </c>
      <c r="K189" s="307">
        <v>3.8449181889326281E-4</v>
      </c>
      <c r="L189" s="307">
        <f>AVERAGE(H189,K189)</f>
        <v>3.8449181889326281E-4</v>
      </c>
    </row>
    <row r="190" spans="1:14" ht="28.5" x14ac:dyDescent="0.2">
      <c r="A190" s="22">
        <v>27</v>
      </c>
      <c r="B190" s="22" t="s">
        <v>260</v>
      </c>
      <c r="C190" s="16" t="s">
        <v>38</v>
      </c>
      <c r="D190" s="323" t="s">
        <v>18</v>
      </c>
      <c r="E190" s="16" t="s">
        <v>37</v>
      </c>
      <c r="F190" s="17"/>
      <c r="G190" s="307">
        <v>0.1709</v>
      </c>
      <c r="H190" s="26">
        <v>1.5235690482471663E-3</v>
      </c>
      <c r="I190" s="24"/>
      <c r="J190" s="26"/>
      <c r="K190" s="26">
        <v>1.5235690482471663E-3</v>
      </c>
      <c r="L190" s="26">
        <v>1.5235690482471663E-3</v>
      </c>
    </row>
    <row r="191" spans="1:14" ht="15" x14ac:dyDescent="0.2">
      <c r="A191" s="18">
        <v>16</v>
      </c>
      <c r="B191" s="18" t="s">
        <v>31</v>
      </c>
      <c r="C191" s="14" t="s">
        <v>38</v>
      </c>
      <c r="D191" s="324" t="s">
        <v>16</v>
      </c>
      <c r="E191" s="14" t="s">
        <v>37</v>
      </c>
      <c r="F191" s="15">
        <v>3.0011000000000001</v>
      </c>
      <c r="G191" s="307">
        <v>2.5491000000000001</v>
      </c>
      <c r="H191" s="307">
        <v>2.3620195199576757</v>
      </c>
      <c r="I191" s="307">
        <v>2.3694000000000002</v>
      </c>
      <c r="J191" s="307">
        <v>2.3643999999999998</v>
      </c>
      <c r="K191" s="307">
        <v>2.3620195199576757</v>
      </c>
      <c r="L191" s="307">
        <f>AVERAGE(H191,K191)</f>
        <v>2.3620195199576757</v>
      </c>
    </row>
    <row r="192" spans="1:14" ht="28.5" x14ac:dyDescent="0.2">
      <c r="A192" s="18">
        <v>17</v>
      </c>
      <c r="B192" s="18" t="s">
        <v>32</v>
      </c>
      <c r="C192" s="14" t="s">
        <v>38</v>
      </c>
      <c r="D192" s="324" t="s">
        <v>16</v>
      </c>
      <c r="E192" s="14" t="s">
        <v>37</v>
      </c>
      <c r="F192" s="15">
        <v>2.0047000000000001</v>
      </c>
      <c r="G192" s="307">
        <v>1.9499</v>
      </c>
      <c r="H192" s="307">
        <v>1.796393227715454</v>
      </c>
      <c r="I192" s="307">
        <v>1.2301</v>
      </c>
      <c r="J192" s="307">
        <v>1.2948999999999999</v>
      </c>
      <c r="K192" s="307">
        <v>1.796393227715454</v>
      </c>
      <c r="L192" s="307">
        <f>AVERAGE(G192,J192)</f>
        <v>1.6223999999999998</v>
      </c>
    </row>
    <row r="193" spans="1:14" ht="15" x14ac:dyDescent="0.2">
      <c r="A193" s="27">
        <v>1</v>
      </c>
      <c r="B193" s="27" t="s">
        <v>26</v>
      </c>
      <c r="C193" s="28" t="s">
        <v>39</v>
      </c>
      <c r="D193" s="325" t="s">
        <v>15</v>
      </c>
      <c r="E193" s="28" t="s">
        <v>27</v>
      </c>
      <c r="F193" s="30">
        <v>8896</v>
      </c>
      <c r="G193" s="314">
        <v>8976.0639999999985</v>
      </c>
      <c r="H193" s="280">
        <v>9388.0499999999993</v>
      </c>
      <c r="I193" s="33"/>
      <c r="J193" s="33"/>
      <c r="K193" s="33"/>
      <c r="L193" s="280">
        <v>9388.0499999999993</v>
      </c>
    </row>
    <row r="194" spans="1:14" ht="15" x14ac:dyDescent="0.2">
      <c r="A194" s="27">
        <v>2</v>
      </c>
      <c r="B194" s="27" t="s">
        <v>49</v>
      </c>
      <c r="C194" s="28" t="s">
        <v>39</v>
      </c>
      <c r="D194" s="325" t="s">
        <v>15</v>
      </c>
      <c r="E194" s="28" t="s">
        <v>27</v>
      </c>
      <c r="F194" s="30"/>
      <c r="G194" s="33"/>
      <c r="H194" s="33">
        <v>0</v>
      </c>
      <c r="I194" s="33"/>
      <c r="J194" s="33"/>
      <c r="K194" s="33"/>
      <c r="L194" s="31"/>
    </row>
    <row r="195" spans="1:14" ht="15" x14ac:dyDescent="0.2">
      <c r="A195" s="27">
        <v>3</v>
      </c>
      <c r="B195" s="27" t="s">
        <v>29</v>
      </c>
      <c r="C195" s="28" t="s">
        <v>39</v>
      </c>
      <c r="D195" s="325" t="s">
        <v>15</v>
      </c>
      <c r="E195" s="28" t="s">
        <v>37</v>
      </c>
      <c r="F195" s="30">
        <v>2.4704000000000002</v>
      </c>
      <c r="G195" s="307">
        <v>2.4926336</v>
      </c>
      <c r="H195" s="281">
        <v>2.2631999999999999</v>
      </c>
      <c r="I195" s="33"/>
      <c r="J195" s="33"/>
      <c r="K195" s="33"/>
      <c r="L195" s="281">
        <v>2.2631999999999999</v>
      </c>
    </row>
    <row r="196" spans="1:14" ht="15" x14ac:dyDescent="0.2">
      <c r="A196" s="27">
        <v>4</v>
      </c>
      <c r="B196" s="27" t="s">
        <v>49</v>
      </c>
      <c r="C196" s="28" t="s">
        <v>39</v>
      </c>
      <c r="D196" s="325" t="s">
        <v>15</v>
      </c>
      <c r="E196" s="28" t="s">
        <v>37</v>
      </c>
      <c r="F196" s="30"/>
      <c r="G196" s="33"/>
      <c r="H196" s="33"/>
      <c r="I196" s="33"/>
      <c r="J196" s="33"/>
      <c r="K196" s="33"/>
      <c r="L196" s="30"/>
    </row>
    <row r="197" spans="1:14" ht="15" x14ac:dyDescent="0.2">
      <c r="A197" s="27">
        <v>5</v>
      </c>
      <c r="B197" s="27" t="s">
        <v>231</v>
      </c>
      <c r="C197" s="28" t="s">
        <v>39</v>
      </c>
      <c r="D197" s="325" t="s">
        <v>15</v>
      </c>
      <c r="E197" s="28" t="s">
        <v>37</v>
      </c>
      <c r="F197" s="32"/>
      <c r="G197" s="304"/>
      <c r="H197" s="307">
        <v>-0.12235869011495178</v>
      </c>
      <c r="I197" s="33"/>
      <c r="J197" s="304"/>
      <c r="K197" s="304"/>
      <c r="L197" s="307">
        <f>AVERAGE(H197,K197)</f>
        <v>-0.12235869011495178</v>
      </c>
      <c r="N197" s="309" t="s">
        <v>193</v>
      </c>
    </row>
    <row r="198" spans="1:14" ht="15" x14ac:dyDescent="0.2">
      <c r="A198" s="27">
        <v>6</v>
      </c>
      <c r="B198" s="27" t="s">
        <v>231</v>
      </c>
      <c r="C198" s="28" t="s">
        <v>39</v>
      </c>
      <c r="D198" s="325" t="s">
        <v>15</v>
      </c>
      <c r="E198" s="28" t="s">
        <v>27</v>
      </c>
      <c r="F198" s="30"/>
      <c r="G198" s="33"/>
      <c r="H198" s="33"/>
      <c r="I198" s="33"/>
      <c r="J198" s="33"/>
      <c r="K198" s="33"/>
      <c r="L198" s="30"/>
    </row>
    <row r="199" spans="1:14" ht="15" x14ac:dyDescent="0.2">
      <c r="A199" s="27"/>
      <c r="B199" s="27" t="s">
        <v>231</v>
      </c>
      <c r="C199" s="28" t="s">
        <v>39</v>
      </c>
      <c r="D199" s="325" t="s">
        <v>15</v>
      </c>
      <c r="E199" s="28" t="s">
        <v>37</v>
      </c>
      <c r="F199" s="30"/>
      <c r="G199" s="33"/>
      <c r="H199" s="33"/>
      <c r="I199" s="33"/>
      <c r="J199" s="33"/>
      <c r="K199" s="33"/>
      <c r="L199" s="30"/>
    </row>
    <row r="200" spans="1:14" ht="15" x14ac:dyDescent="0.2">
      <c r="A200" s="27"/>
      <c r="B200" s="27" t="s">
        <v>231</v>
      </c>
      <c r="C200" s="28" t="s">
        <v>39</v>
      </c>
      <c r="D200" s="325" t="s">
        <v>15</v>
      </c>
      <c r="E200" s="28" t="s">
        <v>27</v>
      </c>
      <c r="F200" s="30"/>
      <c r="G200" s="33"/>
      <c r="H200" s="33"/>
      <c r="I200" s="33"/>
      <c r="J200" s="33"/>
      <c r="K200" s="33"/>
      <c r="L200" s="30"/>
    </row>
    <row r="201" spans="1:14" ht="15" x14ac:dyDescent="0.2">
      <c r="A201" s="27"/>
      <c r="B201" s="27" t="s">
        <v>48</v>
      </c>
      <c r="C201" s="28" t="s">
        <v>39</v>
      </c>
      <c r="D201" s="325" t="s">
        <v>15</v>
      </c>
      <c r="E201" s="28" t="s">
        <v>37</v>
      </c>
      <c r="F201" s="30"/>
      <c r="G201" s="33"/>
      <c r="H201" s="307">
        <v>0.82632388084328812</v>
      </c>
      <c r="I201" s="33"/>
      <c r="J201" s="33"/>
      <c r="K201" s="33"/>
      <c r="L201" s="307">
        <f>AVERAGE(H201,K201)</f>
        <v>0.82632388084328812</v>
      </c>
      <c r="N201" s="309" t="s">
        <v>192</v>
      </c>
    </row>
    <row r="202" spans="1:14" ht="15" x14ac:dyDescent="0.2">
      <c r="A202" s="27"/>
      <c r="B202" s="27" t="s">
        <v>50</v>
      </c>
      <c r="C202" s="28" t="s">
        <v>39</v>
      </c>
      <c r="D202" s="325" t="s">
        <v>15</v>
      </c>
      <c r="E202" s="28" t="s">
        <v>27</v>
      </c>
      <c r="F202" s="30"/>
      <c r="G202" s="33"/>
      <c r="H202" s="33"/>
      <c r="I202" s="33"/>
      <c r="J202" s="33"/>
      <c r="K202" s="33"/>
      <c r="L202" s="30"/>
    </row>
    <row r="203" spans="1:14" ht="15" x14ac:dyDescent="0.2">
      <c r="A203" s="27">
        <v>7</v>
      </c>
      <c r="B203" s="27" t="s">
        <v>110</v>
      </c>
      <c r="C203" s="28" t="s">
        <v>39</v>
      </c>
      <c r="D203" s="325" t="s">
        <v>15</v>
      </c>
      <c r="E203" s="28" t="s">
        <v>37</v>
      </c>
      <c r="F203" s="33"/>
      <c r="G203" s="33"/>
      <c r="H203" s="33"/>
      <c r="I203" s="33"/>
      <c r="J203" s="33"/>
      <c r="K203" s="33"/>
      <c r="L203" s="33"/>
    </row>
    <row r="204" spans="1:14" ht="15" x14ac:dyDescent="0.2">
      <c r="A204" s="27">
        <v>8</v>
      </c>
      <c r="B204" s="27" t="s">
        <v>111</v>
      </c>
      <c r="C204" s="28" t="s">
        <v>39</v>
      </c>
      <c r="D204" s="325" t="s">
        <v>15</v>
      </c>
      <c r="E204" s="28" t="s">
        <v>37</v>
      </c>
      <c r="F204" s="30"/>
      <c r="G204" s="33"/>
      <c r="H204" s="33"/>
      <c r="I204" s="33"/>
      <c r="J204" s="33"/>
      <c r="K204" s="33"/>
      <c r="L204" s="30"/>
    </row>
    <row r="205" spans="1:14" ht="15" x14ac:dyDescent="0.2">
      <c r="A205" s="27">
        <v>8.1</v>
      </c>
      <c r="B205" s="27" t="s">
        <v>255</v>
      </c>
      <c r="C205" s="28" t="s">
        <v>39</v>
      </c>
      <c r="D205" s="325" t="s">
        <v>15</v>
      </c>
      <c r="E205" s="28" t="s">
        <v>37</v>
      </c>
      <c r="F205" s="30"/>
      <c r="G205" s="33"/>
      <c r="H205" s="33">
        <v>-9.3924851441814547E-2</v>
      </c>
      <c r="I205" s="33"/>
      <c r="J205" s="33"/>
      <c r="K205" s="33">
        <v>-9.3924851441814547E-2</v>
      </c>
      <c r="L205" s="33">
        <f>AVERAGE(H205,K205)</f>
        <v>-9.3924851441814547E-2</v>
      </c>
    </row>
    <row r="206" spans="1:14" x14ac:dyDescent="0.2">
      <c r="A206" s="22">
        <v>9</v>
      </c>
      <c r="B206" s="22" t="s">
        <v>30</v>
      </c>
      <c r="C206" s="16" t="s">
        <v>39</v>
      </c>
      <c r="D206" s="323" t="s">
        <v>18</v>
      </c>
      <c r="E206" s="16" t="s">
        <v>37</v>
      </c>
      <c r="F206" s="26">
        <v>4.2099999999999999E-2</v>
      </c>
      <c r="G206" s="26">
        <v>4.2099999999999999E-2</v>
      </c>
      <c r="H206" s="286">
        <v>0.18410000000000001</v>
      </c>
      <c r="I206" s="26"/>
      <c r="J206" s="26"/>
      <c r="K206" s="26"/>
      <c r="L206" s="286">
        <v>0.18410000000000001</v>
      </c>
    </row>
    <row r="207" spans="1:14" x14ac:dyDescent="0.2">
      <c r="A207" s="22">
        <v>10</v>
      </c>
      <c r="B207" s="22" t="s">
        <v>66</v>
      </c>
      <c r="C207" s="16" t="s">
        <v>39</v>
      </c>
      <c r="D207" s="323" t="s">
        <v>18</v>
      </c>
      <c r="E207" s="16" t="s">
        <v>27</v>
      </c>
      <c r="F207" s="48"/>
      <c r="G207" s="305"/>
      <c r="H207" s="305"/>
      <c r="I207" s="26"/>
      <c r="J207" s="305"/>
      <c r="K207" s="305"/>
      <c r="L207" s="48"/>
    </row>
    <row r="208" spans="1:14" x14ac:dyDescent="0.2">
      <c r="A208" s="22">
        <v>12</v>
      </c>
      <c r="B208" s="22" t="s">
        <v>65</v>
      </c>
      <c r="C208" s="16" t="s">
        <v>39</v>
      </c>
      <c r="D208" s="323" t="s">
        <v>18</v>
      </c>
      <c r="E208" s="16" t="s">
        <v>37</v>
      </c>
      <c r="F208" s="26"/>
      <c r="G208" s="26"/>
      <c r="H208" s="307">
        <v>5.7697168998086863E-2</v>
      </c>
      <c r="I208" s="26"/>
      <c r="J208" s="26"/>
      <c r="K208" s="26"/>
      <c r="L208" s="307">
        <f>AVERAGE(H208,K208)</f>
        <v>5.7697168998086863E-2</v>
      </c>
      <c r="N208" s="309" t="s">
        <v>198</v>
      </c>
    </row>
    <row r="209" spans="1:14" x14ac:dyDescent="0.2">
      <c r="A209" s="22">
        <v>12</v>
      </c>
      <c r="B209" s="22" t="s">
        <v>65</v>
      </c>
      <c r="C209" s="16" t="s">
        <v>39</v>
      </c>
      <c r="D209" s="323" t="s">
        <v>18</v>
      </c>
      <c r="E209" s="16" t="s">
        <v>37</v>
      </c>
      <c r="F209" s="26"/>
      <c r="G209" s="26"/>
      <c r="H209" s="26"/>
      <c r="I209" s="26"/>
      <c r="J209" s="26"/>
      <c r="K209" s="26"/>
      <c r="L209" s="26"/>
    </row>
    <row r="210" spans="1:14" x14ac:dyDescent="0.2">
      <c r="A210" s="22">
        <v>13</v>
      </c>
      <c r="B210" s="22" t="s">
        <v>45</v>
      </c>
      <c r="C210" s="16" t="s">
        <v>39</v>
      </c>
      <c r="D210" s="323" t="s">
        <v>18</v>
      </c>
      <c r="E210" s="16" t="s">
        <v>37</v>
      </c>
      <c r="F210" s="26"/>
      <c r="G210" s="307">
        <v>-2.5357339211051015</v>
      </c>
      <c r="H210" s="307">
        <v>-0.6351518578447588</v>
      </c>
      <c r="I210" s="26"/>
      <c r="J210" s="26"/>
      <c r="K210" s="26"/>
      <c r="L210" s="307">
        <f>AVERAGE(H210,K210)</f>
        <v>-0.6351518578447588</v>
      </c>
    </row>
    <row r="211" spans="1:14" ht="28.5" x14ac:dyDescent="0.2">
      <c r="A211" s="22">
        <v>14</v>
      </c>
      <c r="B211" s="22" t="s">
        <v>46</v>
      </c>
      <c r="C211" s="16" t="s">
        <v>39</v>
      </c>
      <c r="D211" s="323" t="s">
        <v>18</v>
      </c>
      <c r="E211" s="16" t="s">
        <v>37</v>
      </c>
      <c r="F211" s="26"/>
      <c r="G211" s="26"/>
      <c r="H211" s="26"/>
      <c r="I211" s="26"/>
      <c r="J211" s="26"/>
      <c r="K211" s="26"/>
      <c r="L211" s="26"/>
    </row>
    <row r="212" spans="1:14" x14ac:dyDescent="0.2">
      <c r="A212" s="22">
        <v>15</v>
      </c>
      <c r="B212" s="22" t="s">
        <v>47</v>
      </c>
      <c r="C212" s="16" t="s">
        <v>39</v>
      </c>
      <c r="D212" s="323" t="s">
        <v>18</v>
      </c>
      <c r="E212" s="16" t="s">
        <v>13</v>
      </c>
      <c r="F212" s="26"/>
      <c r="G212" s="307">
        <v>0</v>
      </c>
      <c r="H212" s="307">
        <v>3.8449181889326281E-4</v>
      </c>
      <c r="I212" s="26"/>
      <c r="J212" s="26"/>
      <c r="K212" s="26"/>
      <c r="L212" s="307">
        <f>AVERAGE(H212,K212)</f>
        <v>3.8449181889326281E-4</v>
      </c>
    </row>
    <row r="213" spans="1:14" ht="28.5" x14ac:dyDescent="0.2">
      <c r="A213" s="22">
        <v>27</v>
      </c>
      <c r="B213" s="22" t="s">
        <v>260</v>
      </c>
      <c r="C213" s="16" t="s">
        <v>39</v>
      </c>
      <c r="D213" s="323" t="s">
        <v>18</v>
      </c>
      <c r="E213" s="16" t="s">
        <v>37</v>
      </c>
      <c r="F213" s="17"/>
      <c r="G213" s="307">
        <v>0</v>
      </c>
      <c r="H213" s="26">
        <v>7.6323637167737674E-5</v>
      </c>
      <c r="I213" s="24"/>
      <c r="J213" s="26"/>
      <c r="K213" s="26">
        <v>7.6323637167737674E-5</v>
      </c>
      <c r="L213" s="26">
        <v>7.6323637167737674E-5</v>
      </c>
    </row>
    <row r="214" spans="1:14" ht="15" x14ac:dyDescent="0.2">
      <c r="A214" s="18">
        <v>16</v>
      </c>
      <c r="B214" s="18" t="s">
        <v>31</v>
      </c>
      <c r="C214" s="14" t="s">
        <v>39</v>
      </c>
      <c r="D214" s="324" t="s">
        <v>16</v>
      </c>
      <c r="E214" s="14" t="s">
        <v>37</v>
      </c>
      <c r="F214" s="34">
        <v>2.8439000000000001</v>
      </c>
      <c r="G214" s="307">
        <v>2.4156</v>
      </c>
      <c r="H214" s="307">
        <v>2.3100638640886344</v>
      </c>
      <c r="I214" s="34"/>
      <c r="J214" s="34"/>
      <c r="K214" s="34"/>
      <c r="L214" s="307">
        <f>AVERAGE(H214,K214)</f>
        <v>2.3100638640886344</v>
      </c>
      <c r="N214" s="309" t="s">
        <v>201</v>
      </c>
    </row>
    <row r="215" spans="1:14" ht="28.5" x14ac:dyDescent="0.2">
      <c r="A215" s="18">
        <v>17</v>
      </c>
      <c r="B215" s="18" t="s">
        <v>32</v>
      </c>
      <c r="C215" s="14" t="s">
        <v>39</v>
      </c>
      <c r="D215" s="324" t="s">
        <v>16</v>
      </c>
      <c r="E215" s="14" t="s">
        <v>37</v>
      </c>
      <c r="F215" s="34">
        <v>2.0406</v>
      </c>
      <c r="G215" s="307">
        <v>1.9849000000000001</v>
      </c>
      <c r="H215" s="307">
        <v>1.9584380219639073</v>
      </c>
      <c r="I215" s="34"/>
      <c r="J215" s="34"/>
      <c r="K215" s="34"/>
      <c r="L215" s="307">
        <f>AVERAGE(H215,K215)</f>
        <v>1.9584380219639073</v>
      </c>
      <c r="N215" s="309" t="s">
        <v>201</v>
      </c>
    </row>
    <row r="216" spans="1:14" ht="15" x14ac:dyDescent="0.2">
      <c r="A216" s="27">
        <v>1</v>
      </c>
      <c r="B216" s="27" t="s">
        <v>26</v>
      </c>
      <c r="C216" s="28" t="s">
        <v>11</v>
      </c>
      <c r="D216" s="325" t="s">
        <v>15</v>
      </c>
      <c r="E216" s="28" t="s">
        <v>27</v>
      </c>
      <c r="F216" s="29">
        <v>17.97</v>
      </c>
      <c r="G216" s="314">
        <v>21.350439999999999</v>
      </c>
      <c r="H216" s="280">
        <f>L216</f>
        <v>27.33</v>
      </c>
      <c r="I216" s="29">
        <v>19.95</v>
      </c>
      <c r="J216" s="314">
        <v>24.3</v>
      </c>
      <c r="K216" s="280">
        <v>27.33</v>
      </c>
      <c r="L216" s="280">
        <v>27.33</v>
      </c>
    </row>
    <row r="217" spans="1:14" ht="15" x14ac:dyDescent="0.2">
      <c r="A217" s="27">
        <v>2</v>
      </c>
      <c r="B217" s="27" t="s">
        <v>49</v>
      </c>
      <c r="C217" s="28" t="s">
        <v>11</v>
      </c>
      <c r="D217" s="325" t="s">
        <v>15</v>
      </c>
      <c r="E217" s="28" t="s">
        <v>27</v>
      </c>
      <c r="F217" s="31"/>
      <c r="G217" s="33"/>
      <c r="H217" s="33">
        <v>0</v>
      </c>
      <c r="I217" s="31"/>
      <c r="J217" s="33"/>
      <c r="K217" s="31"/>
      <c r="L217" s="31"/>
      <c r="M217" s="309"/>
    </row>
    <row r="218" spans="1:14" ht="15" x14ac:dyDescent="0.2">
      <c r="A218" s="27">
        <v>3</v>
      </c>
      <c r="B218" s="27" t="s">
        <v>29</v>
      </c>
      <c r="C218" s="28" t="s">
        <v>11</v>
      </c>
      <c r="D218" s="325" t="s">
        <v>15</v>
      </c>
      <c r="E218" s="28" t="s">
        <v>13</v>
      </c>
      <c r="F218" s="30">
        <v>9.1999999999999998E-3</v>
      </c>
      <c r="G218" s="307">
        <v>4.6413999999999995E-3</v>
      </c>
      <c r="H218" s="282">
        <v>0</v>
      </c>
      <c r="I218" s="30">
        <v>1.5800000000000002E-2</v>
      </c>
      <c r="J218" s="307">
        <v>5.3E-3</v>
      </c>
      <c r="K218" s="282">
        <v>0</v>
      </c>
      <c r="L218" s="282">
        <v>0</v>
      </c>
    </row>
    <row r="219" spans="1:14" ht="15" x14ac:dyDescent="0.2">
      <c r="A219" s="27">
        <v>4</v>
      </c>
      <c r="B219" s="27" t="s">
        <v>49</v>
      </c>
      <c r="C219" s="28" t="s">
        <v>11</v>
      </c>
      <c r="D219" s="325" t="s">
        <v>15</v>
      </c>
      <c r="E219" s="28" t="s">
        <v>13</v>
      </c>
      <c r="F219" s="32"/>
      <c r="G219" s="304"/>
      <c r="H219" s="304">
        <v>0</v>
      </c>
      <c r="I219" s="33"/>
      <c r="J219" s="304"/>
      <c r="K219" s="304"/>
      <c r="L219" s="32"/>
    </row>
    <row r="220" spans="1:14" ht="15" x14ac:dyDescent="0.2">
      <c r="A220" s="27">
        <v>5</v>
      </c>
      <c r="B220" s="27" t="s">
        <v>231</v>
      </c>
      <c r="C220" s="28" t="s">
        <v>11</v>
      </c>
      <c r="D220" s="325" t="s">
        <v>15</v>
      </c>
      <c r="E220" s="28" t="s">
        <v>27</v>
      </c>
      <c r="F220" s="31"/>
      <c r="G220" s="33"/>
      <c r="H220" s="307">
        <v>-0.2126511495947081</v>
      </c>
      <c r="I220" s="31"/>
      <c r="J220" s="33"/>
      <c r="K220" s="307">
        <v>-0.2126511495947081</v>
      </c>
      <c r="L220" s="307">
        <f>AVERAGE(H220,K220)</f>
        <v>-0.2126511495947081</v>
      </c>
      <c r="N220" s="309" t="s">
        <v>185</v>
      </c>
    </row>
    <row r="221" spans="1:14" ht="15" x14ac:dyDescent="0.2">
      <c r="A221" s="27">
        <v>5</v>
      </c>
      <c r="B221" s="27" t="s">
        <v>231</v>
      </c>
      <c r="C221" s="28" t="s">
        <v>11</v>
      </c>
      <c r="D221" s="325" t="s">
        <v>15</v>
      </c>
      <c r="E221" s="28" t="s">
        <v>13</v>
      </c>
      <c r="F221" s="32"/>
      <c r="G221" s="304"/>
      <c r="H221" s="304"/>
      <c r="I221" s="33"/>
      <c r="J221" s="304"/>
      <c r="K221" s="304"/>
      <c r="L221" s="32"/>
    </row>
    <row r="222" spans="1:14" ht="15" x14ac:dyDescent="0.2">
      <c r="A222" s="27">
        <v>5</v>
      </c>
      <c r="B222" s="27" t="s">
        <v>231</v>
      </c>
      <c r="C222" s="28" t="s">
        <v>11</v>
      </c>
      <c r="D222" s="325" t="s">
        <v>15</v>
      </c>
      <c r="E222" s="28" t="s">
        <v>27</v>
      </c>
      <c r="F222" s="31"/>
      <c r="G222" s="33"/>
      <c r="H222" s="33"/>
      <c r="I222" s="31"/>
      <c r="J222" s="33"/>
      <c r="K222" s="33"/>
      <c r="L222" s="33"/>
    </row>
    <row r="223" spans="1:14" ht="15" x14ac:dyDescent="0.2">
      <c r="A223" s="27">
        <v>6</v>
      </c>
      <c r="B223" s="27" t="s">
        <v>231</v>
      </c>
      <c r="C223" s="28" t="s">
        <v>11</v>
      </c>
      <c r="D223" s="325" t="s">
        <v>15</v>
      </c>
      <c r="E223" s="28" t="s">
        <v>13</v>
      </c>
      <c r="F223" s="32"/>
      <c r="G223" s="304"/>
      <c r="H223" s="304"/>
      <c r="I223" s="33"/>
      <c r="J223" s="304"/>
      <c r="K223" s="304"/>
      <c r="L223" s="304"/>
    </row>
    <row r="224" spans="1:14" ht="15" x14ac:dyDescent="0.2">
      <c r="A224" s="27">
        <v>7</v>
      </c>
      <c r="B224" s="27" t="s">
        <v>48</v>
      </c>
      <c r="C224" s="28" t="s">
        <v>11</v>
      </c>
      <c r="D224" s="325" t="s">
        <v>15</v>
      </c>
      <c r="E224" s="28" t="s">
        <v>13</v>
      </c>
      <c r="F224" s="32"/>
      <c r="G224" s="304"/>
      <c r="H224" s="308">
        <v>6.1978880186534072E-5</v>
      </c>
      <c r="I224" s="33">
        <v>5.0000000000000001E-4</v>
      </c>
      <c r="J224" s="304"/>
      <c r="K224" s="308">
        <v>6.1978880186534072E-5</v>
      </c>
      <c r="L224" s="307">
        <f>AVERAGE(H224,K224)</f>
        <v>6.1978880186534072E-5</v>
      </c>
    </row>
    <row r="225" spans="1:14" ht="15" x14ac:dyDescent="0.2">
      <c r="A225" s="44">
        <v>7.1</v>
      </c>
      <c r="B225" s="44" t="s">
        <v>230</v>
      </c>
      <c r="C225" s="28" t="s">
        <v>11</v>
      </c>
      <c r="D225" s="325" t="s">
        <v>15</v>
      </c>
      <c r="E225" s="28" t="s">
        <v>27</v>
      </c>
      <c r="F225" s="31"/>
      <c r="G225" s="33"/>
      <c r="H225" s="336">
        <v>0.25994789727448581</v>
      </c>
      <c r="I225" s="33">
        <v>1.75</v>
      </c>
      <c r="J225" s="304">
        <v>1.75</v>
      </c>
      <c r="K225" s="336">
        <v>0.25994789727448581</v>
      </c>
      <c r="L225" s="307">
        <f>AVERAGE(H225,K225)</f>
        <v>0.25994789727448581</v>
      </c>
      <c r="N225" s="309" t="s">
        <v>199</v>
      </c>
    </row>
    <row r="226" spans="1:14" ht="15" x14ac:dyDescent="0.2">
      <c r="A226" s="27">
        <v>8</v>
      </c>
      <c r="B226" s="27" t="s">
        <v>110</v>
      </c>
      <c r="C226" s="28" t="s">
        <v>11</v>
      </c>
      <c r="D226" s="325" t="s">
        <v>15</v>
      </c>
      <c r="E226" s="28" t="s">
        <v>27</v>
      </c>
      <c r="F226" s="31"/>
      <c r="G226" s="33"/>
      <c r="H226" s="33"/>
      <c r="I226" s="31"/>
      <c r="J226" s="33"/>
      <c r="K226" s="33"/>
      <c r="L226" s="31"/>
    </row>
    <row r="227" spans="1:14" ht="15" x14ac:dyDescent="0.2">
      <c r="A227" s="27">
        <v>8</v>
      </c>
      <c r="B227" s="27" t="s">
        <v>111</v>
      </c>
      <c r="C227" s="28" t="s">
        <v>11</v>
      </c>
      <c r="D227" s="325" t="s">
        <v>15</v>
      </c>
      <c r="E227" s="28" t="s">
        <v>13</v>
      </c>
      <c r="F227" s="32"/>
      <c r="G227" s="304"/>
      <c r="H227" s="304"/>
      <c r="I227" s="33"/>
      <c r="J227" s="304"/>
      <c r="K227" s="304"/>
      <c r="L227" s="32"/>
    </row>
    <row r="228" spans="1:14" ht="15" x14ac:dyDescent="0.2">
      <c r="A228" s="27">
        <v>8.1</v>
      </c>
      <c r="B228" s="27" t="s">
        <v>255</v>
      </c>
      <c r="C228" s="28" t="s">
        <v>11</v>
      </c>
      <c r="D228" s="325" t="s">
        <v>15</v>
      </c>
      <c r="E228" s="16" t="s">
        <v>202</v>
      </c>
      <c r="F228" s="17"/>
      <c r="G228" s="26"/>
      <c r="H228" s="307">
        <v>-0.16323570297172302</v>
      </c>
      <c r="I228" s="24"/>
      <c r="J228" s="24"/>
      <c r="K228" s="307">
        <v>-0.16323570297172302</v>
      </c>
      <c r="L228" s="307">
        <f>AVERAGE(H228,K228)</f>
        <v>-0.16323570297172302</v>
      </c>
    </row>
    <row r="229" spans="1:14" x14ac:dyDescent="0.2">
      <c r="A229" s="22">
        <v>9</v>
      </c>
      <c r="B229" s="22" t="s">
        <v>30</v>
      </c>
      <c r="C229" s="16" t="s">
        <v>11</v>
      </c>
      <c r="D229" s="323" t="s">
        <v>18</v>
      </c>
      <c r="E229" s="16" t="s">
        <v>13</v>
      </c>
      <c r="F229" s="26">
        <v>1E-4</v>
      </c>
      <c r="G229" s="26">
        <v>1E-4</v>
      </c>
      <c r="H229" s="283">
        <v>4.0000000000000002E-4</v>
      </c>
      <c r="I229" s="35">
        <v>2.3999999999999998E-3</v>
      </c>
      <c r="J229" s="26">
        <v>2.3999999999999998E-3</v>
      </c>
      <c r="K229" s="283">
        <v>4.0000000000000002E-4</v>
      </c>
      <c r="L229" s="283">
        <v>4.0000000000000002E-4</v>
      </c>
    </row>
    <row r="230" spans="1:14" x14ac:dyDescent="0.2">
      <c r="A230" s="22">
        <v>10</v>
      </c>
      <c r="B230" s="22" t="s">
        <v>66</v>
      </c>
      <c r="C230" s="16" t="s">
        <v>11</v>
      </c>
      <c r="D230" s="323" t="s">
        <v>18</v>
      </c>
      <c r="E230" s="16" t="s">
        <v>27</v>
      </c>
      <c r="F230" s="24"/>
      <c r="G230" s="26"/>
      <c r="H230" s="26"/>
      <c r="I230" s="26"/>
      <c r="J230" s="26"/>
      <c r="K230" s="26"/>
      <c r="L230" s="26"/>
    </row>
    <row r="231" spans="1:14" ht="28.5" x14ac:dyDescent="0.2">
      <c r="A231" s="22">
        <v>11</v>
      </c>
      <c r="B231" s="22" t="s">
        <v>28</v>
      </c>
      <c r="C231" s="16" t="s">
        <v>11</v>
      </c>
      <c r="D231" s="323" t="s">
        <v>18</v>
      </c>
      <c r="E231" s="16" t="s">
        <v>27</v>
      </c>
      <c r="F231" s="24">
        <v>0.79</v>
      </c>
      <c r="G231" s="307">
        <v>0.56999999999999995</v>
      </c>
      <c r="H231" s="307">
        <v>0.56999999999999995</v>
      </c>
      <c r="I231" s="307">
        <v>0.79</v>
      </c>
      <c r="J231" s="307">
        <v>0.56999999999999995</v>
      </c>
      <c r="K231" s="307">
        <v>0.56999999999999995</v>
      </c>
      <c r="L231" s="307">
        <f t="shared" ref="L231:L233" si="0">AVERAGE(H231,K231)</f>
        <v>0.56999999999999995</v>
      </c>
    </row>
    <row r="232" spans="1:14" x14ac:dyDescent="0.2">
      <c r="A232" s="22">
        <v>12</v>
      </c>
      <c r="B232" s="22" t="s">
        <v>65</v>
      </c>
      <c r="C232" s="16" t="s">
        <v>11</v>
      </c>
      <c r="D232" s="323" t="s">
        <v>18</v>
      </c>
      <c r="E232" s="16" t="s">
        <v>202</v>
      </c>
      <c r="F232" s="25"/>
      <c r="G232" s="305"/>
      <c r="H232" s="307">
        <v>0.69826111473472707</v>
      </c>
      <c r="I232" s="26"/>
      <c r="J232" s="305"/>
      <c r="K232" s="307">
        <v>0.69826111473472707</v>
      </c>
      <c r="L232" s="307">
        <f t="shared" si="0"/>
        <v>0.69826111473472707</v>
      </c>
      <c r="N232" s="309" t="s">
        <v>186</v>
      </c>
    </row>
    <row r="233" spans="1:14" x14ac:dyDescent="0.2">
      <c r="A233" s="22">
        <v>13</v>
      </c>
      <c r="B233" s="22" t="s">
        <v>45</v>
      </c>
      <c r="C233" s="16" t="s">
        <v>11</v>
      </c>
      <c r="D233" s="323" t="s">
        <v>18</v>
      </c>
      <c r="E233" s="16" t="s">
        <v>13</v>
      </c>
      <c r="F233" s="23"/>
      <c r="G233" s="307">
        <v>-6.268366589161683E-3</v>
      </c>
      <c r="H233" s="307">
        <v>-1.7004562090666019E-3</v>
      </c>
      <c r="I233" s="25"/>
      <c r="J233" s="307">
        <v>-6.4739169462600422E-3</v>
      </c>
      <c r="K233" s="307">
        <v>-1.7004562090666019E-3</v>
      </c>
      <c r="L233" s="307">
        <f t="shared" si="0"/>
        <v>-1.7004562090666019E-3</v>
      </c>
    </row>
    <row r="234" spans="1:14" ht="28.5" x14ac:dyDescent="0.2">
      <c r="A234" s="22">
        <v>14</v>
      </c>
      <c r="B234" s="22" t="s">
        <v>46</v>
      </c>
      <c r="C234" s="16" t="s">
        <v>11</v>
      </c>
      <c r="D234" s="323" t="s">
        <v>18</v>
      </c>
      <c r="E234" s="16" t="s">
        <v>13</v>
      </c>
      <c r="F234" s="25"/>
      <c r="G234" s="305"/>
      <c r="H234" s="305"/>
      <c r="I234" s="25"/>
      <c r="J234" s="305"/>
      <c r="K234" s="305"/>
      <c r="L234" s="305"/>
    </row>
    <row r="235" spans="1:14" x14ac:dyDescent="0.2">
      <c r="A235" s="22">
        <v>15</v>
      </c>
      <c r="B235" s="22" t="s">
        <v>47</v>
      </c>
      <c r="C235" s="16" t="s">
        <v>11</v>
      </c>
      <c r="D235" s="323" t="s">
        <v>18</v>
      </c>
      <c r="E235" s="16" t="s">
        <v>13</v>
      </c>
      <c r="F235" s="25"/>
      <c r="G235" s="308">
        <v>3.3E-3</v>
      </c>
      <c r="H235" s="308">
        <v>3.8449181889326281E-4</v>
      </c>
      <c r="I235" s="25"/>
      <c r="J235" s="308">
        <v>1.4200000000000001E-2</v>
      </c>
      <c r="K235" s="308">
        <v>3.8449181889326281E-4</v>
      </c>
      <c r="L235" s="307">
        <f>AVERAGE(H235,K235)</f>
        <v>3.8449181889326281E-4</v>
      </c>
    </row>
    <row r="236" spans="1:14" ht="28.5" x14ac:dyDescent="0.2">
      <c r="A236" s="22">
        <v>27</v>
      </c>
      <c r="B236" s="22" t="s">
        <v>260</v>
      </c>
      <c r="C236" s="16" t="s">
        <v>11</v>
      </c>
      <c r="D236" s="323" t="s">
        <v>18</v>
      </c>
      <c r="E236" s="16" t="s">
        <v>13</v>
      </c>
      <c r="F236" s="17"/>
      <c r="G236" s="307">
        <v>4.0000000000000002E-4</v>
      </c>
      <c r="H236" s="26">
        <v>4.9568533837617714E-6</v>
      </c>
      <c r="I236" s="24"/>
      <c r="J236" s="26"/>
      <c r="K236" s="26">
        <v>4.9568533837617714E-6</v>
      </c>
      <c r="L236" s="26">
        <v>4.9568533837617714E-6</v>
      </c>
    </row>
    <row r="237" spans="1:14" ht="15" x14ac:dyDescent="0.2">
      <c r="A237" s="18">
        <v>16</v>
      </c>
      <c r="B237" s="18" t="s">
        <v>31</v>
      </c>
      <c r="C237" s="14" t="s">
        <v>11</v>
      </c>
      <c r="D237" s="324" t="s">
        <v>16</v>
      </c>
      <c r="E237" s="14" t="s">
        <v>13</v>
      </c>
      <c r="F237" s="15">
        <v>6.8999999999999999E-3</v>
      </c>
      <c r="G237" s="307">
        <v>5.8999999999999999E-3</v>
      </c>
      <c r="H237" s="308">
        <v>5.5481168316355673E-3</v>
      </c>
      <c r="I237" s="15">
        <v>6.1000000000000004E-3</v>
      </c>
      <c r="J237" s="307">
        <v>6.1000000000000004E-3</v>
      </c>
      <c r="K237" s="308">
        <v>5.5481168316355673E-3</v>
      </c>
      <c r="L237" s="307">
        <f>AVERAGE(H237,K237)</f>
        <v>5.5481168316355673E-3</v>
      </c>
    </row>
    <row r="238" spans="1:14" ht="28.5" x14ac:dyDescent="0.2">
      <c r="A238" s="18">
        <v>17</v>
      </c>
      <c r="B238" s="18" t="s">
        <v>32</v>
      </c>
      <c r="C238" s="14" t="s">
        <v>11</v>
      </c>
      <c r="D238" s="324" t="s">
        <v>16</v>
      </c>
      <c r="E238" s="14" t="s">
        <v>13</v>
      </c>
      <c r="F238" s="15">
        <v>4.4999999999999997E-3</v>
      </c>
      <c r="G238" s="307">
        <v>4.4000000000000003E-3</v>
      </c>
      <c r="H238" s="308">
        <v>4.137812914852752E-3</v>
      </c>
      <c r="I238" s="15">
        <v>3.0999999999999999E-3</v>
      </c>
      <c r="J238" s="307">
        <v>3.3E-3</v>
      </c>
      <c r="K238" s="308">
        <v>4.137812914852752E-3</v>
      </c>
      <c r="L238" s="307">
        <f>AVERAGE(H238,K238)</f>
        <v>4.137812914852752E-3</v>
      </c>
    </row>
    <row r="239" spans="1:14" ht="15" x14ac:dyDescent="0.2">
      <c r="A239" s="27">
        <v>1</v>
      </c>
      <c r="B239" s="27" t="s">
        <v>26</v>
      </c>
      <c r="C239" s="28" t="s">
        <v>55</v>
      </c>
      <c r="D239" s="325" t="s">
        <v>15</v>
      </c>
      <c r="E239" s="28" t="s">
        <v>41</v>
      </c>
      <c r="F239" s="30"/>
      <c r="G239" s="33"/>
      <c r="H239" s="30"/>
      <c r="I239" s="30">
        <v>2.04</v>
      </c>
      <c r="J239" s="314">
        <v>2.04</v>
      </c>
      <c r="K239" s="280">
        <v>2.8483000000000001</v>
      </c>
      <c r="L239" s="280">
        <v>2.8483000000000001</v>
      </c>
    </row>
    <row r="240" spans="1:14" ht="15" x14ac:dyDescent="0.2">
      <c r="A240" s="27">
        <v>2</v>
      </c>
      <c r="B240" s="27" t="s">
        <v>49</v>
      </c>
      <c r="C240" s="28" t="s">
        <v>55</v>
      </c>
      <c r="D240" s="325" t="s">
        <v>15</v>
      </c>
      <c r="E240" s="28" t="s">
        <v>41</v>
      </c>
      <c r="F240" s="32"/>
      <c r="G240" s="304"/>
      <c r="H240" s="304"/>
      <c r="I240" s="33"/>
      <c r="J240" s="304"/>
      <c r="K240" s="31"/>
      <c r="L240" s="31"/>
    </row>
    <row r="241" spans="1:14" ht="15" x14ac:dyDescent="0.2">
      <c r="A241" s="27">
        <v>3</v>
      </c>
      <c r="B241" s="27" t="s">
        <v>29</v>
      </c>
      <c r="C241" s="28" t="s">
        <v>55</v>
      </c>
      <c r="D241" s="325" t="s">
        <v>15</v>
      </c>
      <c r="E241" s="28" t="s">
        <v>37</v>
      </c>
      <c r="F241" s="30"/>
      <c r="G241" s="33"/>
      <c r="H241" s="33"/>
      <c r="I241" s="30">
        <v>30.502800000000001</v>
      </c>
      <c r="J241" s="307">
        <v>30.502800000000001</v>
      </c>
      <c r="K241" s="281">
        <v>42.588200000000001</v>
      </c>
      <c r="L241" s="281">
        <v>42.588200000000001</v>
      </c>
    </row>
    <row r="242" spans="1:14" ht="15" x14ac:dyDescent="0.2">
      <c r="A242" s="27">
        <v>4</v>
      </c>
      <c r="B242" s="27" t="s">
        <v>49</v>
      </c>
      <c r="C242" s="28" t="s">
        <v>55</v>
      </c>
      <c r="D242" s="325" t="s">
        <v>15</v>
      </c>
      <c r="E242" s="28" t="s">
        <v>37</v>
      </c>
      <c r="F242" s="32"/>
      <c r="G242" s="304"/>
      <c r="H242" s="304"/>
      <c r="I242" s="33"/>
      <c r="J242" s="304"/>
      <c r="K242" s="304"/>
      <c r="L242" s="32"/>
    </row>
    <row r="243" spans="1:14" ht="15" x14ac:dyDescent="0.2">
      <c r="A243" s="27">
        <v>5</v>
      </c>
      <c r="B243" s="27" t="s">
        <v>231</v>
      </c>
      <c r="C243" s="28" t="s">
        <v>55</v>
      </c>
      <c r="D243" s="325" t="s">
        <v>15</v>
      </c>
      <c r="E243" s="28" t="s">
        <v>41</v>
      </c>
      <c r="F243" s="32"/>
      <c r="G243" s="304"/>
      <c r="H243" s="304"/>
      <c r="I243" s="33"/>
      <c r="J243" s="304"/>
      <c r="K243" s="304"/>
      <c r="L243" s="32"/>
    </row>
    <row r="244" spans="1:14" ht="15" x14ac:dyDescent="0.2">
      <c r="A244" s="27"/>
      <c r="B244" s="27" t="s">
        <v>231</v>
      </c>
      <c r="C244" s="28" t="s">
        <v>55</v>
      </c>
      <c r="D244" s="325" t="s">
        <v>15</v>
      </c>
      <c r="E244" s="28" t="s">
        <v>37</v>
      </c>
      <c r="F244" s="32"/>
      <c r="G244" s="304"/>
      <c r="H244" s="304"/>
      <c r="I244" s="33"/>
      <c r="J244" s="304"/>
      <c r="K244" s="307">
        <v>-0.11897132974961576</v>
      </c>
      <c r="L244" s="307">
        <f>AVERAGE(H244,K244)</f>
        <v>-0.11897132974961576</v>
      </c>
      <c r="N244" s="309" t="s">
        <v>195</v>
      </c>
    </row>
    <row r="245" spans="1:14" ht="15" x14ac:dyDescent="0.2">
      <c r="A245" s="27"/>
      <c r="B245" s="27" t="s">
        <v>231</v>
      </c>
      <c r="C245" s="28" t="s">
        <v>55</v>
      </c>
      <c r="D245" s="325" t="s">
        <v>15</v>
      </c>
      <c r="E245" s="28" t="s">
        <v>41</v>
      </c>
      <c r="F245" s="32"/>
      <c r="G245" s="304"/>
      <c r="H245" s="304"/>
      <c r="I245" s="33"/>
      <c r="J245" s="304"/>
      <c r="K245" s="304"/>
      <c r="L245" s="32"/>
    </row>
    <row r="246" spans="1:14" ht="15" x14ac:dyDescent="0.2">
      <c r="A246" s="27"/>
      <c r="B246" s="27" t="s">
        <v>231</v>
      </c>
      <c r="C246" s="28" t="s">
        <v>55</v>
      </c>
      <c r="D246" s="325" t="s">
        <v>15</v>
      </c>
      <c r="E246" s="28" t="s">
        <v>37</v>
      </c>
      <c r="F246" s="32"/>
      <c r="G246" s="304"/>
      <c r="H246" s="304"/>
      <c r="I246" s="33"/>
      <c r="J246" s="304"/>
      <c r="K246" s="304"/>
      <c r="L246" s="304"/>
    </row>
    <row r="247" spans="1:14" ht="15" x14ac:dyDescent="0.2">
      <c r="A247" s="27"/>
      <c r="B247" s="27" t="s">
        <v>48</v>
      </c>
      <c r="C247" s="28" t="s">
        <v>55</v>
      </c>
      <c r="D247" s="325" t="s">
        <v>15</v>
      </c>
      <c r="E247" s="28" t="s">
        <v>37</v>
      </c>
      <c r="F247" s="32"/>
      <c r="G247" s="304"/>
      <c r="H247" s="304"/>
      <c r="I247" s="33"/>
      <c r="J247" s="304"/>
      <c r="K247" s="304"/>
      <c r="L247" s="32"/>
    </row>
    <row r="248" spans="1:14" ht="15" x14ac:dyDescent="0.2">
      <c r="A248" s="27">
        <v>7</v>
      </c>
      <c r="B248" s="27" t="s">
        <v>110</v>
      </c>
      <c r="C248" s="28" t="s">
        <v>55</v>
      </c>
      <c r="D248" s="325" t="s">
        <v>15</v>
      </c>
      <c r="E248" s="28" t="s">
        <v>41</v>
      </c>
      <c r="F248" s="32"/>
      <c r="G248" s="304"/>
      <c r="H248" s="304"/>
      <c r="I248" s="30"/>
      <c r="J248" s="304"/>
      <c r="K248" s="304"/>
      <c r="L248" s="32"/>
    </row>
    <row r="249" spans="1:14" ht="15" x14ac:dyDescent="0.2">
      <c r="A249" s="27">
        <v>8</v>
      </c>
      <c r="B249" s="27" t="s">
        <v>111</v>
      </c>
      <c r="C249" s="28" t="s">
        <v>55</v>
      </c>
      <c r="D249" s="325" t="s">
        <v>15</v>
      </c>
      <c r="E249" s="28" t="s">
        <v>37</v>
      </c>
      <c r="F249" s="30"/>
      <c r="G249" s="33"/>
      <c r="H249" s="33"/>
      <c r="I249" s="33"/>
      <c r="J249" s="33"/>
      <c r="K249" s="33"/>
      <c r="L249" s="30"/>
    </row>
    <row r="250" spans="1:14" ht="15" x14ac:dyDescent="0.2">
      <c r="A250" s="27">
        <v>8.1</v>
      </c>
      <c r="B250" s="27" t="s">
        <v>255</v>
      </c>
      <c r="C250" s="28" t="s">
        <v>55</v>
      </c>
      <c r="D250" s="325" t="s">
        <v>15</v>
      </c>
      <c r="E250" s="28" t="s">
        <v>37</v>
      </c>
      <c r="F250" s="30"/>
      <c r="G250" s="33"/>
      <c r="H250" s="33">
        <v>-9.1303355586818971E-2</v>
      </c>
      <c r="I250" s="33"/>
      <c r="J250" s="33"/>
      <c r="K250" s="33">
        <v>-9.1303355586818971E-2</v>
      </c>
      <c r="L250" s="33">
        <f>AVERAGE(H250,K250)</f>
        <v>-9.1303355586818971E-2</v>
      </c>
    </row>
    <row r="251" spans="1:14" x14ac:dyDescent="0.2">
      <c r="A251" s="22">
        <v>9</v>
      </c>
      <c r="B251" s="22" t="s">
        <v>30</v>
      </c>
      <c r="C251" s="16" t="s">
        <v>55</v>
      </c>
      <c r="D251" s="323" t="s">
        <v>18</v>
      </c>
      <c r="E251" s="16" t="s">
        <v>37</v>
      </c>
      <c r="F251" s="26"/>
      <c r="G251" s="26"/>
      <c r="H251" s="26"/>
      <c r="I251" s="26">
        <v>0.71919999999999995</v>
      </c>
      <c r="J251" s="26">
        <v>0.71919999999999995</v>
      </c>
      <c r="K251" s="286">
        <v>8.1799999999999998E-2</v>
      </c>
      <c r="L251" s="286">
        <v>8.1799999999999998E-2</v>
      </c>
    </row>
    <row r="252" spans="1:14" x14ac:dyDescent="0.2">
      <c r="A252" s="22">
        <v>10</v>
      </c>
      <c r="B252" s="22" t="s">
        <v>66</v>
      </c>
      <c r="C252" s="16" t="s">
        <v>55</v>
      </c>
      <c r="D252" s="323" t="s">
        <v>18</v>
      </c>
      <c r="E252" s="16" t="s">
        <v>27</v>
      </c>
      <c r="F252" s="47"/>
      <c r="G252" s="26"/>
      <c r="H252" s="26"/>
      <c r="I252" s="24"/>
      <c r="J252" s="26"/>
      <c r="K252" s="47"/>
      <c r="L252" s="47"/>
    </row>
    <row r="253" spans="1:14" x14ac:dyDescent="0.2">
      <c r="A253" s="22">
        <v>12</v>
      </c>
      <c r="B253" s="22" t="s">
        <v>65</v>
      </c>
      <c r="C253" s="16" t="s">
        <v>55</v>
      </c>
      <c r="D253" s="323" t="s">
        <v>18</v>
      </c>
      <c r="E253" s="16" t="s">
        <v>37</v>
      </c>
      <c r="F253" s="23"/>
      <c r="G253" s="26"/>
      <c r="H253" s="26"/>
      <c r="I253" s="26"/>
      <c r="J253" s="26"/>
      <c r="K253" s="307">
        <v>2.0561799620201642</v>
      </c>
      <c r="L253" s="307">
        <f>AVERAGE(H253,K253)</f>
        <v>2.0561799620201642</v>
      </c>
      <c r="N253" s="309" t="s">
        <v>197</v>
      </c>
    </row>
    <row r="254" spans="1:14" x14ac:dyDescent="0.2">
      <c r="A254" s="22">
        <v>12</v>
      </c>
      <c r="B254" s="22" t="s">
        <v>65</v>
      </c>
      <c r="C254" s="16" t="s">
        <v>55</v>
      </c>
      <c r="D254" s="323" t="s">
        <v>18</v>
      </c>
      <c r="E254" s="16" t="s">
        <v>37</v>
      </c>
      <c r="F254" s="23"/>
      <c r="G254" s="26"/>
      <c r="H254" s="26"/>
      <c r="I254" s="49"/>
      <c r="J254" s="26"/>
      <c r="K254" s="26"/>
      <c r="L254" s="26"/>
    </row>
    <row r="255" spans="1:14" x14ac:dyDescent="0.2">
      <c r="A255" s="22">
        <v>13</v>
      </c>
      <c r="B255" s="22" t="s">
        <v>45</v>
      </c>
      <c r="C255" s="16" t="s">
        <v>55</v>
      </c>
      <c r="D255" s="323" t="s">
        <v>18</v>
      </c>
      <c r="E255" s="16" t="s">
        <v>37</v>
      </c>
      <c r="F255" s="24"/>
      <c r="G255" s="26"/>
      <c r="H255" s="26"/>
      <c r="I255" s="25"/>
      <c r="J255" s="307">
        <v>-2.0786521942248708</v>
      </c>
      <c r="K255" s="307">
        <v>-0.61756840523332901</v>
      </c>
      <c r="L255" s="307">
        <f>AVERAGE(H255,K255)</f>
        <v>-0.61756840523332901</v>
      </c>
      <c r="N255" s="309" t="s">
        <v>194</v>
      </c>
    </row>
    <row r="256" spans="1:14" ht="28.5" x14ac:dyDescent="0.2">
      <c r="A256" s="22">
        <v>14</v>
      </c>
      <c r="B256" s="22" t="s">
        <v>46</v>
      </c>
      <c r="C256" s="16" t="s">
        <v>55</v>
      </c>
      <c r="D256" s="323" t="s">
        <v>18</v>
      </c>
      <c r="E256" s="16" t="s">
        <v>37</v>
      </c>
      <c r="F256" s="24"/>
      <c r="G256" s="26"/>
      <c r="H256" s="26"/>
      <c r="I256" s="23"/>
      <c r="J256" s="26"/>
      <c r="K256" s="26"/>
      <c r="L256" s="26"/>
    </row>
    <row r="257" spans="1:14" x14ac:dyDescent="0.2">
      <c r="A257" s="22">
        <v>15</v>
      </c>
      <c r="B257" s="22" t="s">
        <v>47</v>
      </c>
      <c r="C257" s="16" t="s">
        <v>55</v>
      </c>
      <c r="D257" s="323" t="s">
        <v>18</v>
      </c>
      <c r="E257" s="16" t="s">
        <v>13</v>
      </c>
      <c r="F257" s="23"/>
      <c r="G257" s="26"/>
      <c r="H257" s="26"/>
      <c r="I257" s="23"/>
      <c r="J257" s="307">
        <v>1.4200000000000001E-2</v>
      </c>
      <c r="K257" s="307">
        <v>3.8449181889326281E-4</v>
      </c>
      <c r="L257" s="307">
        <f>AVERAGE(H257,K257)</f>
        <v>3.8449181889326281E-4</v>
      </c>
      <c r="N257" s="309" t="s">
        <v>194</v>
      </c>
    </row>
    <row r="258" spans="1:14" ht="28.5" x14ac:dyDescent="0.2">
      <c r="A258" s="22">
        <v>27</v>
      </c>
      <c r="B258" s="22" t="s">
        <v>260</v>
      </c>
      <c r="C258" s="16" t="s">
        <v>55</v>
      </c>
      <c r="D258" s="323" t="s">
        <v>18</v>
      </c>
      <c r="E258" s="16" t="s">
        <v>37</v>
      </c>
      <c r="F258" s="17"/>
      <c r="G258" s="26"/>
      <c r="H258" s="26">
        <v>1.8356055475053177E-3</v>
      </c>
      <c r="I258" s="24"/>
      <c r="J258" s="26"/>
      <c r="K258" s="26">
        <v>1.8356055475053177E-3</v>
      </c>
      <c r="L258" s="26">
        <v>1.8356055475053177E-3</v>
      </c>
    </row>
    <row r="259" spans="1:14" ht="15" x14ac:dyDescent="0.2">
      <c r="A259" s="18">
        <v>16</v>
      </c>
      <c r="B259" s="18" t="s">
        <v>31</v>
      </c>
      <c r="C259" s="14" t="s">
        <v>55</v>
      </c>
      <c r="D259" s="324" t="s">
        <v>16</v>
      </c>
      <c r="E259" s="14" t="s">
        <v>37</v>
      </c>
      <c r="F259" s="34"/>
      <c r="G259" s="34"/>
      <c r="H259" s="34"/>
      <c r="I259" s="34">
        <v>1.6446000000000001</v>
      </c>
      <c r="J259" s="307">
        <v>1.6411</v>
      </c>
      <c r="K259" s="307">
        <v>1.4241477911299751</v>
      </c>
      <c r="L259" s="307">
        <f t="shared" ref="L259:L260" si="1">AVERAGE(H259,K259)</f>
        <v>1.4241477911299751</v>
      </c>
      <c r="N259" s="309" t="s">
        <v>194</v>
      </c>
    </row>
    <row r="260" spans="1:14" ht="28.5" x14ac:dyDescent="0.2">
      <c r="A260" s="18">
        <v>17</v>
      </c>
      <c r="B260" s="18" t="s">
        <v>32</v>
      </c>
      <c r="C260" s="14" t="s">
        <v>55</v>
      </c>
      <c r="D260" s="324" t="s">
        <v>16</v>
      </c>
      <c r="E260" s="14" t="s">
        <v>37</v>
      </c>
      <c r="F260" s="34"/>
      <c r="G260" s="34"/>
      <c r="H260" s="34"/>
      <c r="I260" s="34">
        <v>0.90659999999999996</v>
      </c>
      <c r="J260" s="307">
        <v>0.95440000000000003</v>
      </c>
      <c r="K260" s="307">
        <v>0.93878706252418265</v>
      </c>
      <c r="L260" s="307">
        <f t="shared" si="1"/>
        <v>0.93878706252418265</v>
      </c>
      <c r="N260" s="309" t="s">
        <v>194</v>
      </c>
    </row>
    <row r="261" spans="1:14" ht="15" x14ac:dyDescent="0.2">
      <c r="A261" s="27">
        <v>1</v>
      </c>
      <c r="B261" s="27" t="s">
        <v>26</v>
      </c>
      <c r="C261" s="28" t="s">
        <v>42</v>
      </c>
      <c r="D261" s="325" t="s">
        <v>15</v>
      </c>
      <c r="E261" s="28" t="s">
        <v>41</v>
      </c>
      <c r="F261" s="30">
        <v>2.54</v>
      </c>
      <c r="G261" s="314">
        <v>2.5628599999999997</v>
      </c>
      <c r="H261" s="280">
        <v>1.6541999999999999</v>
      </c>
      <c r="I261" s="30">
        <v>1.53</v>
      </c>
      <c r="J261" s="314">
        <v>1.53</v>
      </c>
      <c r="K261" s="280">
        <v>1.6541999999999999</v>
      </c>
      <c r="L261" s="280">
        <v>1.6541999999999999</v>
      </c>
    </row>
    <row r="262" spans="1:14" ht="15" x14ac:dyDescent="0.2">
      <c r="A262" s="27">
        <v>2</v>
      </c>
      <c r="B262" s="27" t="s">
        <v>49</v>
      </c>
      <c r="C262" s="28" t="s">
        <v>42</v>
      </c>
      <c r="D262" s="325" t="s">
        <v>15</v>
      </c>
      <c r="E262" s="28" t="s">
        <v>41</v>
      </c>
      <c r="F262" s="31"/>
      <c r="G262" s="33"/>
      <c r="H262" s="33">
        <v>0</v>
      </c>
      <c r="I262" s="30"/>
      <c r="J262" s="33"/>
      <c r="K262" s="31"/>
      <c r="L262" s="31"/>
    </row>
    <row r="263" spans="1:14" ht="15" x14ac:dyDescent="0.2">
      <c r="A263" s="27">
        <v>3</v>
      </c>
      <c r="B263" s="27" t="s">
        <v>29</v>
      </c>
      <c r="C263" s="28" t="s">
        <v>42</v>
      </c>
      <c r="D263" s="325" t="s">
        <v>15</v>
      </c>
      <c r="E263" s="28" t="s">
        <v>37</v>
      </c>
      <c r="F263" s="30">
        <v>16.2196</v>
      </c>
      <c r="G263" s="307">
        <v>16.365576399999998</v>
      </c>
      <c r="H263" s="281">
        <v>13.3222</v>
      </c>
      <c r="I263" s="30">
        <v>44.8917</v>
      </c>
      <c r="J263" s="307">
        <v>44.8917</v>
      </c>
      <c r="K263" s="281">
        <v>13.3222</v>
      </c>
      <c r="L263" s="281">
        <v>13.3222</v>
      </c>
    </row>
    <row r="264" spans="1:14" ht="15" x14ac:dyDescent="0.2">
      <c r="A264" s="27">
        <v>4</v>
      </c>
      <c r="B264" s="27" t="s">
        <v>49</v>
      </c>
      <c r="C264" s="28" t="s">
        <v>42</v>
      </c>
      <c r="D264" s="325" t="s">
        <v>15</v>
      </c>
      <c r="E264" s="28" t="s">
        <v>37</v>
      </c>
      <c r="F264" s="31"/>
      <c r="G264" s="33"/>
      <c r="H264" s="33"/>
      <c r="I264" s="30"/>
      <c r="J264" s="33"/>
      <c r="K264" s="33"/>
      <c r="L264" s="31"/>
    </row>
    <row r="265" spans="1:14" ht="15" x14ac:dyDescent="0.2">
      <c r="A265" s="27"/>
      <c r="B265" s="27" t="s">
        <v>231</v>
      </c>
      <c r="C265" s="28" t="s">
        <v>42</v>
      </c>
      <c r="D265" s="325" t="s">
        <v>15</v>
      </c>
      <c r="E265" s="28" t="s">
        <v>41</v>
      </c>
      <c r="F265" s="31"/>
      <c r="G265" s="33"/>
      <c r="H265" s="33"/>
      <c r="I265" s="33"/>
      <c r="J265" s="33"/>
      <c r="K265" s="33"/>
      <c r="L265" s="31"/>
    </row>
    <row r="266" spans="1:14" ht="15" x14ac:dyDescent="0.2">
      <c r="A266" s="27"/>
      <c r="B266" s="27" t="s">
        <v>231</v>
      </c>
      <c r="C266" s="28" t="s">
        <v>42</v>
      </c>
      <c r="D266" s="325" t="s">
        <v>15</v>
      </c>
      <c r="E266" s="28" t="s">
        <v>37</v>
      </c>
      <c r="F266" s="31"/>
      <c r="G266" s="33"/>
      <c r="H266" s="307">
        <v>-0.11148641488901773</v>
      </c>
      <c r="I266" s="33"/>
      <c r="J266" s="33"/>
      <c r="K266" s="307">
        <v>-0.11148641488901773</v>
      </c>
      <c r="L266" s="307">
        <f>AVERAGE(H266,K266)</f>
        <v>-0.11148641488901773</v>
      </c>
      <c r="N266" s="309" t="s">
        <v>187</v>
      </c>
    </row>
    <row r="267" spans="1:14" ht="15" x14ac:dyDescent="0.2">
      <c r="A267" s="27"/>
      <c r="B267" s="27" t="s">
        <v>231</v>
      </c>
      <c r="C267" s="28" t="s">
        <v>42</v>
      </c>
      <c r="D267" s="325" t="s">
        <v>15</v>
      </c>
      <c r="E267" s="28" t="s">
        <v>41</v>
      </c>
      <c r="F267" s="31"/>
      <c r="G267" s="33"/>
      <c r="H267" s="33"/>
      <c r="I267" s="30"/>
      <c r="J267" s="33"/>
      <c r="K267" s="33"/>
      <c r="L267" s="31"/>
    </row>
    <row r="268" spans="1:14" ht="15" x14ac:dyDescent="0.2">
      <c r="A268" s="27"/>
      <c r="B268" s="27" t="s">
        <v>231</v>
      </c>
      <c r="C268" s="28" t="s">
        <v>42</v>
      </c>
      <c r="D268" s="325" t="s">
        <v>15</v>
      </c>
      <c r="E268" s="28" t="s">
        <v>37</v>
      </c>
      <c r="F268" s="31"/>
      <c r="G268" s="33"/>
      <c r="H268" s="33"/>
      <c r="I268" s="30"/>
      <c r="J268" s="33"/>
      <c r="K268" s="33"/>
      <c r="L268" s="33"/>
    </row>
    <row r="269" spans="1:14" ht="15" x14ac:dyDescent="0.2">
      <c r="A269" s="27">
        <v>5</v>
      </c>
      <c r="B269" s="27" t="s">
        <v>48</v>
      </c>
      <c r="C269" s="28" t="s">
        <v>42</v>
      </c>
      <c r="D269" s="325" t="s">
        <v>15</v>
      </c>
      <c r="E269" s="28" t="s">
        <v>37</v>
      </c>
      <c r="F269" s="31"/>
      <c r="G269" s="33"/>
      <c r="H269" s="307">
        <v>3.7322156582669548</v>
      </c>
      <c r="I269" s="32"/>
      <c r="J269" s="33"/>
      <c r="K269" s="307">
        <v>3.7322156582669548</v>
      </c>
      <c r="L269" s="307">
        <f>AVERAGE(H269,K269)</f>
        <v>3.7322156582669548</v>
      </c>
    </row>
    <row r="270" spans="1:14" ht="15" x14ac:dyDescent="0.2">
      <c r="A270" s="27">
        <v>6</v>
      </c>
      <c r="B270" s="27" t="s">
        <v>110</v>
      </c>
      <c r="C270" s="28" t="s">
        <v>42</v>
      </c>
      <c r="D270" s="322" t="s">
        <v>15</v>
      </c>
      <c r="E270" s="28" t="s">
        <v>41</v>
      </c>
      <c r="F270" s="31"/>
      <c r="G270" s="33"/>
      <c r="H270" s="33"/>
      <c r="I270" s="30"/>
      <c r="J270" s="33"/>
      <c r="K270" s="33"/>
      <c r="L270" s="31"/>
    </row>
    <row r="271" spans="1:14" ht="15" x14ac:dyDescent="0.2">
      <c r="A271" s="27">
        <v>7</v>
      </c>
      <c r="B271" s="27" t="s">
        <v>111</v>
      </c>
      <c r="C271" s="28" t="s">
        <v>42</v>
      </c>
      <c r="D271" s="322" t="s">
        <v>15</v>
      </c>
      <c r="E271" s="28" t="s">
        <v>37</v>
      </c>
      <c r="F271" s="30"/>
      <c r="G271" s="33"/>
      <c r="H271" s="33"/>
      <c r="I271" s="30"/>
      <c r="J271" s="33"/>
      <c r="K271" s="33"/>
      <c r="L271" s="30"/>
    </row>
    <row r="272" spans="1:14" ht="15" x14ac:dyDescent="0.2">
      <c r="A272" s="27">
        <v>8.1</v>
      </c>
      <c r="B272" s="27" t="s">
        <v>255</v>
      </c>
      <c r="C272" s="28" t="s">
        <v>42</v>
      </c>
      <c r="D272" s="322" t="s">
        <v>15</v>
      </c>
      <c r="E272" s="28" t="s">
        <v>37</v>
      </c>
      <c r="F272" s="30"/>
      <c r="G272" s="33"/>
      <c r="H272" s="33">
        <v>-8.5581089409800692E-2</v>
      </c>
      <c r="I272" s="30"/>
      <c r="J272" s="33"/>
      <c r="K272" s="33">
        <v>-8.5581089409800692E-2</v>
      </c>
      <c r="L272" s="33">
        <f>AVERAGE(H272,K272)</f>
        <v>-8.5581089409800692E-2</v>
      </c>
    </row>
    <row r="273" spans="1:14" x14ac:dyDescent="0.2">
      <c r="A273" s="22">
        <v>9</v>
      </c>
      <c r="B273" s="22" t="s">
        <v>30</v>
      </c>
      <c r="C273" s="16" t="s">
        <v>42</v>
      </c>
      <c r="D273" s="326" t="s">
        <v>18</v>
      </c>
      <c r="E273" s="16" t="s">
        <v>37</v>
      </c>
      <c r="F273" s="26">
        <v>2.7E-2</v>
      </c>
      <c r="G273" s="26">
        <v>2.7E-2</v>
      </c>
      <c r="H273" s="281">
        <v>0.1158</v>
      </c>
      <c r="I273" s="26">
        <v>0.84060000000000001</v>
      </c>
      <c r="J273" s="307">
        <v>0.84060000000000001</v>
      </c>
      <c r="K273" s="281">
        <v>0.1158</v>
      </c>
      <c r="L273" s="281">
        <v>0.1158</v>
      </c>
    </row>
    <row r="274" spans="1:14" x14ac:dyDescent="0.2">
      <c r="A274" s="22">
        <v>10</v>
      </c>
      <c r="B274" s="22" t="s">
        <v>66</v>
      </c>
      <c r="C274" s="16" t="s">
        <v>42</v>
      </c>
      <c r="D274" s="326" t="s">
        <v>18</v>
      </c>
      <c r="E274" s="16" t="s">
        <v>41</v>
      </c>
      <c r="F274" s="26"/>
      <c r="G274" s="26"/>
      <c r="H274" s="26"/>
      <c r="I274" s="26"/>
      <c r="J274" s="26"/>
      <c r="K274" s="26"/>
      <c r="L274" s="26"/>
    </row>
    <row r="275" spans="1:14" x14ac:dyDescent="0.2">
      <c r="A275" s="22">
        <v>12</v>
      </c>
      <c r="B275" s="22" t="s">
        <v>65</v>
      </c>
      <c r="C275" s="16" t="s">
        <v>42</v>
      </c>
      <c r="D275" s="326" t="s">
        <v>18</v>
      </c>
      <c r="E275" s="16" t="s">
        <v>37</v>
      </c>
      <c r="F275" s="25"/>
      <c r="G275" s="305"/>
      <c r="H275" s="308">
        <v>2.5290505024030185</v>
      </c>
      <c r="I275" s="26"/>
      <c r="J275" s="305"/>
      <c r="K275" s="308">
        <v>2.5290505024030185</v>
      </c>
      <c r="L275" s="307">
        <f>AVERAGE(H275,K275)</f>
        <v>2.5290505024030185</v>
      </c>
      <c r="N275" s="309" t="s">
        <v>186</v>
      </c>
    </row>
    <row r="276" spans="1:14" x14ac:dyDescent="0.2">
      <c r="A276" s="22">
        <v>12</v>
      </c>
      <c r="B276" s="22" t="s">
        <v>65</v>
      </c>
      <c r="C276" s="16" t="s">
        <v>42</v>
      </c>
      <c r="D276" s="326" t="s">
        <v>18</v>
      </c>
      <c r="E276" s="16" t="s">
        <v>37</v>
      </c>
      <c r="F276" s="25"/>
      <c r="G276" s="305"/>
      <c r="H276" s="305"/>
      <c r="I276" s="26"/>
      <c r="J276" s="305"/>
      <c r="K276" s="305"/>
      <c r="L276" s="305"/>
    </row>
    <row r="277" spans="1:14" x14ac:dyDescent="0.2">
      <c r="A277" s="22">
        <v>13</v>
      </c>
      <c r="B277" s="22" t="s">
        <v>45</v>
      </c>
      <c r="C277" s="16" t="s">
        <v>42</v>
      </c>
      <c r="D277" s="326" t="s">
        <v>18</v>
      </c>
      <c r="E277" s="16" t="s">
        <v>37</v>
      </c>
      <c r="F277" s="23"/>
      <c r="G277" s="307">
        <v>-2.2406831535474727</v>
      </c>
      <c r="H277" s="307">
        <v>-0.5787149525275801</v>
      </c>
      <c r="I277" s="23"/>
      <c r="J277" s="307">
        <v>-2.1186153084440291</v>
      </c>
      <c r="K277" s="307">
        <v>-0.5787149525275801</v>
      </c>
      <c r="L277" s="307">
        <f>AVERAGE(H277,K277)</f>
        <v>-0.5787149525275801</v>
      </c>
    </row>
    <row r="278" spans="1:14" ht="28.5" x14ac:dyDescent="0.2">
      <c r="A278" s="22">
        <v>14</v>
      </c>
      <c r="B278" s="22" t="s">
        <v>46</v>
      </c>
      <c r="C278" s="16" t="s">
        <v>42</v>
      </c>
      <c r="D278" s="326" t="s">
        <v>18</v>
      </c>
      <c r="E278" s="16" t="s">
        <v>37</v>
      </c>
      <c r="F278" s="23"/>
      <c r="G278" s="26"/>
      <c r="H278" s="26"/>
      <c r="I278" s="25"/>
      <c r="J278" s="26"/>
      <c r="K278" s="26"/>
      <c r="L278" s="26"/>
    </row>
    <row r="279" spans="1:14" x14ac:dyDescent="0.2">
      <c r="A279" s="22">
        <v>15</v>
      </c>
      <c r="B279" s="22" t="s">
        <v>47</v>
      </c>
      <c r="C279" s="16" t="s">
        <v>42</v>
      </c>
      <c r="D279" s="326" t="s">
        <v>18</v>
      </c>
      <c r="E279" s="16" t="s">
        <v>13</v>
      </c>
      <c r="F279" s="23"/>
      <c r="G279" s="307">
        <v>3.3E-3</v>
      </c>
      <c r="H279" s="307">
        <v>3.8449181889326281E-4</v>
      </c>
      <c r="I279" s="25"/>
      <c r="J279" s="307">
        <v>1.4200000000000001E-2</v>
      </c>
      <c r="K279" s="307">
        <v>3.8449181889326281E-4</v>
      </c>
      <c r="L279" s="307">
        <f>AVERAGE(H279,K279)</f>
        <v>3.8449181889326281E-4</v>
      </c>
    </row>
    <row r="280" spans="1:14" ht="28.5" x14ac:dyDescent="0.2">
      <c r="A280" s="22">
        <v>27</v>
      </c>
      <c r="B280" s="22" t="s">
        <v>260</v>
      </c>
      <c r="C280" s="16" t="s">
        <v>42</v>
      </c>
      <c r="D280" s="323" t="s">
        <v>18</v>
      </c>
      <c r="E280" s="16" t="s">
        <v>37</v>
      </c>
      <c r="F280" s="17"/>
      <c r="G280" s="307">
        <v>0.15310000000000001</v>
      </c>
      <c r="H280" s="26">
        <v>1.7201209911030804E-3</v>
      </c>
      <c r="I280" s="24"/>
      <c r="J280" s="26"/>
      <c r="K280" s="26">
        <v>1.7201209911030804E-3</v>
      </c>
      <c r="L280" s="26">
        <v>1.7201209911030804E-3</v>
      </c>
    </row>
    <row r="281" spans="1:14" ht="15" x14ac:dyDescent="0.2">
      <c r="A281" s="18">
        <v>16</v>
      </c>
      <c r="B281" s="18" t="s">
        <v>31</v>
      </c>
      <c r="C281" s="14" t="s">
        <v>42</v>
      </c>
      <c r="D281" s="327" t="s">
        <v>16</v>
      </c>
      <c r="E281" s="14" t="s">
        <v>37</v>
      </c>
      <c r="F281" s="34">
        <v>1.9858</v>
      </c>
      <c r="G281" s="307">
        <v>1.6867000000000001</v>
      </c>
      <c r="H281" s="307">
        <v>1.5981031044204883</v>
      </c>
      <c r="I281" s="34">
        <v>1.6828000000000001</v>
      </c>
      <c r="J281" s="307">
        <v>1.6793</v>
      </c>
      <c r="K281" s="307">
        <v>1.5981031044204883</v>
      </c>
      <c r="L281" s="307">
        <f t="shared" ref="L281:L282" si="2">AVERAGE(H281,K281)</f>
        <v>1.5981031044204883</v>
      </c>
    </row>
    <row r="282" spans="1:14" ht="28.5" x14ac:dyDescent="0.2">
      <c r="A282" s="18">
        <v>17</v>
      </c>
      <c r="B282" s="18" t="s">
        <v>32</v>
      </c>
      <c r="C282" s="14" t="s">
        <v>42</v>
      </c>
      <c r="D282" s="327" t="s">
        <v>16</v>
      </c>
      <c r="E282" s="14" t="s">
        <v>37</v>
      </c>
      <c r="F282" s="34">
        <v>1.2837000000000001</v>
      </c>
      <c r="G282" s="307">
        <v>1.2485999999999999</v>
      </c>
      <c r="H282" s="307">
        <v>1.200006056470766</v>
      </c>
      <c r="I282" s="34">
        <v>0.86729999999999996</v>
      </c>
      <c r="J282" s="307">
        <v>0.91300000000000003</v>
      </c>
      <c r="K282" s="307">
        <v>1.200006056470766</v>
      </c>
      <c r="L282" s="307">
        <f t="shared" si="2"/>
        <v>1.200006056470766</v>
      </c>
    </row>
    <row r="283" spans="1:14" ht="15" x14ac:dyDescent="0.2">
      <c r="A283" s="27">
        <v>1</v>
      </c>
      <c r="B283" s="27" t="s">
        <v>26</v>
      </c>
      <c r="C283" s="28" t="s">
        <v>40</v>
      </c>
      <c r="D283" s="322" t="s">
        <v>15</v>
      </c>
      <c r="E283" s="28" t="s">
        <v>41</v>
      </c>
      <c r="F283" s="29">
        <v>5.84</v>
      </c>
      <c r="G283" s="307">
        <v>5.8925599999999996</v>
      </c>
      <c r="H283" s="280">
        <v>5.7904999999999998</v>
      </c>
      <c r="I283" s="29">
        <v>2.04</v>
      </c>
      <c r="J283" s="307">
        <v>2.04</v>
      </c>
      <c r="K283" s="280">
        <v>5.7904999999999998</v>
      </c>
      <c r="L283" s="280">
        <v>5.7904999999999998</v>
      </c>
    </row>
    <row r="284" spans="1:14" ht="15" x14ac:dyDescent="0.2">
      <c r="A284" s="27">
        <v>3</v>
      </c>
      <c r="B284" s="27" t="s">
        <v>49</v>
      </c>
      <c r="C284" s="28" t="s">
        <v>40</v>
      </c>
      <c r="D284" s="322" t="s">
        <v>15</v>
      </c>
      <c r="E284" s="28" t="s">
        <v>41</v>
      </c>
      <c r="F284" s="30"/>
      <c r="G284" s="30"/>
      <c r="H284" s="33">
        <v>0</v>
      </c>
      <c r="I284" s="30"/>
      <c r="J284" s="31"/>
      <c r="K284" s="31"/>
      <c r="L284" s="31"/>
    </row>
    <row r="285" spans="1:14" ht="15" x14ac:dyDescent="0.2">
      <c r="A285" s="27">
        <v>3</v>
      </c>
      <c r="B285" s="27" t="s">
        <v>29</v>
      </c>
      <c r="C285" s="28" t="s">
        <v>40</v>
      </c>
      <c r="D285" s="322" t="s">
        <v>15</v>
      </c>
      <c r="E285" s="28" t="s">
        <v>13</v>
      </c>
      <c r="F285" s="30">
        <v>1.2500000000000001E-2</v>
      </c>
      <c r="G285" s="307">
        <v>1.2612499999999999E-2</v>
      </c>
      <c r="H285" s="281">
        <v>1.43E-2</v>
      </c>
      <c r="I285" s="30">
        <v>2.3300000000000001E-2</v>
      </c>
      <c r="J285" s="307">
        <v>2.3300000000000001E-2</v>
      </c>
      <c r="K285" s="281">
        <v>1.43E-2</v>
      </c>
      <c r="L285" s="281">
        <v>1.43E-2</v>
      </c>
    </row>
    <row r="286" spans="1:14" ht="15" x14ac:dyDescent="0.2">
      <c r="A286" s="27"/>
      <c r="B286" s="27" t="s">
        <v>49</v>
      </c>
      <c r="C286" s="28" t="s">
        <v>40</v>
      </c>
      <c r="D286" s="322" t="s">
        <v>15</v>
      </c>
      <c r="E286" s="28" t="s">
        <v>13</v>
      </c>
      <c r="F286" s="30"/>
      <c r="G286" s="30"/>
      <c r="H286" s="33"/>
      <c r="I286" s="30"/>
      <c r="J286" s="33"/>
      <c r="K286" s="33"/>
      <c r="L286" s="30"/>
    </row>
    <row r="287" spans="1:14" ht="15" x14ac:dyDescent="0.2">
      <c r="A287" s="27"/>
      <c r="B287" s="27" t="s">
        <v>231</v>
      </c>
      <c r="C287" s="28" t="s">
        <v>40</v>
      </c>
      <c r="D287" s="322" t="s">
        <v>15</v>
      </c>
      <c r="E287" s="28" t="s">
        <v>41</v>
      </c>
      <c r="F287" s="30"/>
      <c r="G287" s="30"/>
      <c r="H287" s="33"/>
      <c r="I287" s="30"/>
      <c r="J287" s="33"/>
      <c r="K287" s="33"/>
      <c r="L287" s="30"/>
    </row>
    <row r="288" spans="1:14" ht="15" x14ac:dyDescent="0.2">
      <c r="A288" s="27"/>
      <c r="B288" s="27" t="s">
        <v>231</v>
      </c>
      <c r="C288" s="28" t="s">
        <v>40</v>
      </c>
      <c r="D288" s="322" t="s">
        <v>15</v>
      </c>
      <c r="E288" s="28" t="s">
        <v>13</v>
      </c>
      <c r="F288" s="30"/>
      <c r="G288" s="30"/>
      <c r="H288" s="308">
        <v>-3.2126915242846417E-4</v>
      </c>
      <c r="I288" s="33"/>
      <c r="J288" s="33"/>
      <c r="K288" s="308">
        <v>-3.2126915242846417E-4</v>
      </c>
      <c r="L288" s="307">
        <f>AVERAGE(H288,K288)</f>
        <v>-3.2126915242846417E-4</v>
      </c>
      <c r="N288" s="309" t="s">
        <v>187</v>
      </c>
    </row>
    <row r="289" spans="1:14" ht="15" x14ac:dyDescent="0.2">
      <c r="A289" s="27">
        <v>4</v>
      </c>
      <c r="B289" s="27" t="s">
        <v>231</v>
      </c>
      <c r="C289" s="28" t="s">
        <v>40</v>
      </c>
      <c r="D289" s="322" t="s">
        <v>15</v>
      </c>
      <c r="E289" s="28" t="s">
        <v>41</v>
      </c>
      <c r="F289" s="30"/>
      <c r="G289" s="30"/>
      <c r="H289" s="33"/>
      <c r="I289" s="33"/>
      <c r="J289" s="33"/>
      <c r="K289" s="33"/>
      <c r="L289" s="31"/>
    </row>
    <row r="290" spans="1:14" ht="15" x14ac:dyDescent="0.2">
      <c r="A290" s="27">
        <v>5</v>
      </c>
      <c r="B290" s="27" t="s">
        <v>231</v>
      </c>
      <c r="C290" s="28" t="s">
        <v>40</v>
      </c>
      <c r="D290" s="322" t="s">
        <v>15</v>
      </c>
      <c r="E290" s="28" t="s">
        <v>13</v>
      </c>
      <c r="F290" s="30"/>
      <c r="G290" s="30"/>
      <c r="H290" s="33"/>
      <c r="I290" s="33"/>
      <c r="J290" s="33"/>
      <c r="K290" s="33"/>
      <c r="L290" s="33"/>
    </row>
    <row r="291" spans="1:14" ht="15" x14ac:dyDescent="0.2">
      <c r="A291" s="27">
        <v>6</v>
      </c>
      <c r="B291" s="27" t="s">
        <v>48</v>
      </c>
      <c r="C291" s="28" t="s">
        <v>40</v>
      </c>
      <c r="D291" s="322" t="s">
        <v>15</v>
      </c>
      <c r="E291" s="28" t="s">
        <v>13</v>
      </c>
      <c r="F291" s="32"/>
      <c r="G291" s="32"/>
      <c r="H291" s="308">
        <v>-1.0838623612552882E-3</v>
      </c>
      <c r="I291" s="33"/>
      <c r="J291" s="33"/>
      <c r="K291" s="308">
        <v>-1.0838623612552882E-3</v>
      </c>
      <c r="L291" s="307">
        <f>AVERAGE(H291,K291)</f>
        <v>-1.0838623612552882E-3</v>
      </c>
    </row>
    <row r="292" spans="1:14" ht="15" x14ac:dyDescent="0.2">
      <c r="A292" s="27">
        <v>7</v>
      </c>
      <c r="B292" s="27" t="s">
        <v>110</v>
      </c>
      <c r="C292" s="28" t="s">
        <v>40</v>
      </c>
      <c r="D292" s="322" t="s">
        <v>15</v>
      </c>
      <c r="E292" s="28" t="s">
        <v>41</v>
      </c>
      <c r="F292" s="32"/>
      <c r="G292" s="32"/>
      <c r="H292" s="304"/>
      <c r="I292" s="33"/>
      <c r="J292" s="33"/>
      <c r="K292" s="304"/>
      <c r="L292" s="32"/>
    </row>
    <row r="293" spans="1:14" ht="15" x14ac:dyDescent="0.2">
      <c r="A293" s="27">
        <v>8</v>
      </c>
      <c r="B293" s="27" t="s">
        <v>111</v>
      </c>
      <c r="C293" s="28" t="s">
        <v>40</v>
      </c>
      <c r="D293" s="322" t="s">
        <v>15</v>
      </c>
      <c r="E293" s="28" t="s">
        <v>13</v>
      </c>
      <c r="F293" s="30"/>
      <c r="G293" s="30"/>
      <c r="H293" s="33"/>
      <c r="I293" s="46"/>
      <c r="J293" s="33"/>
      <c r="K293" s="33"/>
      <c r="L293" s="30"/>
    </row>
    <row r="294" spans="1:14" ht="15" x14ac:dyDescent="0.2">
      <c r="A294" s="27">
        <v>8.1</v>
      </c>
      <c r="B294" s="27" t="s">
        <v>255</v>
      </c>
      <c r="C294" s="28" t="s">
        <v>40</v>
      </c>
      <c r="D294" s="322" t="s">
        <v>15</v>
      </c>
      <c r="E294" s="28" t="s">
        <v>13</v>
      </c>
      <c r="F294" s="30"/>
      <c r="G294" s="30"/>
      <c r="H294" s="33">
        <v>-2.4661231261194995E-4</v>
      </c>
      <c r="I294" s="46"/>
      <c r="J294" s="33"/>
      <c r="K294" s="33">
        <v>-2.4661231261194995E-4</v>
      </c>
      <c r="L294" s="33">
        <f>AVERAGE(H294,K294)</f>
        <v>-2.4661231261194995E-4</v>
      </c>
    </row>
    <row r="295" spans="1:14" x14ac:dyDescent="0.2">
      <c r="A295" s="22">
        <v>9</v>
      </c>
      <c r="B295" s="22" t="s">
        <v>30</v>
      </c>
      <c r="C295" s="16" t="s">
        <v>40</v>
      </c>
      <c r="D295" s="326" t="s">
        <v>18</v>
      </c>
      <c r="E295" s="16" t="s">
        <v>13</v>
      </c>
      <c r="F295" s="26">
        <v>1E-4</v>
      </c>
      <c r="G295" s="26">
        <v>1E-4</v>
      </c>
      <c r="H295" s="286">
        <v>4.0000000000000002E-4</v>
      </c>
      <c r="I295" s="26">
        <v>2.3999999999999998E-3</v>
      </c>
      <c r="J295" s="307">
        <v>2.3999999999999998E-3</v>
      </c>
      <c r="K295" s="286">
        <v>4.0000000000000002E-4</v>
      </c>
      <c r="L295" s="286">
        <v>4.0000000000000002E-4</v>
      </c>
    </row>
    <row r="296" spans="1:14" x14ac:dyDescent="0.2">
      <c r="A296" s="22">
        <v>10</v>
      </c>
      <c r="B296" s="22" t="s">
        <v>66</v>
      </c>
      <c r="C296" s="16" t="s">
        <v>40</v>
      </c>
      <c r="D296" s="326" t="s">
        <v>18</v>
      </c>
      <c r="E296" s="16" t="s">
        <v>41</v>
      </c>
      <c r="F296" s="24"/>
      <c r="G296" s="24"/>
      <c r="H296" s="26"/>
      <c r="I296" s="23"/>
      <c r="J296" s="23"/>
      <c r="K296" s="26"/>
      <c r="L296" s="24"/>
    </row>
    <row r="297" spans="1:14" x14ac:dyDescent="0.2">
      <c r="A297" s="22">
        <v>12</v>
      </c>
      <c r="B297" s="22" t="s">
        <v>65</v>
      </c>
      <c r="C297" s="16" t="s">
        <v>40</v>
      </c>
      <c r="D297" s="326" t="s">
        <v>18</v>
      </c>
      <c r="E297" s="16" t="s">
        <v>13</v>
      </c>
      <c r="F297" s="23"/>
      <c r="G297" s="23"/>
      <c r="H297" s="307">
        <v>9.8018286493145698E-4</v>
      </c>
      <c r="I297" s="26"/>
      <c r="J297" s="23"/>
      <c r="K297" s="307">
        <v>9.8018286493145698E-4</v>
      </c>
      <c r="L297" s="307">
        <f>AVERAGE(H297,K297)</f>
        <v>9.8018286493145698E-4</v>
      </c>
      <c r="N297" s="309" t="s">
        <v>186</v>
      </c>
    </row>
    <row r="298" spans="1:14" x14ac:dyDescent="0.2">
      <c r="A298" s="22">
        <v>12</v>
      </c>
      <c r="B298" s="22" t="s">
        <v>65</v>
      </c>
      <c r="C298" s="16" t="s">
        <v>40</v>
      </c>
      <c r="D298" s="326" t="s">
        <v>18</v>
      </c>
      <c r="E298" s="16" t="s">
        <v>13</v>
      </c>
      <c r="F298" s="26"/>
      <c r="G298" s="26"/>
      <c r="H298" s="26"/>
      <c r="I298" s="26"/>
      <c r="J298" s="23"/>
      <c r="K298" s="26"/>
      <c r="L298" s="24"/>
    </row>
    <row r="299" spans="1:14" x14ac:dyDescent="0.2">
      <c r="A299" s="22">
        <v>13</v>
      </c>
      <c r="B299" s="22" t="s">
        <v>45</v>
      </c>
      <c r="C299" s="16" t="s">
        <v>40</v>
      </c>
      <c r="D299" s="326" t="s">
        <v>18</v>
      </c>
      <c r="E299" s="16" t="s">
        <v>13</v>
      </c>
      <c r="F299" s="26"/>
      <c r="G299" s="307">
        <v>-6.202260836220665E-3</v>
      </c>
      <c r="H299" s="307">
        <v>-1.6676763934089817E-3</v>
      </c>
      <c r="I299" s="23"/>
      <c r="J299" s="307">
        <v>-6.340831193566771E-3</v>
      </c>
      <c r="K299" s="307">
        <v>-1.6676763934089817E-3</v>
      </c>
      <c r="L299" s="307">
        <f>AVERAGE(H299,K299)</f>
        <v>-1.6676763934089817E-3</v>
      </c>
    </row>
    <row r="300" spans="1:14" ht="28.5" x14ac:dyDescent="0.2">
      <c r="A300" s="22">
        <v>14</v>
      </c>
      <c r="B300" s="22" t="s">
        <v>46</v>
      </c>
      <c r="C300" s="16" t="s">
        <v>40</v>
      </c>
      <c r="D300" s="326" t="s">
        <v>18</v>
      </c>
      <c r="E300" s="16" t="s">
        <v>13</v>
      </c>
      <c r="F300" s="26"/>
      <c r="G300" s="26"/>
      <c r="H300" s="26"/>
      <c r="I300" s="23"/>
      <c r="J300" s="26"/>
      <c r="K300" s="26"/>
      <c r="L300" s="24"/>
    </row>
    <row r="301" spans="1:14" x14ac:dyDescent="0.2">
      <c r="A301" s="22">
        <v>15</v>
      </c>
      <c r="B301" s="22" t="s">
        <v>47</v>
      </c>
      <c r="C301" s="16" t="s">
        <v>40</v>
      </c>
      <c r="D301" s="326" t="s">
        <v>18</v>
      </c>
      <c r="E301" s="16" t="s">
        <v>13</v>
      </c>
      <c r="F301" s="26"/>
      <c r="G301" s="307">
        <v>3.2000000000000002E-3</v>
      </c>
      <c r="H301" s="307">
        <v>3.8449181889326276E-4</v>
      </c>
      <c r="I301" s="26"/>
      <c r="J301" s="307">
        <v>1.4200000000000001E-2</v>
      </c>
      <c r="K301" s="307">
        <v>3.8449181889326276E-4</v>
      </c>
      <c r="L301" s="307">
        <f>AVERAGE(H301,K301)</f>
        <v>3.8449181889326276E-4</v>
      </c>
    </row>
    <row r="302" spans="1:14" ht="28.5" x14ac:dyDescent="0.2">
      <c r="A302" s="22">
        <v>27</v>
      </c>
      <c r="B302" s="22" t="s">
        <v>260</v>
      </c>
      <c r="C302" s="16" t="s">
        <v>40</v>
      </c>
      <c r="D302" s="326" t="s">
        <v>18</v>
      </c>
      <c r="E302" s="16" t="s">
        <v>13</v>
      </c>
      <c r="F302" s="17"/>
      <c r="G302" s="307">
        <v>4.0000000000000002E-4</v>
      </c>
      <c r="H302" s="26">
        <v>4.9568533837617714E-6</v>
      </c>
      <c r="I302" s="24"/>
      <c r="J302" s="26"/>
      <c r="K302" s="26">
        <v>4.9568533837617714E-6</v>
      </c>
      <c r="L302" s="26">
        <v>4.9568533837617714E-6</v>
      </c>
    </row>
    <row r="303" spans="1:14" ht="15" x14ac:dyDescent="0.2">
      <c r="A303" s="18">
        <v>16</v>
      </c>
      <c r="B303" s="18" t="s">
        <v>31</v>
      </c>
      <c r="C303" s="14" t="s">
        <v>40</v>
      </c>
      <c r="D303" s="327" t="s">
        <v>16</v>
      </c>
      <c r="E303" s="14" t="s">
        <v>13</v>
      </c>
      <c r="F303" s="34">
        <v>6.1000000000000004E-3</v>
      </c>
      <c r="G303" s="307">
        <v>5.1999999999999998E-3</v>
      </c>
      <c r="H303" s="307">
        <v>4.9679962660321014E-3</v>
      </c>
      <c r="I303" s="307">
        <v>5.5999999999999999E-3</v>
      </c>
      <c r="J303" s="307">
        <v>5.5999999999999999E-3</v>
      </c>
      <c r="K303" s="307">
        <v>4.9679962660321014E-3</v>
      </c>
      <c r="L303" s="307">
        <f>AVERAGE(H303,K303)</f>
        <v>4.9679962660321014E-3</v>
      </c>
    </row>
    <row r="304" spans="1:14" ht="28.5" x14ac:dyDescent="0.2">
      <c r="A304" s="18">
        <v>17</v>
      </c>
      <c r="B304" s="18" t="s">
        <v>32</v>
      </c>
      <c r="C304" s="14" t="s">
        <v>40</v>
      </c>
      <c r="D304" s="327" t="s">
        <v>16</v>
      </c>
      <c r="E304" s="14" t="s">
        <v>13</v>
      </c>
      <c r="F304" s="34">
        <v>4.1999999999999997E-3</v>
      </c>
      <c r="G304" s="307">
        <v>4.1000000000000003E-3</v>
      </c>
      <c r="H304" s="307">
        <v>3.8893129791551149E-3</v>
      </c>
      <c r="I304" s="307">
        <v>2.7000000000000001E-3</v>
      </c>
      <c r="J304" s="307">
        <v>2.8E-3</v>
      </c>
      <c r="K304" s="307">
        <v>3.8893129791551149E-3</v>
      </c>
      <c r="L304" s="307">
        <f>AVERAGE(H304,K304)</f>
        <v>3.8893129791551149E-3</v>
      </c>
    </row>
    <row r="307" spans="1:2" x14ac:dyDescent="0.2">
      <c r="A307" s="299" t="s">
        <v>182</v>
      </c>
      <c r="B307" s="299"/>
    </row>
  </sheetData>
  <autoFilter ref="A1:T304"/>
  <sortState ref="A2:J237">
    <sortCondition ref="C2:C237"/>
    <sortCondition ref="D2:D237"/>
    <sortCondition ref="A2:A237"/>
  </sortState>
  <mergeCells count="1">
    <mergeCell ref="R169:R170"/>
  </mergeCells>
  <conditionalFormatting sqref="E261:E271">
    <cfRule type="uniqueValues" dxfId="2" priority="4"/>
  </conditionalFormatting>
  <conditionalFormatting sqref="E283:E284 E287 E289 E292">
    <cfRule type="uniqueValues" dxfId="1" priority="3"/>
  </conditionalFormatting>
  <conditionalFormatting sqref="E272">
    <cfRule type="uniqueValues" dxfId="0" priority="1"/>
  </conditionalFormatting>
  <pageMargins left="0.70866141732283472" right="0.70866141732283472" top="0.74803149606299213" bottom="0.35433070866141736" header="0.31496062992125984" footer="0.31496062992125984"/>
  <pageSetup paperSize="5" scale="64" fitToHeight="0" orientation="landscape" r:id="rId1"/>
  <rowBreaks count="3" manualBreakCount="3">
    <brk id="240" min="1" max="14" man="1"/>
    <brk id="281" min="1" max="14" man="1"/>
    <brk id="37" min="1" max="14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8168889431442"/>
  </sheetPr>
  <dimension ref="A1:BH80"/>
  <sheetViews>
    <sheetView showGridLines="0" topLeftCell="A22" zoomScale="80" zoomScaleNormal="80" workbookViewId="0">
      <selection activeCell="J23" sqref="J23"/>
    </sheetView>
  </sheetViews>
  <sheetFormatPr defaultRowHeight="15" x14ac:dyDescent="0.25"/>
  <cols>
    <col min="1" max="1" width="26.28515625" customWidth="1"/>
    <col min="2" max="2" width="121.85546875" customWidth="1"/>
    <col min="3" max="3" width="1.140625" customWidth="1"/>
    <col min="4" max="4" width="12.28515625" customWidth="1"/>
    <col min="5" max="5" width="1.7109375" customWidth="1"/>
    <col min="6" max="6" width="11" customWidth="1"/>
    <col min="7" max="7" width="10.140625" bestFit="1" customWidth="1"/>
    <col min="8" max="8" width="10.5703125" customWidth="1"/>
    <col min="9" max="9" width="0.7109375" customWidth="1"/>
    <col min="10" max="10" width="12.140625" customWidth="1"/>
    <col min="11" max="11" width="10.140625" bestFit="1" customWidth="1"/>
    <col min="12" max="12" width="10.5703125" customWidth="1"/>
    <col min="13" max="13" width="0.85546875" style="94" customWidth="1"/>
    <col min="14" max="14" width="11.140625" customWidth="1"/>
    <col min="15" max="15" width="9.140625" customWidth="1"/>
    <col min="16" max="16" width="1.42578125" customWidth="1"/>
    <col min="17" max="17" width="6" customWidth="1"/>
    <col min="18" max="18" width="10.140625" bestFit="1" customWidth="1"/>
    <col min="19" max="19" width="10.28515625" bestFit="1" customWidth="1"/>
    <col min="20" max="20" width="2" bestFit="1" customWidth="1"/>
    <col min="21" max="21" width="9.140625" customWidth="1"/>
    <col min="22" max="22" width="10.140625" customWidth="1"/>
    <col min="23" max="23" width="1.28515625" customWidth="1"/>
    <col min="24" max="24" width="11" customWidth="1"/>
    <col min="25" max="25" width="10.140625" bestFit="1" customWidth="1"/>
    <col min="26" max="26" width="9.85546875" customWidth="1"/>
    <col min="27" max="27" width="1.28515625" customWidth="1"/>
    <col min="30" max="30" width="0.85546875" customWidth="1"/>
    <col min="31" max="31" width="11.140625" customWidth="1"/>
    <col min="32" max="32" width="10.140625" bestFit="1" customWidth="1"/>
    <col min="33" max="33" width="9.28515625" customWidth="1"/>
    <col min="34" max="34" width="1.140625" customWidth="1"/>
    <col min="37" max="37" width="0.85546875" customWidth="1"/>
  </cols>
  <sheetData>
    <row r="1" spans="1:21" ht="21.75" x14ac:dyDescent="0.25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0"/>
      <c r="M1" s="2"/>
      <c r="N1" s="52" t="s">
        <v>68</v>
      </c>
      <c r="O1" s="53">
        <v>0</v>
      </c>
      <c r="T1">
        <v>2</v>
      </c>
      <c r="U1">
        <v>1</v>
      </c>
    </row>
    <row r="2" spans="1:21" ht="18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0"/>
      <c r="M2" s="2"/>
      <c r="N2" s="52" t="s">
        <v>69</v>
      </c>
      <c r="O2" s="55"/>
    </row>
    <row r="3" spans="1:21" ht="18" x14ac:dyDescent="0.25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"/>
      <c r="M3" s="2"/>
      <c r="N3" s="52" t="s">
        <v>70</v>
      </c>
      <c r="O3" s="55"/>
    </row>
    <row r="4" spans="1:21" ht="18" x14ac:dyDescent="0.25">
      <c r="A4" s="54"/>
      <c r="B4" s="54"/>
      <c r="C4" s="54"/>
      <c r="D4" s="54"/>
      <c r="E4" s="54"/>
      <c r="F4" s="54"/>
      <c r="G4" s="54"/>
      <c r="H4" s="54"/>
      <c r="I4" s="56"/>
      <c r="J4" s="56"/>
      <c r="K4" s="56"/>
      <c r="L4" s="50"/>
      <c r="M4" s="2"/>
      <c r="N4" s="52" t="s">
        <v>71</v>
      </c>
      <c r="O4" s="55"/>
    </row>
    <row r="5" spans="1:21" ht="15.75" x14ac:dyDescent="0.25">
      <c r="A5" s="50"/>
      <c r="B5" s="50"/>
      <c r="C5" s="57"/>
      <c r="D5" s="57"/>
      <c r="E5" s="57"/>
      <c r="F5" s="50"/>
      <c r="G5" s="50"/>
      <c r="H5" s="50"/>
      <c r="I5" s="50"/>
      <c r="J5" s="50"/>
      <c r="K5" s="50"/>
      <c r="L5" s="50"/>
      <c r="M5" s="2"/>
      <c r="N5" s="52" t="s">
        <v>72</v>
      </c>
      <c r="O5" s="58"/>
    </row>
    <row r="6" spans="1:2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2"/>
      <c r="N6" s="52"/>
      <c r="O6" s="53"/>
    </row>
    <row r="7" spans="1:2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2"/>
      <c r="N7" s="52" t="s">
        <v>73</v>
      </c>
      <c r="O7" s="58"/>
    </row>
    <row r="8" spans="1:21" x14ac:dyDescent="0.25">
      <c r="A8" s="5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2"/>
      <c r="N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1" ht="18" x14ac:dyDescent="0.25">
      <c r="A10" s="1"/>
      <c r="B10" s="508" t="s">
        <v>74</v>
      </c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508"/>
      <c r="N10" s="508"/>
      <c r="O10" s="508"/>
    </row>
    <row r="11" spans="1:21" ht="18" x14ac:dyDescent="0.25">
      <c r="A11" s="1"/>
      <c r="B11" s="508" t="s">
        <v>75</v>
      </c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T13">
        <v>2</v>
      </c>
    </row>
    <row r="14" spans="1:21" ht="15.75" x14ac:dyDescent="0.25">
      <c r="A14" s="1"/>
      <c r="B14" s="60" t="s">
        <v>0</v>
      </c>
      <c r="C14" s="1"/>
      <c r="D14" s="509" t="s">
        <v>108</v>
      </c>
      <c r="E14" s="509"/>
      <c r="F14" s="509"/>
      <c r="G14" s="509"/>
      <c r="H14" s="509"/>
      <c r="I14" s="509"/>
      <c r="J14" s="509"/>
      <c r="K14" s="509"/>
      <c r="L14" s="509"/>
      <c r="M14" s="509"/>
      <c r="N14" s="509"/>
      <c r="O14" s="509"/>
    </row>
    <row r="15" spans="1:21" ht="15.75" x14ac:dyDescent="0.25">
      <c r="A15" s="1"/>
      <c r="B15" s="61"/>
      <c r="C15" s="1"/>
      <c r="D15" s="62"/>
      <c r="E15" s="62"/>
      <c r="F15" s="62"/>
      <c r="G15" s="62"/>
      <c r="H15" s="62"/>
      <c r="I15" s="62"/>
      <c r="J15" s="62"/>
      <c r="K15" s="62"/>
      <c r="L15" s="62"/>
      <c r="M15" s="276"/>
      <c r="N15" s="62"/>
      <c r="O15" s="62"/>
    </row>
    <row r="16" spans="1:21" ht="15.75" x14ac:dyDescent="0.25">
      <c r="A16" s="1"/>
      <c r="B16" s="60" t="s">
        <v>76</v>
      </c>
      <c r="C16" s="1"/>
      <c r="D16" s="63" t="s">
        <v>77</v>
      </c>
      <c r="E16" s="62"/>
      <c r="F16" s="62"/>
      <c r="G16" s="62"/>
      <c r="H16" s="62"/>
      <c r="I16" s="62"/>
      <c r="J16" s="62"/>
      <c r="K16" s="62"/>
      <c r="L16" s="62"/>
      <c r="M16" s="276"/>
      <c r="N16" s="62"/>
      <c r="O16" s="62"/>
    </row>
    <row r="17" spans="1:60" ht="15.75" x14ac:dyDescent="0.25">
      <c r="A17" s="1"/>
      <c r="B17" s="61"/>
      <c r="C17" s="1"/>
      <c r="D17" s="62"/>
      <c r="E17" s="62"/>
      <c r="F17" s="62"/>
      <c r="G17" s="62"/>
      <c r="H17" s="62"/>
      <c r="I17" s="62"/>
      <c r="J17" s="62"/>
      <c r="K17" s="62"/>
      <c r="L17" s="62"/>
      <c r="M17" s="276"/>
      <c r="N17" s="62"/>
      <c r="O17" s="62"/>
    </row>
    <row r="18" spans="1:60" x14ac:dyDescent="0.25">
      <c r="A18" s="1"/>
      <c r="B18" s="64"/>
      <c r="C18" s="1"/>
      <c r="D18" s="65" t="s">
        <v>1</v>
      </c>
      <c r="E18" s="65"/>
      <c r="F18" s="66">
        <v>750</v>
      </c>
      <c r="G18" s="65" t="s">
        <v>78</v>
      </c>
      <c r="H18" s="1"/>
      <c r="I18" s="1"/>
      <c r="J18" s="1">
        <f>IF(D23="customer",1,IF(D23="kWh",F18,F19))</f>
        <v>1</v>
      </c>
      <c r="K18" s="1"/>
      <c r="L18" s="1"/>
      <c r="M18" s="3"/>
      <c r="N18" s="1"/>
      <c r="O18" s="1"/>
    </row>
    <row r="19" spans="1:60" x14ac:dyDescent="0.25">
      <c r="A19" s="1"/>
      <c r="B19" s="64"/>
      <c r="C19" s="1"/>
      <c r="D19" s="1"/>
      <c r="E19" s="1"/>
      <c r="F19" s="1"/>
      <c r="G19" s="1"/>
      <c r="H19" s="1"/>
      <c r="I19" s="1"/>
      <c r="J19" s="1"/>
      <c r="K19" s="1"/>
      <c r="L19" s="67"/>
      <c r="M19" s="3"/>
      <c r="N19" s="1"/>
      <c r="O19" s="1"/>
    </row>
    <row r="20" spans="1:60" x14ac:dyDescent="0.25">
      <c r="A20" s="1"/>
      <c r="B20" s="64"/>
      <c r="C20" s="1"/>
      <c r="D20" s="68"/>
      <c r="E20" s="68"/>
      <c r="F20" s="510" t="s">
        <v>105</v>
      </c>
      <c r="G20" s="511"/>
      <c r="H20" s="512"/>
      <c r="I20" s="1"/>
      <c r="J20" s="510" t="s">
        <v>104</v>
      </c>
      <c r="K20" s="511"/>
      <c r="L20" s="512"/>
      <c r="M20" s="3"/>
      <c r="N20" s="510" t="s">
        <v>61</v>
      </c>
      <c r="O20" s="512"/>
      <c r="Q20" s="506"/>
      <c r="R20" s="506"/>
      <c r="S20" s="506"/>
      <c r="T20" s="2"/>
      <c r="U20" s="506"/>
      <c r="V20" s="506"/>
      <c r="W20" s="69"/>
      <c r="X20" s="506"/>
      <c r="Y20" s="506"/>
      <c r="Z20" s="506"/>
      <c r="AA20" s="2"/>
      <c r="AB20" s="506"/>
      <c r="AC20" s="506"/>
      <c r="AD20" s="69"/>
      <c r="AE20" s="506"/>
      <c r="AF20" s="506"/>
      <c r="AG20" s="506"/>
      <c r="AH20" s="2"/>
      <c r="AI20" s="506"/>
      <c r="AJ20" s="506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</row>
    <row r="21" spans="1:60" ht="15" customHeight="1" x14ac:dyDescent="0.25">
      <c r="A21" s="1"/>
      <c r="B21" s="64"/>
      <c r="C21" s="1"/>
      <c r="D21" s="1"/>
      <c r="E21" s="70"/>
      <c r="F21" s="71" t="s">
        <v>2</v>
      </c>
      <c r="G21" s="71" t="s">
        <v>3</v>
      </c>
      <c r="H21" s="72" t="s">
        <v>4</v>
      </c>
      <c r="I21" s="1"/>
      <c r="J21" s="71" t="s">
        <v>2</v>
      </c>
      <c r="K21" s="73" t="s">
        <v>3</v>
      </c>
      <c r="L21" s="72" t="s">
        <v>4</v>
      </c>
      <c r="M21" s="3"/>
      <c r="N21" s="502" t="s">
        <v>62</v>
      </c>
      <c r="O21" s="504" t="s">
        <v>63</v>
      </c>
      <c r="Q21" s="270"/>
      <c r="R21" s="270"/>
      <c r="S21" s="270"/>
      <c r="T21" s="2"/>
      <c r="U21" s="501"/>
      <c r="V21" s="501"/>
      <c r="W21" s="69"/>
      <c r="X21" s="270"/>
      <c r="Y21" s="270"/>
      <c r="Z21" s="270"/>
      <c r="AA21" s="2"/>
      <c r="AB21" s="501"/>
      <c r="AC21" s="501"/>
      <c r="AD21" s="69"/>
      <c r="AE21" s="270"/>
      <c r="AF21" s="270"/>
      <c r="AG21" s="270"/>
      <c r="AH21" s="2"/>
      <c r="AI21" s="501"/>
      <c r="AJ21" s="501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</row>
    <row r="22" spans="1:60" x14ac:dyDescent="0.25">
      <c r="A22" s="1"/>
      <c r="B22" s="64"/>
      <c r="C22" s="1"/>
      <c r="D22" s="1"/>
      <c r="E22" s="70"/>
      <c r="F22" s="75" t="s">
        <v>79</v>
      </c>
      <c r="G22" s="75"/>
      <c r="H22" s="76" t="s">
        <v>79</v>
      </c>
      <c r="I22" s="1"/>
      <c r="J22" s="75" t="s">
        <v>79</v>
      </c>
      <c r="K22" s="76"/>
      <c r="L22" s="76" t="s">
        <v>79</v>
      </c>
      <c r="M22" s="3"/>
      <c r="N22" s="503"/>
      <c r="O22" s="505"/>
      <c r="Q22" s="77"/>
      <c r="R22" s="77"/>
      <c r="S22" s="77"/>
      <c r="T22" s="2"/>
      <c r="U22" s="501"/>
      <c r="V22" s="501"/>
      <c r="W22" s="69"/>
      <c r="X22" s="77"/>
      <c r="Y22" s="77"/>
      <c r="Z22" s="77"/>
      <c r="AA22" s="2"/>
      <c r="AB22" s="501"/>
      <c r="AC22" s="501"/>
      <c r="AD22" s="69"/>
      <c r="AE22" s="77"/>
      <c r="AF22" s="77"/>
      <c r="AG22" s="77"/>
      <c r="AH22" s="2"/>
      <c r="AI22" s="501"/>
      <c r="AJ22" s="501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</row>
    <row r="23" spans="1:60" x14ac:dyDescent="0.25">
      <c r="A23" s="7" t="s">
        <v>15</v>
      </c>
      <c r="B23" s="271" t="str">
        <f>IF(Rates!D216='Residential CND'!$A$23,Rates!B216," ")</f>
        <v>Service Charge</v>
      </c>
      <c r="C23" s="79"/>
      <c r="D23" s="271" t="str">
        <f>IF(Rates!D216='Residential CND'!$A$23,Rates!E216," ")</f>
        <v>customer</v>
      </c>
      <c r="E23" s="79"/>
      <c r="F23" s="80">
        <f>IF(Rates!$G$1="CND 2018",Rates!G216," ")</f>
        <v>21.350439999999999</v>
      </c>
      <c r="G23" s="398">
        <f>IF(D23="customer",1,IF(D23="kWh",$F$18,$F$19))</f>
        <v>1</v>
      </c>
      <c r="H23" s="372">
        <f>G23*F23</f>
        <v>21.350439999999999</v>
      </c>
      <c r="I23" s="83"/>
      <c r="J23" s="487">
        <f>IF(Rates!$L$1="E+ 2019",Rates!L216," ")</f>
        <v>27.33</v>
      </c>
      <c r="K23" s="97">
        <f>IF(D23="customer",1,IF(D23="kWh",$F$18,$F$19))</f>
        <v>1</v>
      </c>
      <c r="L23" s="82">
        <f t="shared" ref="L23:L34" si="0">K23*J23</f>
        <v>27.33</v>
      </c>
      <c r="M23" s="91"/>
      <c r="N23" s="84">
        <f t="shared" ref="N23:N60" si="1">L23-H23</f>
        <v>5.9795599999999993</v>
      </c>
      <c r="O23" s="85">
        <f>IF(OR(H23=0,L23=0),"",(N23/H23))</f>
        <v>0.28006729603699032</v>
      </c>
      <c r="Q23" s="86"/>
      <c r="R23" s="87"/>
      <c r="S23" s="88"/>
      <c r="T23" s="87"/>
      <c r="U23" s="89"/>
      <c r="V23" s="90"/>
      <c r="W23" s="69"/>
      <c r="X23" s="86"/>
      <c r="Y23" s="87"/>
      <c r="Z23" s="88"/>
      <c r="AA23" s="87"/>
      <c r="AB23" s="89"/>
      <c r="AC23" s="90"/>
      <c r="AD23" s="69"/>
      <c r="AE23" s="86"/>
      <c r="AF23" s="87"/>
      <c r="AG23" s="88"/>
      <c r="AH23" s="87"/>
      <c r="AI23" s="89"/>
      <c r="AJ23" s="90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</row>
    <row r="24" spans="1:60" x14ac:dyDescent="0.25">
      <c r="A24" s="1"/>
      <c r="B24" s="271" t="str">
        <f>IF(Rates!D217='Residential CND'!$A$23,Rates!B217," ")</f>
        <v>Rate Rider ACM</v>
      </c>
      <c r="C24" s="79"/>
      <c r="D24" s="271" t="str">
        <f>IF(Rates!D217='Residential CND'!$A$23,Rates!E217," ")</f>
        <v>customer</v>
      </c>
      <c r="E24" s="79"/>
      <c r="F24" s="80">
        <f>IF(Rates!$G$1="CND 2018",Rates!G217," ")</f>
        <v>0</v>
      </c>
      <c r="G24" s="398">
        <f t="shared" ref="G24:G34" si="2">IF(D24="customer",1,IF(D24="kWh",$F$18,$F$19))</f>
        <v>1</v>
      </c>
      <c r="H24" s="373">
        <f t="shared" ref="H24:H34" si="3">G24*F24</f>
        <v>0</v>
      </c>
      <c r="I24" s="83"/>
      <c r="J24" s="337">
        <f>IF(Rates!$L$1="E+ 2019",Rates!L217," ")</f>
        <v>0</v>
      </c>
      <c r="K24" s="97">
        <f t="shared" ref="K24:K34" si="4">IF(D24="customer",1,IF(D24="kWh",$F$18,$F$19))</f>
        <v>1</v>
      </c>
      <c r="L24" s="82">
        <f t="shared" si="0"/>
        <v>0</v>
      </c>
      <c r="M24" s="91"/>
      <c r="N24" s="84">
        <f t="shared" si="1"/>
        <v>0</v>
      </c>
      <c r="O24" s="85" t="str">
        <f t="shared" ref="O24:O34" si="5">IF(OR(H24=0,L24=0),"",(N24/H24))</f>
        <v/>
      </c>
      <c r="Q24" s="86"/>
      <c r="R24" s="87"/>
      <c r="S24" s="88"/>
      <c r="T24" s="87"/>
      <c r="U24" s="89"/>
      <c r="V24" s="90"/>
      <c r="W24" s="69"/>
      <c r="X24" s="86"/>
      <c r="Y24" s="87"/>
      <c r="Z24" s="88"/>
      <c r="AA24" s="87"/>
      <c r="AB24" s="89"/>
      <c r="AC24" s="90"/>
      <c r="AD24" s="69"/>
      <c r="AE24" s="86"/>
      <c r="AF24" s="87"/>
      <c r="AG24" s="88"/>
      <c r="AH24" s="87"/>
      <c r="AI24" s="89"/>
      <c r="AJ24" s="90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</row>
    <row r="25" spans="1:60" s="94" customFormat="1" x14ac:dyDescent="0.25">
      <c r="A25" s="3"/>
      <c r="B25" s="271" t="str">
        <f>IF(Rates!D218='Residential CND'!$A$23,Rates!B218," ")</f>
        <v>Distribution Volumetric Rate</v>
      </c>
      <c r="C25" s="79"/>
      <c r="D25" s="271" t="str">
        <f>IF(Rates!D218='Residential CND'!$A$23,Rates!E218," ")</f>
        <v>kWh</v>
      </c>
      <c r="E25" s="79"/>
      <c r="F25" s="312">
        <f>IF(Rates!$G$1="CND 2018",Rates!G218," ")</f>
        <v>4.6413999999999995E-3</v>
      </c>
      <c r="G25" s="398">
        <f t="shared" si="2"/>
        <v>750</v>
      </c>
      <c r="H25" s="373">
        <f>G25*F25</f>
        <v>3.4810499999999998</v>
      </c>
      <c r="I25" s="91"/>
      <c r="J25" s="337">
        <f>IF(Rates!$L$1="E+ 2019",Rates!L218," ")</f>
        <v>0</v>
      </c>
      <c r="K25" s="97">
        <f t="shared" si="4"/>
        <v>750</v>
      </c>
      <c r="L25" s="92">
        <f t="shared" si="0"/>
        <v>0</v>
      </c>
      <c r="M25" s="91"/>
      <c r="N25" s="84">
        <f t="shared" si="1"/>
        <v>-3.4810499999999998</v>
      </c>
      <c r="O25" s="85" t="str">
        <f t="shared" si="5"/>
        <v/>
      </c>
      <c r="Q25" s="95"/>
      <c r="R25" s="87"/>
      <c r="S25" s="88"/>
      <c r="T25" s="87"/>
      <c r="U25" s="89"/>
      <c r="V25" s="90"/>
      <c r="W25" s="69"/>
      <c r="X25" s="95"/>
      <c r="Y25" s="87"/>
      <c r="Z25" s="88"/>
      <c r="AA25" s="87"/>
      <c r="AB25" s="89"/>
      <c r="AC25" s="90"/>
      <c r="AD25" s="69"/>
      <c r="AE25" s="95"/>
      <c r="AF25" s="87"/>
      <c r="AG25" s="88"/>
      <c r="AH25" s="87"/>
      <c r="AI25" s="89"/>
      <c r="AJ25" s="90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</row>
    <row r="26" spans="1:60" s="94" customFormat="1" x14ac:dyDescent="0.25">
      <c r="A26" s="3"/>
      <c r="B26" s="271" t="str">
        <f>IF(Rates!D219='Residential CND'!$A$23,Rates!B219," ")</f>
        <v>Rate Rider ACM</v>
      </c>
      <c r="C26" s="79"/>
      <c r="D26" s="271" t="str">
        <f>IF(Rates!D219='Residential CND'!$A$23,Rates!E219," ")</f>
        <v>kWh</v>
      </c>
      <c r="E26" s="79"/>
      <c r="F26" s="80">
        <f>IF(Rates!$G$1="CND 2018",Rates!G219," ")</f>
        <v>0</v>
      </c>
      <c r="G26" s="398">
        <f t="shared" si="2"/>
        <v>750</v>
      </c>
      <c r="H26" s="373">
        <f t="shared" si="3"/>
        <v>0</v>
      </c>
      <c r="I26" s="91"/>
      <c r="J26" s="337">
        <f>IF(Rates!$L$1="E+ 2019",Rates!L219," ")</f>
        <v>0</v>
      </c>
      <c r="K26" s="97">
        <f t="shared" si="4"/>
        <v>750</v>
      </c>
      <c r="L26" s="92">
        <f t="shared" si="0"/>
        <v>0</v>
      </c>
      <c r="M26" s="91"/>
      <c r="N26" s="84">
        <f t="shared" si="1"/>
        <v>0</v>
      </c>
      <c r="O26" s="85" t="str">
        <f t="shared" si="5"/>
        <v/>
      </c>
      <c r="Q26" s="95"/>
      <c r="R26" s="87"/>
      <c r="S26" s="88"/>
      <c r="T26" s="87"/>
      <c r="U26" s="89"/>
      <c r="V26" s="90"/>
      <c r="W26" s="69"/>
      <c r="X26" s="95"/>
      <c r="Y26" s="87"/>
      <c r="Z26" s="88"/>
      <c r="AA26" s="87"/>
      <c r="AB26" s="89"/>
      <c r="AC26" s="90"/>
      <c r="AD26" s="69"/>
      <c r="AE26" s="95"/>
      <c r="AF26" s="87"/>
      <c r="AG26" s="88"/>
      <c r="AH26" s="87"/>
      <c r="AI26" s="89"/>
      <c r="AJ26" s="90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</row>
    <row r="27" spans="1:60" x14ac:dyDescent="0.25">
      <c r="A27" s="3"/>
      <c r="B27" s="271" t="str">
        <f>IF(Rates!D220='Residential CND'!$A$23,Rates!B220," ")</f>
        <v>Rate Rider for Disposition of Account 1575 and 1576</v>
      </c>
      <c r="C27" s="79"/>
      <c r="D27" s="271" t="str">
        <f>IF(Rates!D220='Residential CND'!$A$23,Rates!E220," ")</f>
        <v>customer</v>
      </c>
      <c r="E27" s="79"/>
      <c r="F27" s="80">
        <f>IF(Rates!$G$1="CND 2018",Rates!G220," ")</f>
        <v>0</v>
      </c>
      <c r="G27" s="398">
        <f t="shared" si="2"/>
        <v>1</v>
      </c>
      <c r="H27" s="374">
        <f t="shared" si="3"/>
        <v>0</v>
      </c>
      <c r="I27" s="83"/>
      <c r="J27" s="337">
        <f>IF(Rates!$L$1="E+ 2019",Rates!L220," ")</f>
        <v>-0.2126511495947081</v>
      </c>
      <c r="K27" s="97">
        <f t="shared" si="4"/>
        <v>1</v>
      </c>
      <c r="L27" s="92">
        <f t="shared" si="0"/>
        <v>-0.2126511495947081</v>
      </c>
      <c r="M27" s="91"/>
      <c r="N27" s="84">
        <f t="shared" si="1"/>
        <v>-0.2126511495947081</v>
      </c>
      <c r="O27" s="85" t="str">
        <f t="shared" si="5"/>
        <v/>
      </c>
      <c r="Q27" s="86"/>
      <c r="R27" s="87"/>
      <c r="S27" s="88"/>
      <c r="T27" s="87"/>
      <c r="U27" s="89"/>
      <c r="V27" s="90"/>
      <c r="W27" s="69"/>
      <c r="X27" s="86"/>
      <c r="Y27" s="87"/>
      <c r="Z27" s="88"/>
      <c r="AA27" s="87"/>
      <c r="AB27" s="89"/>
      <c r="AC27" s="90"/>
      <c r="AD27" s="69"/>
      <c r="AE27" s="86"/>
      <c r="AF27" s="87"/>
      <c r="AG27" s="88"/>
      <c r="AH27" s="87"/>
      <c r="AI27" s="89"/>
      <c r="AJ27" s="90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</row>
    <row r="28" spans="1:60" s="94" customFormat="1" x14ac:dyDescent="0.25">
      <c r="A28" s="3"/>
      <c r="B28" s="271" t="str">
        <f>IF(Rates!D221='Residential CND'!$A$23,Rates!B221," ")</f>
        <v>Rate Rider for Disposition of Account 1575 and 1576</v>
      </c>
      <c r="C28" s="79"/>
      <c r="D28" s="271" t="str">
        <f>IF(Rates!D221='Residential CND'!$A$23,Rates!E221," ")</f>
        <v>kWh</v>
      </c>
      <c r="E28" s="79"/>
      <c r="F28" s="80">
        <f>IF(Rates!$G$1="CND 2018",Rates!G221," ")</f>
        <v>0</v>
      </c>
      <c r="G28" s="398">
        <f t="shared" si="2"/>
        <v>750</v>
      </c>
      <c r="H28" s="374">
        <f t="shared" si="3"/>
        <v>0</v>
      </c>
      <c r="I28" s="91"/>
      <c r="J28" s="337">
        <f>IF(Rates!$L$1="E+ 2019",Rates!L221," ")</f>
        <v>0</v>
      </c>
      <c r="K28" s="97">
        <f t="shared" si="4"/>
        <v>750</v>
      </c>
      <c r="L28" s="92">
        <f t="shared" si="0"/>
        <v>0</v>
      </c>
      <c r="M28" s="91"/>
      <c r="N28" s="84">
        <f t="shared" si="1"/>
        <v>0</v>
      </c>
      <c r="O28" s="85" t="str">
        <f t="shared" si="5"/>
        <v/>
      </c>
      <c r="Q28" s="86"/>
      <c r="R28" s="87"/>
      <c r="S28" s="88"/>
      <c r="T28" s="87"/>
      <c r="U28" s="89"/>
      <c r="V28" s="90"/>
      <c r="W28" s="69"/>
      <c r="X28" s="86"/>
      <c r="Y28" s="87"/>
      <c r="Z28" s="88"/>
      <c r="AA28" s="87"/>
      <c r="AB28" s="89"/>
      <c r="AC28" s="90"/>
      <c r="AD28" s="69"/>
      <c r="AE28" s="86"/>
      <c r="AF28" s="87"/>
      <c r="AG28" s="88"/>
      <c r="AH28" s="87"/>
      <c r="AI28" s="89"/>
      <c r="AJ28" s="90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</row>
    <row r="29" spans="1:60" s="94" customFormat="1" x14ac:dyDescent="0.25">
      <c r="A29" s="3"/>
      <c r="B29" s="271" t="str">
        <f>IF(Rates!D222='Residential CND'!$A$23,Rates!B222," ")</f>
        <v>Rate Rider for Disposition of Account 1575 and 1576</v>
      </c>
      <c r="C29" s="79"/>
      <c r="D29" s="271" t="str">
        <f>IF(Rates!D222='Residential CND'!$A$23,Rates!E222," ")</f>
        <v>customer</v>
      </c>
      <c r="E29" s="79"/>
      <c r="F29" s="80">
        <f>IF(Rates!$G$1="CND 2018",Rates!G222," ")</f>
        <v>0</v>
      </c>
      <c r="G29" s="398">
        <f t="shared" si="2"/>
        <v>1</v>
      </c>
      <c r="H29" s="374">
        <f t="shared" si="3"/>
        <v>0</v>
      </c>
      <c r="I29" s="91"/>
      <c r="J29" s="337">
        <f>IF(Rates!$L$1="E+ 2019",Rates!L222," ")</f>
        <v>0</v>
      </c>
      <c r="K29" s="97">
        <f t="shared" si="4"/>
        <v>1</v>
      </c>
      <c r="L29" s="92">
        <f t="shared" si="0"/>
        <v>0</v>
      </c>
      <c r="M29" s="91"/>
      <c r="N29" s="84">
        <f t="shared" si="1"/>
        <v>0</v>
      </c>
      <c r="O29" s="85" t="str">
        <f t="shared" si="5"/>
        <v/>
      </c>
      <c r="Q29" s="98"/>
      <c r="R29" s="87"/>
      <c r="S29" s="88"/>
      <c r="T29" s="87"/>
      <c r="U29" s="89"/>
      <c r="V29" s="90"/>
      <c r="W29" s="69"/>
      <c r="X29" s="98"/>
      <c r="Y29" s="87"/>
      <c r="Z29" s="88"/>
      <c r="AA29" s="87"/>
      <c r="AB29" s="89"/>
      <c r="AC29" s="90"/>
      <c r="AD29" s="69"/>
      <c r="AE29" s="98"/>
      <c r="AF29" s="87"/>
      <c r="AG29" s="88"/>
      <c r="AH29" s="87"/>
      <c r="AI29" s="89"/>
      <c r="AJ29" s="90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</row>
    <row r="30" spans="1:60" s="101" customFormat="1" x14ac:dyDescent="0.25">
      <c r="A30" s="99"/>
      <c r="B30" s="271" t="str">
        <f>IF(Rates!D223='Residential CND'!$A$23,Rates!B223," ")</f>
        <v>Rate Rider for Disposition of Account 1575 and 1576</v>
      </c>
      <c r="C30" s="100"/>
      <c r="D30" s="271" t="str">
        <f>IF(Rates!D223='Residential CND'!$A$23,Rates!E223," ")</f>
        <v>kWh</v>
      </c>
      <c r="E30" s="79"/>
      <c r="F30" s="80">
        <f>IF(Rates!$G$1="CND 2018",Rates!G223," ")</f>
        <v>0</v>
      </c>
      <c r="G30" s="398">
        <f t="shared" si="2"/>
        <v>750</v>
      </c>
      <c r="H30" s="374">
        <f t="shared" si="3"/>
        <v>0</v>
      </c>
      <c r="I30" s="91"/>
      <c r="J30" s="337">
        <f>IF(Rates!$L$1="E+ 2019",Rates!L223," ")</f>
        <v>0</v>
      </c>
      <c r="K30" s="97">
        <f t="shared" si="4"/>
        <v>750</v>
      </c>
      <c r="L30" s="92">
        <f t="shared" si="0"/>
        <v>0</v>
      </c>
      <c r="M30" s="91"/>
      <c r="N30" s="84">
        <f t="shared" si="1"/>
        <v>0</v>
      </c>
      <c r="O30" s="85" t="str">
        <f t="shared" si="5"/>
        <v/>
      </c>
      <c r="Q30" s="102"/>
      <c r="R30" s="103"/>
      <c r="S30" s="104"/>
      <c r="T30" s="103"/>
      <c r="U30" s="105"/>
      <c r="V30" s="106"/>
      <c r="W30" s="107"/>
      <c r="X30" s="102"/>
      <c r="Y30" s="103"/>
      <c r="Z30" s="104"/>
      <c r="AA30" s="103"/>
      <c r="AB30" s="105"/>
      <c r="AC30" s="106"/>
      <c r="AD30" s="107"/>
      <c r="AE30" s="102"/>
      <c r="AF30" s="103"/>
      <c r="AG30" s="104"/>
      <c r="AH30" s="103"/>
      <c r="AI30" s="105"/>
      <c r="AJ30" s="106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</row>
    <row r="31" spans="1:60" s="94" customFormat="1" x14ac:dyDescent="0.25">
      <c r="A31" s="3"/>
      <c r="B31" s="271" t="str">
        <f>IF(Rates!D224='Residential CND'!$A$23,Rates!B224," ")</f>
        <v>Rate Rider for LRAMVA</v>
      </c>
      <c r="C31" s="79"/>
      <c r="D31" s="271" t="str">
        <f>IF(Rates!D224='Residential CND'!$A$23,Rates!E224," ")</f>
        <v>kWh</v>
      </c>
      <c r="E31" s="79"/>
      <c r="F31" s="80">
        <f>IF(Rates!$G$1="CND 2018",Rates!G224," ")</f>
        <v>0</v>
      </c>
      <c r="G31" s="398">
        <f t="shared" si="2"/>
        <v>750</v>
      </c>
      <c r="H31" s="374">
        <f t="shared" si="3"/>
        <v>0</v>
      </c>
      <c r="I31" s="91"/>
      <c r="J31" s="337">
        <f>IF(Rates!$L$1="E+ 2019",Rates!L224," ")</f>
        <v>6.1978880186534072E-5</v>
      </c>
      <c r="K31" s="97">
        <f t="shared" si="4"/>
        <v>750</v>
      </c>
      <c r="L31" s="92">
        <f t="shared" si="0"/>
        <v>4.6484160139900553E-2</v>
      </c>
      <c r="M31" s="91"/>
      <c r="N31" s="84">
        <f t="shared" si="1"/>
        <v>4.6484160139900553E-2</v>
      </c>
      <c r="O31" s="85" t="str">
        <f t="shared" si="5"/>
        <v/>
      </c>
      <c r="Q31" s="98"/>
      <c r="R31" s="87"/>
      <c r="S31" s="88"/>
      <c r="T31" s="87"/>
      <c r="U31" s="89"/>
      <c r="V31" s="90"/>
      <c r="W31" s="69"/>
      <c r="X31" s="98"/>
      <c r="Y31" s="87"/>
      <c r="Z31" s="88"/>
      <c r="AA31" s="87"/>
      <c r="AB31" s="89"/>
      <c r="AC31" s="90"/>
      <c r="AD31" s="69"/>
      <c r="AE31" s="98"/>
      <c r="AF31" s="87"/>
      <c r="AG31" s="88"/>
      <c r="AH31" s="87"/>
      <c r="AI31" s="89"/>
      <c r="AJ31" s="90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</row>
    <row r="32" spans="1:60" s="94" customFormat="1" x14ac:dyDescent="0.25">
      <c r="A32" s="3"/>
      <c r="B32" s="271" t="str">
        <f>IF(Rates!D225='Residential CND'!$A$23,Rates!B225," ")</f>
        <v xml:space="preserve">Rate Rider for Smart Meter (Stranded Meters) </v>
      </c>
      <c r="C32" s="79"/>
      <c r="D32" s="271" t="str">
        <f>IF(Rates!D225='Residential CND'!$A$23,Rates!E225," ")</f>
        <v>customer</v>
      </c>
      <c r="E32" s="79"/>
      <c r="F32" s="80">
        <f>IF(Rates!$G$1="CND 2018",Rates!G225," ")</f>
        <v>0</v>
      </c>
      <c r="G32" s="398">
        <f t="shared" si="2"/>
        <v>1</v>
      </c>
      <c r="H32" s="374">
        <f t="shared" si="3"/>
        <v>0</v>
      </c>
      <c r="I32" s="91"/>
      <c r="J32" s="337">
        <f>IF(Rates!$L$1="E+ 2019",Rates!L225," ")</f>
        <v>0.25994789727448581</v>
      </c>
      <c r="K32" s="97">
        <f t="shared" si="4"/>
        <v>1</v>
      </c>
      <c r="L32" s="92">
        <f t="shared" si="0"/>
        <v>0.25994789727448581</v>
      </c>
      <c r="M32" s="91"/>
      <c r="N32" s="84">
        <f t="shared" si="1"/>
        <v>0.25994789727448581</v>
      </c>
      <c r="O32" s="85" t="str">
        <f t="shared" si="5"/>
        <v/>
      </c>
      <c r="Q32" s="98"/>
      <c r="R32" s="87"/>
      <c r="S32" s="88"/>
      <c r="T32" s="87"/>
      <c r="U32" s="89"/>
      <c r="V32" s="90"/>
      <c r="W32" s="69"/>
      <c r="X32" s="98"/>
      <c r="Y32" s="87"/>
      <c r="Z32" s="88"/>
      <c r="AA32" s="87"/>
      <c r="AB32" s="89"/>
      <c r="AC32" s="90"/>
      <c r="AD32" s="69"/>
      <c r="AE32" s="98"/>
      <c r="AF32" s="87"/>
      <c r="AG32" s="88"/>
      <c r="AH32" s="87"/>
      <c r="AI32" s="89"/>
      <c r="AJ32" s="90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</row>
    <row r="33" spans="1:60" s="94" customFormat="1" x14ac:dyDescent="0.25">
      <c r="A33" s="3"/>
      <c r="B33" s="271" t="str">
        <f>IF(Rates!D226='Residential CND'!$A$23,Rates!B226," ")</f>
        <v>Other Fixed</v>
      </c>
      <c r="C33" s="79"/>
      <c r="D33" s="271" t="str">
        <f>IF(Rates!D226='Residential CND'!$A$23,Rates!E226," ")</f>
        <v>customer</v>
      </c>
      <c r="E33" s="79"/>
      <c r="F33" s="80">
        <f>IF(Rates!$G$1="CND 2018",Rates!G226," ")</f>
        <v>0</v>
      </c>
      <c r="G33" s="398">
        <f t="shared" si="2"/>
        <v>1</v>
      </c>
      <c r="H33" s="374">
        <f t="shared" si="3"/>
        <v>0</v>
      </c>
      <c r="I33" s="91"/>
      <c r="J33" s="337">
        <f>IF(Rates!$L$1="E+ 2019",Rates!L226," ")</f>
        <v>0</v>
      </c>
      <c r="K33" s="97">
        <f t="shared" si="4"/>
        <v>1</v>
      </c>
      <c r="L33" s="92">
        <f t="shared" si="0"/>
        <v>0</v>
      </c>
      <c r="M33" s="91"/>
      <c r="N33" s="84">
        <f t="shared" si="1"/>
        <v>0</v>
      </c>
      <c r="O33" s="85" t="str">
        <f t="shared" si="5"/>
        <v/>
      </c>
      <c r="Q33" s="95"/>
      <c r="R33" s="87"/>
      <c r="S33" s="88"/>
      <c r="T33" s="87"/>
      <c r="U33" s="89"/>
      <c r="V33" s="90"/>
      <c r="W33" s="69"/>
      <c r="X33" s="95"/>
      <c r="Y33" s="87"/>
      <c r="Z33" s="88"/>
      <c r="AA33" s="87"/>
      <c r="AB33" s="89"/>
      <c r="AC33" s="90"/>
      <c r="AD33" s="69"/>
      <c r="AE33" s="95"/>
      <c r="AF33" s="87"/>
      <c r="AG33" s="88"/>
      <c r="AH33" s="87"/>
      <c r="AI33" s="89"/>
      <c r="AJ33" s="90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</row>
    <row r="34" spans="1:60" s="94" customFormat="1" x14ac:dyDescent="0.25">
      <c r="A34" s="3"/>
      <c r="B34" s="271" t="str">
        <f>IF(Rates!D227='Residential CND'!$A$23,Rates!B227," ")</f>
        <v>Other Volumetric</v>
      </c>
      <c r="C34" s="79"/>
      <c r="D34" s="271" t="str">
        <f>IF(Rates!D227='Residential CND'!$A$23,Rates!E227," ")</f>
        <v>kWh</v>
      </c>
      <c r="E34" s="79"/>
      <c r="F34" s="80">
        <f>IF(Rates!$G$1="CND 2018",Rates!G227," ")</f>
        <v>0</v>
      </c>
      <c r="G34" s="398">
        <f t="shared" si="2"/>
        <v>750</v>
      </c>
      <c r="H34" s="374">
        <f t="shared" si="3"/>
        <v>0</v>
      </c>
      <c r="I34" s="91"/>
      <c r="J34" s="337">
        <f>IF(Rates!$L$1="E+ 2019",Rates!L227," ")</f>
        <v>0</v>
      </c>
      <c r="K34" s="97">
        <f t="shared" si="4"/>
        <v>750</v>
      </c>
      <c r="L34" s="92">
        <f t="shared" si="0"/>
        <v>0</v>
      </c>
      <c r="M34" s="91"/>
      <c r="N34" s="84">
        <f t="shared" si="1"/>
        <v>0</v>
      </c>
      <c r="O34" s="85" t="str">
        <f t="shared" si="5"/>
        <v/>
      </c>
      <c r="Q34" s="95"/>
      <c r="R34" s="87"/>
      <c r="S34" s="88"/>
      <c r="T34" s="87"/>
      <c r="U34" s="89"/>
      <c r="V34" s="90"/>
      <c r="W34" s="69"/>
      <c r="X34" s="95"/>
      <c r="Y34" s="87"/>
      <c r="Z34" s="88"/>
      <c r="AA34" s="87"/>
      <c r="AB34" s="89"/>
      <c r="AC34" s="90"/>
      <c r="AD34" s="69"/>
      <c r="AE34" s="95"/>
      <c r="AF34" s="87"/>
      <c r="AG34" s="88"/>
      <c r="AH34" s="87"/>
      <c r="AI34" s="89"/>
      <c r="AJ34" s="90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</row>
    <row r="35" spans="1:60" s="94" customFormat="1" x14ac:dyDescent="0.25">
      <c r="A35" s="3"/>
      <c r="B35" s="271" t="str">
        <f>IF(Rates!D228='Residential CND'!$A$23,Rates!B228," ")</f>
        <v>Rate Rider for gain on Sale of Property</v>
      </c>
      <c r="C35" s="79"/>
      <c r="D35" s="271" t="str">
        <f>IF(Rates!D228='Residential CND'!$A$23,Rates!E228," ")</f>
        <v>Customer</v>
      </c>
      <c r="E35" s="79"/>
      <c r="F35" s="80">
        <f>IF(Rates!$G$1="CND 2018",Rates!G228," ")</f>
        <v>0</v>
      </c>
      <c r="G35" s="398">
        <f t="shared" ref="G35" si="6">IF(D35="customer",1,IF(D35="kWh",$F$18,$F$19))</f>
        <v>1</v>
      </c>
      <c r="H35" s="374">
        <f t="shared" ref="H35" si="7">G35*F35</f>
        <v>0</v>
      </c>
      <c r="I35" s="91"/>
      <c r="J35" s="337">
        <f>IF(Rates!$L$1="E+ 2019",Rates!L228," ")</f>
        <v>-0.16323570297172302</v>
      </c>
      <c r="K35" s="97">
        <f t="shared" ref="K35" si="8">IF(D35="customer",1,IF(D35="kWh",$F$18,$F$19))</f>
        <v>1</v>
      </c>
      <c r="L35" s="92">
        <f t="shared" ref="L35" si="9">K35*J35</f>
        <v>-0.16323570297172302</v>
      </c>
      <c r="M35" s="91"/>
      <c r="N35" s="84">
        <f t="shared" ref="N35" si="10">L35-H35</f>
        <v>-0.16323570297172302</v>
      </c>
      <c r="O35" s="85" t="str">
        <f t="shared" ref="O35" si="11">IF(OR(H35=0,L35=0),"",(N35/H35))</f>
        <v/>
      </c>
      <c r="Q35" s="98"/>
      <c r="R35" s="87"/>
      <c r="S35" s="88"/>
      <c r="T35" s="87"/>
      <c r="U35" s="89"/>
      <c r="V35" s="90"/>
      <c r="W35" s="69"/>
      <c r="X35" s="98"/>
      <c r="Y35" s="87"/>
      <c r="Z35" s="88"/>
      <c r="AA35" s="87"/>
      <c r="AB35" s="89"/>
      <c r="AC35" s="90"/>
      <c r="AD35" s="69"/>
      <c r="AE35" s="98"/>
      <c r="AF35" s="87"/>
      <c r="AG35" s="88"/>
      <c r="AH35" s="87"/>
      <c r="AI35" s="89"/>
      <c r="AJ35" s="90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</row>
    <row r="36" spans="1:60" s="94" customFormat="1" x14ac:dyDescent="0.25">
      <c r="A36" s="3"/>
      <c r="B36" s="109" t="s">
        <v>64</v>
      </c>
      <c r="C36" s="110"/>
      <c r="D36" s="110"/>
      <c r="E36" s="110"/>
      <c r="F36" s="111"/>
      <c r="G36" s="112"/>
      <c r="H36" s="113">
        <f>SUM(H23:H35)</f>
        <v>24.831489999999999</v>
      </c>
      <c r="I36" s="114"/>
      <c r="J36" s="115"/>
      <c r="K36" s="116"/>
      <c r="L36" s="113">
        <f>SUM(L23:L35)</f>
        <v>27.260545204847954</v>
      </c>
      <c r="M36" s="91"/>
      <c r="N36" s="117">
        <f t="shared" si="1"/>
        <v>2.4290552048479555</v>
      </c>
      <c r="O36" s="118">
        <f>IF(OR(H36=0, L36=0),"",(N36/H36))</f>
        <v>9.7821564668409175E-2</v>
      </c>
      <c r="Q36" s="119"/>
      <c r="R36" s="120"/>
      <c r="S36" s="88"/>
      <c r="T36" s="87"/>
      <c r="U36" s="121"/>
      <c r="V36" s="122"/>
      <c r="W36" s="69"/>
      <c r="X36" s="119"/>
      <c r="Y36" s="120"/>
      <c r="Z36" s="88"/>
      <c r="AA36" s="87"/>
      <c r="AB36" s="121"/>
      <c r="AC36" s="122"/>
      <c r="AD36" s="69"/>
      <c r="AE36" s="119"/>
      <c r="AF36" s="120"/>
      <c r="AG36" s="88"/>
      <c r="AH36" s="87"/>
      <c r="AI36" s="121"/>
      <c r="AJ36" s="122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</row>
    <row r="37" spans="1:60" s="94" customFormat="1" x14ac:dyDescent="0.25">
      <c r="A37" s="5" t="s">
        <v>18</v>
      </c>
      <c r="B37" s="271" t="str">
        <f>IF(Rates!D229='Residential CND'!$A$37,Rates!B229," ")</f>
        <v>Low Voltage Service Rate</v>
      </c>
      <c r="C37" s="79"/>
      <c r="D37" s="271" t="str">
        <f>IF(Rates!D229='Residential CND'!$A$37,Rates!E229," ")</f>
        <v>kWh</v>
      </c>
      <c r="E37" s="79"/>
      <c r="F37" s="235">
        <f>IF(Rates!$G$1="CND 2018",Rates!G229," ")</f>
        <v>1E-4</v>
      </c>
      <c r="G37" s="398">
        <f t="shared" ref="G37" si="12">IF(D37="customer",1,IF(D37="kWh",$F$18,$F$19))</f>
        <v>750</v>
      </c>
      <c r="H37" s="376">
        <f>G37*F37</f>
        <v>7.4999999999999997E-2</v>
      </c>
      <c r="I37" s="87"/>
      <c r="J37" s="235">
        <f>IF(Rates!$L$1="E+ 2019",Rates!L229," ")</f>
        <v>4.0000000000000002E-4</v>
      </c>
      <c r="K37" s="97">
        <f t="shared" ref="K37" si="13">IF(D37="customer",1,IF(D37="kWh",$F$18,$F$19))</f>
        <v>750</v>
      </c>
      <c r="L37" s="92">
        <f t="shared" ref="L37:L44" si="14">K37*J37</f>
        <v>0.3</v>
      </c>
      <c r="M37" s="87"/>
      <c r="N37" s="123">
        <f t="shared" si="1"/>
        <v>0.22499999999999998</v>
      </c>
      <c r="O37" s="93">
        <f t="shared" ref="O37:O45" si="15">IF(OR(H37=0,L37=0),"",(N37/H37))</f>
        <v>3</v>
      </c>
      <c r="Q37" s="119"/>
      <c r="R37" s="87"/>
      <c r="S37" s="88"/>
      <c r="T37" s="87"/>
      <c r="U37" s="89"/>
      <c r="V37" s="90"/>
      <c r="W37" s="69"/>
      <c r="X37" s="119"/>
      <c r="Y37" s="87"/>
      <c r="Z37" s="88"/>
      <c r="AA37" s="87"/>
      <c r="AB37" s="89"/>
      <c r="AC37" s="90"/>
      <c r="AD37" s="69"/>
      <c r="AE37" s="119"/>
      <c r="AF37" s="87"/>
      <c r="AG37" s="88"/>
      <c r="AH37" s="87"/>
      <c r="AI37" s="89"/>
      <c r="AJ37" s="90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</row>
    <row r="38" spans="1:60" x14ac:dyDescent="0.25">
      <c r="A38" s="1"/>
      <c r="B38" s="271" t="s">
        <v>5</v>
      </c>
      <c r="C38" s="79"/>
      <c r="D38" s="271" t="s">
        <v>13</v>
      </c>
      <c r="E38" s="79"/>
      <c r="F38" s="275">
        <f>IF(ISBLANK($D16)=TRUE, 0, IF($D16="TOU", 0.65*$F55+0.17*$F56+0.18*$F57, IF(AND($D16="non-TOU", G59&gt;0), $F59,$F58)))</f>
        <v>8.2160000000000011E-2</v>
      </c>
      <c r="G38" s="375">
        <f>$F18*(1+$F68)-$F18</f>
        <v>25.125000000000114</v>
      </c>
      <c r="H38" s="377">
        <f t="shared" ref="H38:H41" si="16">G38*F38</f>
        <v>2.0642700000000098</v>
      </c>
      <c r="I38" s="83"/>
      <c r="J38" s="275">
        <f>IF(ISBLANK($D16)=TRUE, 0, IF($D16="TOU", 0.65*$F55+0.17*$F56+0.18*$F57, IF(AND($D16="non-TOU", K59&gt;0), $F59,$F58)))</f>
        <v>8.2160000000000011E-2</v>
      </c>
      <c r="K38" s="125">
        <f>$F18*(1+$J68)-$F18</f>
        <v>23.013487458020222</v>
      </c>
      <c r="L38" s="126">
        <f t="shared" si="14"/>
        <v>1.8907881295509417</v>
      </c>
      <c r="M38" s="91"/>
      <c r="N38" s="123">
        <f t="shared" si="1"/>
        <v>-0.17348187044906815</v>
      </c>
      <c r="O38" s="93">
        <f t="shared" si="15"/>
        <v>-8.404030017830387E-2</v>
      </c>
      <c r="Q38" s="128"/>
      <c r="R38" s="129"/>
      <c r="S38" s="88"/>
      <c r="T38" s="87"/>
      <c r="U38" s="89"/>
      <c r="V38" s="90"/>
      <c r="W38" s="69"/>
      <c r="X38" s="128"/>
      <c r="Y38" s="129"/>
      <c r="Z38" s="88"/>
      <c r="AA38" s="87"/>
      <c r="AB38" s="89"/>
      <c r="AC38" s="90"/>
      <c r="AD38" s="69"/>
      <c r="AE38" s="128"/>
      <c r="AF38" s="129"/>
      <c r="AG38" s="88"/>
      <c r="AH38" s="87"/>
      <c r="AI38" s="89"/>
      <c r="AJ38" s="90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</row>
    <row r="39" spans="1:60" s="101" customFormat="1" x14ac:dyDescent="0.25">
      <c r="A39" s="130"/>
      <c r="B39" s="271" t="str">
        <f>IF(Rates!D230='Residential CND'!$A$37,Rates!B230," ")</f>
        <v>Rate Rider Other Fixed</v>
      </c>
      <c r="C39" s="79"/>
      <c r="D39" s="271" t="str">
        <f>IF(Rates!D230='Residential CND'!$A$37,Rates!E230," ")</f>
        <v>customer</v>
      </c>
      <c r="E39" s="79"/>
      <c r="F39" s="235">
        <f>IF(Rates!$G$1="CND 2018",Rates!G230," ")</f>
        <v>0</v>
      </c>
      <c r="G39" s="398">
        <f t="shared" ref="G39:G45" si="17">IF(D39="customer",1,IF(D39="kWh",$F$18,$F$19))</f>
        <v>1</v>
      </c>
      <c r="H39" s="374">
        <f t="shared" si="16"/>
        <v>0</v>
      </c>
      <c r="I39" s="91"/>
      <c r="J39" s="235">
        <f>IF(Rates!$L$1="E+ 2019",Rates!L230," ")</f>
        <v>0</v>
      </c>
      <c r="K39" s="97">
        <f t="shared" ref="K39:K45" si="18">IF(D39="customer",1,IF(D39="kWh",$F$18,$F$19))</f>
        <v>1</v>
      </c>
      <c r="L39" s="126">
        <f t="shared" si="14"/>
        <v>0</v>
      </c>
      <c r="M39" s="91"/>
      <c r="N39" s="123">
        <f t="shared" si="1"/>
        <v>0</v>
      </c>
      <c r="O39" s="93" t="str">
        <f t="shared" si="15"/>
        <v/>
      </c>
      <c r="Q39" s="102"/>
      <c r="R39" s="103"/>
      <c r="S39" s="104"/>
      <c r="T39" s="103"/>
      <c r="U39" s="105"/>
      <c r="V39" s="106"/>
      <c r="W39" s="107"/>
      <c r="X39" s="102"/>
      <c r="Y39" s="103"/>
      <c r="Z39" s="104"/>
      <c r="AA39" s="103"/>
      <c r="AB39" s="105"/>
      <c r="AC39" s="106"/>
      <c r="AD39" s="107"/>
      <c r="AE39" s="102"/>
      <c r="AF39" s="103"/>
      <c r="AG39" s="104"/>
      <c r="AH39" s="103"/>
      <c r="AI39" s="105"/>
      <c r="AJ39" s="106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</row>
    <row r="40" spans="1:60" s="101" customFormat="1" x14ac:dyDescent="0.25">
      <c r="A40" s="130"/>
      <c r="B40" s="271" t="str">
        <f>IF(Rates!D231='Residential CND'!$A$37,Rates!B231," ")</f>
        <v>Rate Rider for Smart Metering Entity Charge - effective until October 31, 2018</v>
      </c>
      <c r="C40" s="79"/>
      <c r="D40" s="271" t="str">
        <f>IF(Rates!D231='Residential CND'!$A$37,Rates!E231," ")</f>
        <v>customer</v>
      </c>
      <c r="E40" s="79"/>
      <c r="F40" s="235">
        <f>IF(Rates!$G$1="CND 2018",Rates!G231," ")</f>
        <v>0.56999999999999995</v>
      </c>
      <c r="G40" s="398">
        <f t="shared" si="17"/>
        <v>1</v>
      </c>
      <c r="H40" s="374">
        <f t="shared" si="16"/>
        <v>0.56999999999999995</v>
      </c>
      <c r="I40" s="91"/>
      <c r="J40" s="80">
        <f>IF(Rates!$L$1="E+ 2019",Rates!L231," ")</f>
        <v>0.56999999999999995</v>
      </c>
      <c r="K40" s="97">
        <f t="shared" si="18"/>
        <v>1</v>
      </c>
      <c r="L40" s="126">
        <f t="shared" si="14"/>
        <v>0.56999999999999995</v>
      </c>
      <c r="M40" s="91"/>
      <c r="N40" s="123">
        <f t="shared" si="1"/>
        <v>0</v>
      </c>
      <c r="O40" s="93">
        <f>IF(OR(H40=0,L40=0),"",(N40/H40))</f>
        <v>0</v>
      </c>
      <c r="Q40" s="102"/>
      <c r="R40" s="103"/>
      <c r="S40" s="104"/>
      <c r="T40" s="103"/>
      <c r="U40" s="105"/>
      <c r="V40" s="106"/>
      <c r="W40" s="107"/>
      <c r="X40" s="102"/>
      <c r="Y40" s="103"/>
      <c r="Z40" s="104"/>
      <c r="AA40" s="103"/>
      <c r="AB40" s="105"/>
      <c r="AC40" s="106"/>
      <c r="AD40" s="107"/>
      <c r="AE40" s="102"/>
      <c r="AF40" s="103"/>
      <c r="AG40" s="104"/>
      <c r="AH40" s="103"/>
      <c r="AI40" s="105"/>
      <c r="AJ40" s="106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</row>
    <row r="41" spans="1:60" s="101" customFormat="1" x14ac:dyDescent="0.25">
      <c r="A41" s="130"/>
      <c r="B41" s="271" t="str">
        <f>IF(Rates!D232='Residential CND'!$A$37,Rates!B232," ")</f>
        <v>Rate Rider Other Volumetric</v>
      </c>
      <c r="C41" s="79"/>
      <c r="D41" s="271" t="str">
        <f>IF(Rates!D232='Residential CND'!$A$37,Rates!E232," ")</f>
        <v>Customer</v>
      </c>
      <c r="E41" s="79"/>
      <c r="F41" s="273">
        <f>IF(Rates!$G$1="CND 2018",Rates!G232," ")</f>
        <v>0</v>
      </c>
      <c r="G41" s="398">
        <f t="shared" si="17"/>
        <v>1</v>
      </c>
      <c r="H41" s="374">
        <f t="shared" si="16"/>
        <v>0</v>
      </c>
      <c r="I41" s="91"/>
      <c r="J41" s="235">
        <f>IF(Rates!$L$1="E+ 2019",Rates!L232," ")</f>
        <v>0.69826111473472707</v>
      </c>
      <c r="K41" s="97">
        <f t="shared" si="18"/>
        <v>1</v>
      </c>
      <c r="L41" s="126">
        <f>K41*J41</f>
        <v>0.69826111473472707</v>
      </c>
      <c r="M41" s="91"/>
      <c r="N41" s="123">
        <f t="shared" si="1"/>
        <v>0.69826111473472707</v>
      </c>
      <c r="O41" s="93" t="str">
        <f t="shared" si="15"/>
        <v/>
      </c>
      <c r="Q41" s="102"/>
      <c r="R41" s="103"/>
      <c r="S41" s="104"/>
      <c r="T41" s="103"/>
      <c r="U41" s="105"/>
      <c r="V41" s="106"/>
      <c r="W41" s="107"/>
      <c r="X41" s="102"/>
      <c r="Y41" s="103"/>
      <c r="Z41" s="104"/>
      <c r="AA41" s="103"/>
      <c r="AB41" s="105"/>
      <c r="AC41" s="106"/>
      <c r="AD41" s="107"/>
      <c r="AE41" s="102"/>
      <c r="AF41" s="103"/>
      <c r="AG41" s="104"/>
      <c r="AH41" s="103"/>
      <c r="AI41" s="105"/>
      <c r="AJ41" s="106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</row>
    <row r="42" spans="1:60" s="101" customFormat="1" x14ac:dyDescent="0.25">
      <c r="A42" s="130"/>
      <c r="B42" s="271" t="str">
        <f>IF(Rates!D233='Residential CND'!$A$37,Rates!B233," ")</f>
        <v xml:space="preserve">Rate Rider for Disposition of Deferral/Variance Accounts </v>
      </c>
      <c r="C42" s="79"/>
      <c r="D42" s="271" t="str">
        <f>IF(Rates!D233='Residential CND'!$A$37,Rates!E233," ")</f>
        <v>kWh</v>
      </c>
      <c r="E42" s="79"/>
      <c r="F42" s="235">
        <f>IF(Rates!$G$1="CND 2018",Rates!G233," ")</f>
        <v>-6.268366589161683E-3</v>
      </c>
      <c r="G42" s="398">
        <f t="shared" si="17"/>
        <v>750</v>
      </c>
      <c r="H42" s="378">
        <f>G42*F42</f>
        <v>-4.7012749418712625</v>
      </c>
      <c r="I42" s="91"/>
      <c r="J42" s="337">
        <f>IF(Rates!$L$1="E+ 2019",Rates!L233," ")</f>
        <v>-1.7004562090666019E-3</v>
      </c>
      <c r="K42" s="97">
        <f t="shared" si="18"/>
        <v>750</v>
      </c>
      <c r="L42" s="92">
        <f t="shared" si="14"/>
        <v>-1.2753421567999514</v>
      </c>
      <c r="M42" s="91"/>
      <c r="N42" s="123">
        <f t="shared" si="1"/>
        <v>3.425932785071311</v>
      </c>
      <c r="O42" s="93">
        <f t="shared" si="15"/>
        <v>-0.72872419235869601</v>
      </c>
      <c r="Q42" s="102"/>
      <c r="R42" s="103"/>
      <c r="S42" s="104"/>
      <c r="T42" s="103"/>
      <c r="U42" s="105"/>
      <c r="V42" s="106"/>
      <c r="W42" s="107"/>
      <c r="X42" s="102"/>
      <c r="Y42" s="103"/>
      <c r="Z42" s="104"/>
      <c r="AA42" s="103"/>
      <c r="AB42" s="105"/>
      <c r="AC42" s="106"/>
      <c r="AD42" s="107"/>
      <c r="AE42" s="102"/>
      <c r="AF42" s="103"/>
      <c r="AG42" s="104"/>
      <c r="AH42" s="103"/>
      <c r="AI42" s="105"/>
      <c r="AJ42" s="106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</row>
    <row r="43" spans="1:60" s="101" customFormat="1" x14ac:dyDescent="0.25">
      <c r="A43" s="130"/>
      <c r="B43" s="271" t="str">
        <f>IF(Rates!D234='Residential CND'!$A$37,Rates!B234," ")</f>
        <v>Rate Rider for Disposition of Deferral/Variance Accounts Non-WMP Customers</v>
      </c>
      <c r="C43" s="79"/>
      <c r="D43" s="271" t="str">
        <f>IF(Rates!D234='Residential CND'!$A$37,Rates!E234," ")</f>
        <v>kWh</v>
      </c>
      <c r="E43" s="79"/>
      <c r="F43" s="235">
        <f>IF(Rates!$G$1="CND 2018",Rates!G234," ")</f>
        <v>0</v>
      </c>
      <c r="G43" s="398">
        <f t="shared" si="17"/>
        <v>750</v>
      </c>
      <c r="H43" s="374"/>
      <c r="I43" s="91"/>
      <c r="J43" s="235">
        <f>IF(Rates!$L$1="E+ 2019",Rates!L234," ")</f>
        <v>0</v>
      </c>
      <c r="K43" s="97">
        <f t="shared" si="18"/>
        <v>750</v>
      </c>
      <c r="L43" s="92">
        <f t="shared" si="14"/>
        <v>0</v>
      </c>
      <c r="M43" s="91"/>
      <c r="N43" s="123">
        <f t="shared" si="1"/>
        <v>0</v>
      </c>
      <c r="O43" s="93" t="str">
        <f t="shared" si="15"/>
        <v/>
      </c>
      <c r="Q43" s="102"/>
      <c r="R43" s="103"/>
      <c r="S43" s="104"/>
      <c r="T43" s="103"/>
      <c r="U43" s="105"/>
      <c r="V43" s="106"/>
      <c r="W43" s="107"/>
      <c r="X43" s="102"/>
      <c r="Y43" s="103"/>
      <c r="Z43" s="104"/>
      <c r="AA43" s="103"/>
      <c r="AB43" s="105"/>
      <c r="AC43" s="106"/>
      <c r="AD43" s="107"/>
      <c r="AE43" s="102"/>
      <c r="AF43" s="103"/>
      <c r="AG43" s="104"/>
      <c r="AH43" s="103"/>
      <c r="AI43" s="105"/>
      <c r="AJ43" s="106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</row>
    <row r="44" spans="1:60" x14ac:dyDescent="0.25">
      <c r="A44" s="1"/>
      <c r="B44" s="271" t="str">
        <f>IF(Rates!D235='Residential CND'!$A$37,Rates!B235," ")</f>
        <v>Rate Rider for Disposition of GA DV</v>
      </c>
      <c r="C44" s="79"/>
      <c r="D44" s="271" t="str">
        <f>IF(Rates!D235='Residential CND'!$A$37,Rates!E235," ")</f>
        <v>kWh</v>
      </c>
      <c r="E44" s="79"/>
      <c r="F44" s="235">
        <f>IF(Rates!$G$1="CND 2018",Rates!G235," ")</f>
        <v>3.3E-3</v>
      </c>
      <c r="G44" s="398">
        <f t="shared" si="17"/>
        <v>750</v>
      </c>
      <c r="H44" s="377">
        <f>G44*F44</f>
        <v>2.4750000000000001</v>
      </c>
      <c r="I44" s="83"/>
      <c r="J44" s="235">
        <f>IF(Rates!$L$1="E+ 2019",Rates!L235," ")</f>
        <v>3.8449181889326281E-4</v>
      </c>
      <c r="K44" s="97">
        <f t="shared" si="18"/>
        <v>750</v>
      </c>
      <c r="L44" s="126">
        <f t="shared" si="14"/>
        <v>0.28836886416994711</v>
      </c>
      <c r="M44" s="91"/>
      <c r="N44" s="123">
        <f t="shared" si="1"/>
        <v>-2.1866311358300532</v>
      </c>
      <c r="O44" s="93">
        <f t="shared" si="15"/>
        <v>-0.88348732760810222</v>
      </c>
      <c r="Q44" s="131"/>
      <c r="R44" s="87"/>
      <c r="S44" s="88"/>
      <c r="T44" s="87"/>
      <c r="U44" s="89"/>
      <c r="V44" s="90"/>
      <c r="W44" s="69"/>
      <c r="X44" s="131"/>
      <c r="Y44" s="87"/>
      <c r="Z44" s="88"/>
      <c r="AA44" s="87"/>
      <c r="AB44" s="89"/>
      <c r="AC44" s="90"/>
      <c r="AD44" s="69"/>
      <c r="AE44" s="131"/>
      <c r="AF44" s="87"/>
      <c r="AG44" s="88"/>
      <c r="AH44" s="87"/>
      <c r="AI44" s="89"/>
      <c r="AJ44" s="90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</row>
    <row r="45" spans="1:60" x14ac:dyDescent="0.25">
      <c r="A45" s="1"/>
      <c r="B45" s="271" t="str">
        <f>IF(Rates!D236='Residential CND'!$A$37,Rates!B236," ")</f>
        <v>Rate Rider for Disposition of Capacity Based Recovery Account (2018) - Applicable only for Class B Customers</v>
      </c>
      <c r="C45" s="79"/>
      <c r="D45" s="271" t="str">
        <f>IF(Rates!D236='Residential CND'!$A$37,Rates!E236," ")</f>
        <v>kWh</v>
      </c>
      <c r="E45" s="79"/>
      <c r="F45" s="235">
        <f>IF(Rates!$G$1="CND 2018",Rates!G236," ")</f>
        <v>4.0000000000000002E-4</v>
      </c>
      <c r="G45" s="398">
        <f t="shared" si="17"/>
        <v>750</v>
      </c>
      <c r="H45" s="377">
        <f>G45*F45</f>
        <v>0.3</v>
      </c>
      <c r="I45" s="83"/>
      <c r="J45" s="235">
        <f>IF(Rates!$L$1="E+ 2019",Rates!L236," ")</f>
        <v>4.9568533837617714E-6</v>
      </c>
      <c r="K45" s="97">
        <f t="shared" si="18"/>
        <v>750</v>
      </c>
      <c r="L45" s="126">
        <f t="shared" ref="L45" si="19">K45*J45</f>
        <v>3.7176400378213285E-3</v>
      </c>
      <c r="M45" s="91"/>
      <c r="N45" s="123">
        <f t="shared" ref="N45" si="20">L45-H45</f>
        <v>-0.29628235996217867</v>
      </c>
      <c r="O45" s="93">
        <f t="shared" si="15"/>
        <v>-0.98760786654059562</v>
      </c>
      <c r="Q45" s="131"/>
      <c r="R45" s="87"/>
      <c r="S45" s="88"/>
      <c r="T45" s="87"/>
      <c r="U45" s="89"/>
      <c r="V45" s="90"/>
      <c r="W45" s="69"/>
      <c r="X45" s="131"/>
      <c r="Y45" s="87"/>
      <c r="Z45" s="88"/>
      <c r="AA45" s="87"/>
      <c r="AB45" s="89"/>
      <c r="AC45" s="90"/>
      <c r="AD45" s="69"/>
      <c r="AE45" s="131"/>
      <c r="AF45" s="87"/>
      <c r="AG45" s="88"/>
      <c r="AH45" s="87"/>
      <c r="AI45" s="89"/>
      <c r="AJ45" s="90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</row>
    <row r="46" spans="1:60" hidden="1" x14ac:dyDescent="0.25">
      <c r="A46" s="1"/>
      <c r="B46" s="271"/>
      <c r="C46" s="79"/>
      <c r="D46" s="271"/>
      <c r="E46" s="79"/>
      <c r="F46" s="235"/>
      <c r="G46" s="398"/>
      <c r="H46" s="379"/>
      <c r="I46" s="83"/>
      <c r="J46" s="337"/>
      <c r="K46" s="97"/>
      <c r="L46" s="126"/>
      <c r="M46" s="91"/>
      <c r="N46" s="123"/>
      <c r="O46" s="93"/>
      <c r="Q46" s="131"/>
      <c r="R46" s="87"/>
      <c r="S46" s="88"/>
      <c r="T46" s="87"/>
      <c r="U46" s="89"/>
      <c r="V46" s="90"/>
      <c r="W46" s="69"/>
      <c r="X46" s="131"/>
      <c r="Y46" s="87"/>
      <c r="Z46" s="88"/>
      <c r="AA46" s="87"/>
      <c r="AB46" s="89"/>
      <c r="AC46" s="90"/>
      <c r="AD46" s="69"/>
      <c r="AE46" s="131"/>
      <c r="AF46" s="87"/>
      <c r="AG46" s="88"/>
      <c r="AH46" s="87"/>
      <c r="AI46" s="89"/>
      <c r="AJ46" s="90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</row>
    <row r="47" spans="1:60" x14ac:dyDescent="0.25">
      <c r="A47" s="1"/>
      <c r="B47" s="132" t="s">
        <v>80</v>
      </c>
      <c r="C47" s="133"/>
      <c r="D47" s="133"/>
      <c r="E47" s="133"/>
      <c r="F47" s="134"/>
      <c r="G47" s="135"/>
      <c r="H47" s="136">
        <f>SUM(H37:H42)+H36+H45+H46</f>
        <v>23.139485058128745</v>
      </c>
      <c r="I47" s="87"/>
      <c r="J47" s="135"/>
      <c r="K47" s="137"/>
      <c r="L47" s="136">
        <f>SUM(L37:L42)+L36+L45+L46</f>
        <v>29.447969932371493</v>
      </c>
      <c r="M47" s="87"/>
      <c r="N47" s="136">
        <f>SUM(N37:N42)+N36+N45+N46</f>
        <v>6.3084848742427466</v>
      </c>
      <c r="O47" s="138">
        <f t="shared" ref="O47:O51" si="21">IF(OR(H47=0,L47=0),"",(N47/H47))</f>
        <v>0.27262857658220091</v>
      </c>
      <c r="Q47" s="87"/>
      <c r="R47" s="87"/>
      <c r="S47" s="121"/>
      <c r="T47" s="87"/>
      <c r="U47" s="121"/>
      <c r="V47" s="139"/>
      <c r="W47" s="69"/>
      <c r="X47" s="87"/>
      <c r="Y47" s="87"/>
      <c r="Z47" s="121"/>
      <c r="AA47" s="87"/>
      <c r="AB47" s="121"/>
      <c r="AC47" s="139"/>
      <c r="AD47" s="69"/>
      <c r="AE47" s="87"/>
      <c r="AF47" s="87"/>
      <c r="AG47" s="121"/>
      <c r="AH47" s="87"/>
      <c r="AI47" s="121"/>
      <c r="AJ47" s="13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</row>
    <row r="48" spans="1:60" x14ac:dyDescent="0.25">
      <c r="A48" s="38" t="s">
        <v>16</v>
      </c>
      <c r="B48" s="271" t="str">
        <f>IF(Rates!D237='Residential CND'!$A$48,Rates!B237," ")</f>
        <v>Retail Transmission Rate – Network Service Rate</v>
      </c>
      <c r="C48" s="79"/>
      <c r="D48" s="271" t="str">
        <f>IF(Rates!D237='Residential CND'!$A$48,Rates!E237," ")</f>
        <v>kWh</v>
      </c>
      <c r="E48" s="91"/>
      <c r="F48" s="235">
        <f>IF(Rates!$G$1="CND 2018",Rates!G237," ")</f>
        <v>5.8999999999999999E-3</v>
      </c>
      <c r="G48" s="140">
        <f>$F18*(1+$F68)</f>
        <v>775.12500000000011</v>
      </c>
      <c r="H48" s="82">
        <f>G48*F48</f>
        <v>4.5732375000000003</v>
      </c>
      <c r="I48" s="87"/>
      <c r="J48" s="235">
        <f>IF(Rates!$L$1="E+ 2019",Rates!L237," ")</f>
        <v>5.5481168316355673E-3</v>
      </c>
      <c r="K48" s="140">
        <f>$F18*(1+$J$68)</f>
        <v>773.01348745802022</v>
      </c>
      <c r="L48" s="82">
        <f>K48*J48</f>
        <v>4.2887691408471511</v>
      </c>
      <c r="M48" s="87"/>
      <c r="N48" s="84">
        <f t="shared" si="1"/>
        <v>-0.28446835915284918</v>
      </c>
      <c r="O48" s="85">
        <f t="shared" si="21"/>
        <v>-6.2202839706629966E-2</v>
      </c>
      <c r="Q48" s="98"/>
      <c r="R48" s="141"/>
      <c r="S48" s="294">
        <f>F48*K48</f>
        <v>4.5607795760023189</v>
      </c>
      <c r="T48" s="87"/>
      <c r="U48" s="89"/>
      <c r="V48" s="90"/>
      <c r="W48" s="69"/>
      <c r="X48" s="98"/>
      <c r="Y48" s="141"/>
      <c r="Z48" s="88"/>
      <c r="AA48" s="87"/>
      <c r="AB48" s="89"/>
      <c r="AC48" s="90"/>
      <c r="AD48" s="69"/>
      <c r="AE48" s="98"/>
      <c r="AF48" s="141"/>
      <c r="AG48" s="88"/>
      <c r="AH48" s="87"/>
      <c r="AI48" s="89"/>
      <c r="AJ48" s="90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</row>
    <row r="49" spans="1:60" x14ac:dyDescent="0.25">
      <c r="A49" s="1"/>
      <c r="B49" s="271" t="str">
        <f>IF(Rates!D238='Residential CND'!$A$48,Rates!B238," ")</f>
        <v>Retail Transmission Rate – Line and Transformation Connection Service Rate</v>
      </c>
      <c r="C49" s="79"/>
      <c r="D49" s="271" t="str">
        <f>IF(Rates!D238='Residential CND'!$A$48,Rates!E238," ")</f>
        <v>kWh</v>
      </c>
      <c r="E49" s="91"/>
      <c r="F49" s="235">
        <f>IF(Rates!$G$1="CND 2018",Rates!G238," ")</f>
        <v>4.4000000000000003E-3</v>
      </c>
      <c r="G49" s="140">
        <f>$G48</f>
        <v>775.12500000000011</v>
      </c>
      <c r="H49" s="82">
        <f>G49*F49</f>
        <v>3.4105500000000006</v>
      </c>
      <c r="I49" s="87"/>
      <c r="J49" s="235">
        <f>IF(Rates!$L$1="E+ 2019",Rates!L238," ")</f>
        <v>4.137812914852752E-3</v>
      </c>
      <c r="K49" s="140">
        <f>$F$18*(1+$J$68)</f>
        <v>773.01348745802022</v>
      </c>
      <c r="L49" s="82">
        <f>K49*J49</f>
        <v>3.1985851917591619</v>
      </c>
      <c r="M49" s="87"/>
      <c r="N49" s="84">
        <f t="shared" si="1"/>
        <v>-0.21196480824083874</v>
      </c>
      <c r="O49" s="85">
        <f t="shared" si="21"/>
        <v>-6.2149743660359386E-2</v>
      </c>
      <c r="Q49" s="98"/>
      <c r="R49" s="141"/>
      <c r="S49" s="295">
        <f>F49*K49</f>
        <v>3.4012593448152892</v>
      </c>
      <c r="T49" s="87"/>
      <c r="U49" s="89"/>
      <c r="V49" s="90"/>
      <c r="W49" s="69"/>
      <c r="X49" s="98"/>
      <c r="Y49" s="141"/>
      <c r="Z49" s="88"/>
      <c r="AA49" s="87"/>
      <c r="AB49" s="89"/>
      <c r="AC49" s="90"/>
      <c r="AD49" s="69"/>
      <c r="AE49" s="98"/>
      <c r="AF49" s="141"/>
      <c r="AG49" s="88"/>
      <c r="AH49" s="87"/>
      <c r="AI49" s="89"/>
      <c r="AJ49" s="90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</row>
    <row r="50" spans="1:60" x14ac:dyDescent="0.25">
      <c r="A50" s="1"/>
      <c r="B50" s="132" t="s">
        <v>81</v>
      </c>
      <c r="C50" s="110"/>
      <c r="D50" s="110"/>
      <c r="E50" s="110"/>
      <c r="F50" s="142"/>
      <c r="G50" s="135"/>
      <c r="H50" s="136">
        <f>SUM(H47:H49)</f>
        <v>31.123272558128747</v>
      </c>
      <c r="I50" s="146"/>
      <c r="J50" s="144"/>
      <c r="K50" s="145"/>
      <c r="L50" s="136">
        <f>SUM(L47:L49)</f>
        <v>36.935324264977808</v>
      </c>
      <c r="M50" s="146"/>
      <c r="N50" s="117">
        <f>L50-H50</f>
        <v>5.8120517068490614</v>
      </c>
      <c r="O50" s="138">
        <f t="shared" si="21"/>
        <v>0.18674294921891416</v>
      </c>
      <c r="Q50" s="146"/>
      <c r="R50" s="146"/>
      <c r="S50" s="296">
        <f>S48+S49</f>
        <v>7.9620389208176086</v>
      </c>
      <c r="T50" s="146"/>
      <c r="U50" s="121"/>
      <c r="V50" s="139"/>
      <c r="W50" s="69"/>
      <c r="X50" s="146"/>
      <c r="Y50" s="146"/>
      <c r="Z50" s="121"/>
      <c r="AA50" s="146"/>
      <c r="AB50" s="121"/>
      <c r="AC50" s="139"/>
      <c r="AD50" s="69"/>
      <c r="AE50" s="146"/>
      <c r="AF50" s="146"/>
      <c r="AG50" s="121"/>
      <c r="AH50" s="146"/>
      <c r="AI50" s="121"/>
      <c r="AJ50" s="13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</row>
    <row r="51" spans="1:60" x14ac:dyDescent="0.25">
      <c r="A51" s="4" t="s">
        <v>17</v>
      </c>
      <c r="B51" s="271" t="str">
        <f>IF(Rates!D8='Residential CND'!$A$51,Rates!B8," ")</f>
        <v>Standard Supply Service – Administrative Charge (if applicable)</v>
      </c>
      <c r="C51" s="79"/>
      <c r="D51" s="271" t="str">
        <f>IF(Rates!D8='Residential CND'!$A$51,Rates!E8," ")</f>
        <v>customer</v>
      </c>
      <c r="E51" s="79"/>
      <c r="F51" s="235">
        <f>IF(Rates!$G$1="CND 2018",Rates!G8," ")</f>
        <v>0.25</v>
      </c>
      <c r="G51" s="398">
        <f t="shared" ref="G51" si="22">IF(D51="customer",1,IF(D51="kWh",$F$18,$F$19))</f>
        <v>1</v>
      </c>
      <c r="H51" s="383">
        <f t="shared" ref="H51:H59" si="23">G51*F51</f>
        <v>0.25</v>
      </c>
      <c r="I51" s="87"/>
      <c r="J51" s="80">
        <f>IF(Rates!$L$1="E+ 2019",Rates!L8," ")</f>
        <v>0.25</v>
      </c>
      <c r="K51" s="97">
        <f t="shared" ref="K51" si="24">IF(D51="customer",1,IF(D51="kWh",$F$18,$F$19))</f>
        <v>1</v>
      </c>
      <c r="L51" s="383">
        <f t="shared" ref="L51:L59" si="25">K51*J51</f>
        <v>0.25</v>
      </c>
      <c r="M51" s="87"/>
      <c r="N51" s="149">
        <f t="shared" si="1"/>
        <v>0</v>
      </c>
      <c r="O51" s="85">
        <f t="shared" si="21"/>
        <v>0</v>
      </c>
      <c r="Q51" s="150"/>
      <c r="R51" s="141"/>
      <c r="S51" s="151"/>
      <c r="T51" s="87"/>
      <c r="U51" s="89"/>
      <c r="V51" s="90"/>
      <c r="W51" s="69"/>
      <c r="X51" s="150"/>
      <c r="Y51" s="141"/>
      <c r="Z51" s="151"/>
      <c r="AA51" s="87"/>
      <c r="AB51" s="89"/>
      <c r="AC51" s="90"/>
      <c r="AD51" s="69"/>
      <c r="AE51" s="150"/>
      <c r="AF51" s="141"/>
      <c r="AG51" s="151"/>
      <c r="AH51" s="87"/>
      <c r="AI51" s="89"/>
      <c r="AJ51" s="90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</row>
    <row r="52" spans="1:60" x14ac:dyDescent="0.25">
      <c r="A52" s="1"/>
      <c r="B52" s="271" t="str">
        <f>IF(Rates!D9='Residential CND'!$A$51,Rates!B9," ")</f>
        <v xml:space="preserve">Wholesale Market Service Rate </v>
      </c>
      <c r="C52" s="79"/>
      <c r="D52" s="271" t="str">
        <f>IF(Rates!D9='Residential CND'!$A$51,Rates!E9," ")</f>
        <v>kWh</v>
      </c>
      <c r="E52" s="79"/>
      <c r="F52" s="235">
        <f>IF(Rates!$G$1="CND 2018",Rates!G9," ")</f>
        <v>3.2000000000000002E-3</v>
      </c>
      <c r="G52" s="380">
        <f>G48</f>
        <v>775.12500000000011</v>
      </c>
      <c r="H52" s="155">
        <f t="shared" si="23"/>
        <v>2.4804000000000004</v>
      </c>
      <c r="I52" s="87"/>
      <c r="J52" s="235">
        <f>IF(Rates!$L$1="E+ 2019",Rates!L9," ")</f>
        <v>3.2000000000000002E-3</v>
      </c>
      <c r="K52" s="140">
        <f>$F$18*(1+$J$68)</f>
        <v>773.01348745802022</v>
      </c>
      <c r="L52" s="155">
        <f t="shared" si="25"/>
        <v>2.4736431598656647</v>
      </c>
      <c r="M52" s="87"/>
      <c r="N52" s="84">
        <f t="shared" si="1"/>
        <v>-6.7568401343356399E-3</v>
      </c>
      <c r="O52" s="85">
        <f t="shared" ref="O52:O65" si="26">IF(OR(H52=0,L52=0),"",(N52/H52))</f>
        <v>-2.7240929424026928E-3</v>
      </c>
      <c r="Q52" s="150"/>
      <c r="R52" s="141"/>
      <c r="S52" s="151"/>
      <c r="T52" s="87"/>
      <c r="U52" s="89"/>
      <c r="V52" s="90"/>
      <c r="W52" s="69"/>
      <c r="X52" s="150"/>
      <c r="Y52" s="141"/>
      <c r="Z52" s="151"/>
      <c r="AA52" s="87"/>
      <c r="AB52" s="89"/>
      <c r="AC52" s="90"/>
      <c r="AD52" s="69"/>
      <c r="AE52" s="150"/>
      <c r="AF52" s="141"/>
      <c r="AG52" s="151"/>
      <c r="AH52" s="87"/>
      <c r="AI52" s="89"/>
      <c r="AJ52" s="90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</row>
    <row r="53" spans="1:60" x14ac:dyDescent="0.25">
      <c r="A53" s="1"/>
      <c r="B53" s="271" t="str">
        <f>IF(Rates!D10='Residential CND'!$A$51,Rates!B10," ")</f>
        <v>Capacity Based Rcovery(CBR) - Class B Customers</v>
      </c>
      <c r="C53" s="79"/>
      <c r="D53" s="271" t="str">
        <f>IF(Rates!D10='Residential CND'!$A$51,Rates!E10," ")</f>
        <v>kWh</v>
      </c>
      <c r="E53" s="79"/>
      <c r="F53" s="235">
        <f>IF(Rates!$G$1="CND 2018",Rates!G10," ")</f>
        <v>4.0000000000000002E-4</v>
      </c>
      <c r="G53" s="380">
        <f>G48</f>
        <v>775.12500000000011</v>
      </c>
      <c r="H53" s="155">
        <f t="shared" si="23"/>
        <v>0.31005000000000005</v>
      </c>
      <c r="I53" s="87"/>
      <c r="J53" s="235">
        <f>IF(Rates!$L$1="E+ 2019",Rates!L10," ")</f>
        <v>4.0000000000000002E-4</v>
      </c>
      <c r="K53" s="140">
        <f>$F$18*(1+$J$68)</f>
        <v>773.01348745802022</v>
      </c>
      <c r="L53" s="155">
        <f t="shared" si="25"/>
        <v>0.30920539498320809</v>
      </c>
      <c r="M53" s="87"/>
      <c r="N53" s="84">
        <f t="shared" si="1"/>
        <v>-8.4460501679195499E-4</v>
      </c>
      <c r="O53" s="85">
        <f t="shared" si="26"/>
        <v>-2.7240929424026928E-3</v>
      </c>
      <c r="Q53" s="150"/>
      <c r="R53" s="141"/>
      <c r="S53" s="151"/>
      <c r="T53" s="87"/>
      <c r="U53" s="89"/>
      <c r="V53" s="90"/>
      <c r="W53" s="69"/>
      <c r="X53" s="150"/>
      <c r="Y53" s="141"/>
      <c r="Z53" s="151"/>
      <c r="AA53" s="87"/>
      <c r="AB53" s="89"/>
      <c r="AC53" s="90"/>
      <c r="AD53" s="69"/>
      <c r="AE53" s="150"/>
      <c r="AF53" s="141"/>
      <c r="AG53" s="151"/>
      <c r="AH53" s="87"/>
      <c r="AI53" s="89"/>
      <c r="AJ53" s="90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</row>
    <row r="54" spans="1:60" x14ac:dyDescent="0.25">
      <c r="A54" s="1"/>
      <c r="B54" s="271" t="str">
        <f>IF(Rates!D11='Residential CND'!$A$51,Rates!B11," ")</f>
        <v xml:space="preserve">Rural Rate Protection Charge </v>
      </c>
      <c r="C54" s="79"/>
      <c r="D54" s="271" t="str">
        <f>IF(Rates!D11='Residential CND'!$A$51,Rates!E11," ")</f>
        <v>kWh</v>
      </c>
      <c r="E54" s="79"/>
      <c r="F54" s="235">
        <f>IF(Rates!$G$1="CND 2018",Rates!G11," ")</f>
        <v>2.9999999999999997E-4</v>
      </c>
      <c r="G54" s="380">
        <f>G49</f>
        <v>775.12500000000011</v>
      </c>
      <c r="H54" s="155">
        <f t="shared" si="23"/>
        <v>0.23253750000000001</v>
      </c>
      <c r="I54" s="87"/>
      <c r="J54" s="235">
        <f>IF(Rates!$L$1="E+ 2019",Rates!L11," ")</f>
        <v>2.9999999999999997E-4</v>
      </c>
      <c r="K54" s="140">
        <f>$F$18*(1+$J$68)</f>
        <v>773.01348745802022</v>
      </c>
      <c r="L54" s="155">
        <f t="shared" si="25"/>
        <v>0.23190404623740604</v>
      </c>
      <c r="M54" s="87"/>
      <c r="N54" s="84">
        <f t="shared" si="1"/>
        <v>-6.3345376259396624E-4</v>
      </c>
      <c r="O54" s="85">
        <f t="shared" si="26"/>
        <v>-2.7240929424026928E-3</v>
      </c>
      <c r="Q54" s="153"/>
      <c r="R54" s="87"/>
      <c r="S54" s="151"/>
      <c r="T54" s="87"/>
      <c r="U54" s="89"/>
      <c r="V54" s="90"/>
      <c r="W54" s="69"/>
      <c r="X54" s="153"/>
      <c r="Y54" s="87"/>
      <c r="Z54" s="151"/>
      <c r="AA54" s="87"/>
      <c r="AB54" s="89"/>
      <c r="AC54" s="90"/>
      <c r="AD54" s="69"/>
      <c r="AE54" s="153"/>
      <c r="AF54" s="87"/>
      <c r="AG54" s="151"/>
      <c r="AH54" s="87"/>
      <c r="AI54" s="89"/>
      <c r="AJ54" s="90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</row>
    <row r="55" spans="1:60" x14ac:dyDescent="0.25">
      <c r="A55" s="6" t="s">
        <v>14</v>
      </c>
      <c r="B55" s="271" t="str">
        <f>IF(Rates!D2='Residential CND'!$A$55,Rates!B2," ")</f>
        <v>TOU - Off Peak</v>
      </c>
      <c r="C55" s="79"/>
      <c r="D55" s="271" t="str">
        <f>IF(Rates!D2='Residential CND'!$A$55,Rates!E2," ")</f>
        <v>kWh</v>
      </c>
      <c r="E55" s="79"/>
      <c r="F55" s="235">
        <f>IF(Rates!$G$1="CND 2018",Rates!G2," ")</f>
        <v>6.5000000000000002E-2</v>
      </c>
      <c r="G55" s="381">
        <f>IF($D$16="TOU",0.65*$F$18,0)</f>
        <v>487.5</v>
      </c>
      <c r="H55" s="155">
        <f>G55*F55</f>
        <v>31.6875</v>
      </c>
      <c r="I55" s="87"/>
      <c r="J55" s="235">
        <f>IF(Rates!$L$1="E+ 2019",Rates!L2," ")</f>
        <v>6.5000000000000002E-2</v>
      </c>
      <c r="K55" s="154">
        <f>$G55</f>
        <v>487.5</v>
      </c>
      <c r="L55" s="155">
        <f t="shared" si="25"/>
        <v>31.6875</v>
      </c>
      <c r="M55" s="87"/>
      <c r="N55" s="84">
        <f t="shared" si="1"/>
        <v>0</v>
      </c>
      <c r="O55" s="156">
        <f t="shared" si="26"/>
        <v>0</v>
      </c>
      <c r="Q55" s="157"/>
      <c r="R55" s="158"/>
      <c r="S55" s="151"/>
      <c r="T55" s="87"/>
      <c r="U55" s="89"/>
      <c r="V55" s="90"/>
      <c r="W55" s="69"/>
      <c r="X55" s="157"/>
      <c r="Y55" s="158"/>
      <c r="Z55" s="151"/>
      <c r="AA55" s="87"/>
      <c r="AB55" s="89"/>
      <c r="AC55" s="90"/>
      <c r="AD55" s="69"/>
      <c r="AE55" s="157"/>
      <c r="AF55" s="158"/>
      <c r="AG55" s="151"/>
      <c r="AH55" s="87"/>
      <c r="AI55" s="89"/>
      <c r="AJ55" s="90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</row>
    <row r="56" spans="1:60" x14ac:dyDescent="0.25">
      <c r="A56" s="1"/>
      <c r="B56" s="271" t="str">
        <f>IF(Rates!D3='Residential CND'!$A$55,Rates!B3," ")</f>
        <v>TOU - Mid Peak</v>
      </c>
      <c r="C56" s="79"/>
      <c r="D56" s="271" t="str">
        <f>IF(Rates!D3='Residential CND'!$A$55,Rates!E3," ")</f>
        <v>kWh</v>
      </c>
      <c r="E56" s="79"/>
      <c r="F56" s="235">
        <f>IF(Rates!$G$1="CND 2018",Rates!G3," ")</f>
        <v>9.5000000000000001E-2</v>
      </c>
      <c r="G56" s="381">
        <f>IF($D$16="TOU",0.17*$F$18,0)</f>
        <v>127.50000000000001</v>
      </c>
      <c r="H56" s="155">
        <f t="shared" si="23"/>
        <v>12.112500000000001</v>
      </c>
      <c r="I56" s="87"/>
      <c r="J56" s="235">
        <f>IF(Rates!$L$1="E+ 2019",Rates!L3," ")</f>
        <v>9.5000000000000001E-2</v>
      </c>
      <c r="K56" s="154">
        <f>$G56</f>
        <v>127.50000000000001</v>
      </c>
      <c r="L56" s="155">
        <f t="shared" si="25"/>
        <v>12.112500000000001</v>
      </c>
      <c r="M56" s="87"/>
      <c r="N56" s="84">
        <f t="shared" si="1"/>
        <v>0</v>
      </c>
      <c r="O56" s="156">
        <f t="shared" si="26"/>
        <v>0</v>
      </c>
      <c r="Q56" s="157"/>
      <c r="R56" s="158"/>
      <c r="S56" s="151"/>
      <c r="T56" s="87"/>
      <c r="U56" s="89"/>
      <c r="V56" s="90"/>
      <c r="W56" s="69"/>
      <c r="X56" s="157"/>
      <c r="Y56" s="158"/>
      <c r="Z56" s="151"/>
      <c r="AA56" s="87"/>
      <c r="AB56" s="89"/>
      <c r="AC56" s="90"/>
      <c r="AD56" s="69"/>
      <c r="AE56" s="157"/>
      <c r="AF56" s="158"/>
      <c r="AG56" s="151"/>
      <c r="AH56" s="87"/>
      <c r="AI56" s="89"/>
      <c r="AJ56" s="90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</row>
    <row r="57" spans="1:60" x14ac:dyDescent="0.25">
      <c r="A57" s="1"/>
      <c r="B57" s="271" t="str">
        <f>IF(Rates!D4='Residential CND'!$A$55,Rates!B4," ")</f>
        <v>TOU - On Peak</v>
      </c>
      <c r="C57" s="79"/>
      <c r="D57" s="271" t="str">
        <f>IF(Rates!D4='Residential CND'!$A$55,Rates!E4," ")</f>
        <v>kWh</v>
      </c>
      <c r="E57" s="79"/>
      <c r="F57" s="235">
        <f>IF(Rates!$G$1="CND 2018",Rates!G4," ")</f>
        <v>0.13200000000000001</v>
      </c>
      <c r="G57" s="381">
        <f>IF($D$16="TOU",0.18*$F$18,0)</f>
        <v>135</v>
      </c>
      <c r="H57" s="155">
        <f t="shared" si="23"/>
        <v>17.82</v>
      </c>
      <c r="I57" s="87"/>
      <c r="J57" s="235">
        <f>IF(Rates!$L$1="E+ 2019",Rates!L4," ")</f>
        <v>0.13200000000000001</v>
      </c>
      <c r="K57" s="154">
        <f>$G57</f>
        <v>135</v>
      </c>
      <c r="L57" s="155">
        <f t="shared" si="25"/>
        <v>17.82</v>
      </c>
      <c r="M57" s="87"/>
      <c r="N57" s="84">
        <f t="shared" si="1"/>
        <v>0</v>
      </c>
      <c r="O57" s="156">
        <f t="shared" si="26"/>
        <v>0</v>
      </c>
      <c r="Q57" s="157"/>
      <c r="R57" s="158"/>
      <c r="S57" s="151"/>
      <c r="T57" s="87"/>
      <c r="U57" s="89"/>
      <c r="V57" s="90"/>
      <c r="W57" s="69"/>
      <c r="X57" s="157"/>
      <c r="Y57" s="158"/>
      <c r="Z57" s="151"/>
      <c r="AA57" s="87"/>
      <c r="AB57" s="89"/>
      <c r="AC57" s="90"/>
      <c r="AD57" s="69"/>
      <c r="AE57" s="157"/>
      <c r="AF57" s="158"/>
      <c r="AG57" s="151"/>
      <c r="AH57" s="87"/>
      <c r="AI57" s="89"/>
      <c r="AJ57" s="90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</row>
    <row r="58" spans="1:60" x14ac:dyDescent="0.25">
      <c r="A58" s="159"/>
      <c r="B58" s="271" t="str">
        <f>IF(Rates!D5='Residential CND'!$A$55,Rates!B5," ")</f>
        <v>Commodity</v>
      </c>
      <c r="C58" s="79"/>
      <c r="D58" s="271" t="str">
        <f>IF(Rates!D5='Residential CND'!$A$55,Rates!E5," ")</f>
        <v>kWh</v>
      </c>
      <c r="E58" s="161"/>
      <c r="F58" s="235">
        <f>IF(Rates!$G$1="CND 2018",Rates!G5," ")</f>
        <v>1.8855833333333332E-2</v>
      </c>
      <c r="G58" s="382">
        <f>IF($D$16="TOU", 0,$F$18)</f>
        <v>0</v>
      </c>
      <c r="H58" s="155">
        <f t="shared" si="23"/>
        <v>0</v>
      </c>
      <c r="I58" s="166"/>
      <c r="J58" s="235">
        <f>IF(Rates!$L$1="E+ 2019",Rates!L5," ")</f>
        <v>1.8855833333333332E-2</v>
      </c>
      <c r="K58" s="162">
        <f>G58</f>
        <v>0</v>
      </c>
      <c r="L58" s="155">
        <f t="shared" si="25"/>
        <v>0</v>
      </c>
      <c r="M58" s="166"/>
      <c r="N58" s="164">
        <f t="shared" si="1"/>
        <v>0</v>
      </c>
      <c r="O58" s="156" t="str">
        <f t="shared" si="26"/>
        <v/>
      </c>
      <c r="Q58" s="157"/>
      <c r="R58" s="165"/>
      <c r="S58" s="151"/>
      <c r="T58" s="166"/>
      <c r="U58" s="89"/>
      <c r="V58" s="90"/>
      <c r="W58" s="69"/>
      <c r="X58" s="157"/>
      <c r="Y58" s="165"/>
      <c r="Z58" s="151"/>
      <c r="AA58" s="166"/>
      <c r="AB58" s="89"/>
      <c r="AC58" s="90"/>
      <c r="AD58" s="69"/>
      <c r="AE58" s="157"/>
      <c r="AF58" s="165"/>
      <c r="AG58" s="151"/>
      <c r="AH58" s="166"/>
      <c r="AI58" s="89"/>
      <c r="AJ58" s="90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</row>
    <row r="59" spans="1:60" x14ac:dyDescent="0.25">
      <c r="A59" s="159"/>
      <c r="B59" s="271" t="str">
        <f>IF(Rates!D6='Residential CND'!$A$55,Rates!B6," ")</f>
        <v>Global Adjustment</v>
      </c>
      <c r="C59" s="79"/>
      <c r="D59" s="271" t="str">
        <f>IF(Rates!D6='Residential CND'!$A$55,Rates!E6," ")</f>
        <v>kWh</v>
      </c>
      <c r="E59" s="161"/>
      <c r="F59" s="235">
        <f>IF(Rates!$G$1="CND 2018",Rates!G6," ")</f>
        <v>0.10303000000000001</v>
      </c>
      <c r="G59" s="382">
        <f>IF($D$16="TOU", 0,$F$18)</f>
        <v>0</v>
      </c>
      <c r="H59" s="155">
        <f t="shared" si="23"/>
        <v>0</v>
      </c>
      <c r="I59" s="166"/>
      <c r="J59" s="235">
        <f>IF(Rates!$L$1="E+ 2019",Rates!L6," ")</f>
        <v>0.10303000000000001</v>
      </c>
      <c r="K59" s="162">
        <f>$G59</f>
        <v>0</v>
      </c>
      <c r="L59" s="155">
        <f t="shared" si="25"/>
        <v>0</v>
      </c>
      <c r="M59" s="166"/>
      <c r="N59" s="164">
        <f t="shared" si="1"/>
        <v>0</v>
      </c>
      <c r="O59" s="156" t="str">
        <f t="shared" si="26"/>
        <v/>
      </c>
      <c r="Q59" s="157"/>
      <c r="R59" s="165"/>
      <c r="S59" s="151"/>
      <c r="T59" s="166"/>
      <c r="U59" s="89"/>
      <c r="V59" s="90"/>
      <c r="W59" s="69"/>
      <c r="X59" s="157"/>
      <c r="Y59" s="165"/>
      <c r="Z59" s="151"/>
      <c r="AA59" s="166"/>
      <c r="AB59" s="89"/>
      <c r="AC59" s="90"/>
      <c r="AD59" s="69"/>
      <c r="AE59" s="157"/>
      <c r="AF59" s="165"/>
      <c r="AG59" s="151"/>
      <c r="AH59" s="166"/>
      <c r="AI59" s="89"/>
      <c r="AJ59" s="90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</row>
    <row r="60" spans="1:60" hidden="1" x14ac:dyDescent="0.25">
      <c r="A60" s="159"/>
      <c r="B60" s="167"/>
      <c r="C60" s="160"/>
      <c r="D60" s="160"/>
      <c r="E60" s="161"/>
      <c r="F60" s="147"/>
      <c r="G60" s="162"/>
      <c r="H60" s="155"/>
      <c r="I60" s="166"/>
      <c r="J60" s="169">
        <f t="shared" ref="J60" si="27">+F60</f>
        <v>0</v>
      </c>
      <c r="K60" s="168"/>
      <c r="L60" s="155"/>
      <c r="M60" s="166"/>
      <c r="N60" s="164">
        <f t="shared" si="1"/>
        <v>0</v>
      </c>
      <c r="O60" s="156" t="str">
        <f t="shared" si="26"/>
        <v/>
      </c>
      <c r="Q60" s="157"/>
      <c r="R60" s="165"/>
      <c r="S60" s="151"/>
      <c r="T60" s="166"/>
      <c r="U60" s="89"/>
      <c r="V60" s="90"/>
      <c r="W60" s="69"/>
      <c r="X60" s="157"/>
      <c r="Y60" s="165"/>
      <c r="Z60" s="151"/>
      <c r="AA60" s="166"/>
      <c r="AB60" s="89"/>
      <c r="AC60" s="90"/>
      <c r="AD60" s="69"/>
      <c r="AE60" s="157"/>
      <c r="AF60" s="165"/>
      <c r="AG60" s="151"/>
      <c r="AH60" s="166"/>
      <c r="AI60" s="89"/>
      <c r="AJ60" s="90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</row>
    <row r="61" spans="1:60" x14ac:dyDescent="0.25">
      <c r="A61" s="1"/>
      <c r="B61" s="170"/>
      <c r="C61" s="171"/>
      <c r="D61" s="171"/>
      <c r="E61" s="171"/>
      <c r="F61" s="387"/>
      <c r="G61" s="172"/>
      <c r="H61" s="388"/>
      <c r="I61" s="87"/>
      <c r="J61" s="387"/>
      <c r="K61" s="173"/>
      <c r="L61" s="388"/>
      <c r="M61" s="87"/>
      <c r="N61" s="394"/>
      <c r="O61" s="395"/>
      <c r="Q61" s="157"/>
      <c r="R61" s="120"/>
      <c r="S61" s="151"/>
      <c r="T61" s="87"/>
      <c r="U61" s="89"/>
      <c r="V61" s="174"/>
      <c r="W61" s="69"/>
      <c r="X61" s="157"/>
      <c r="Y61" s="120"/>
      <c r="Z61" s="151"/>
      <c r="AA61" s="87"/>
      <c r="AB61" s="89"/>
      <c r="AC61" s="174"/>
      <c r="AD61" s="69"/>
      <c r="AE61" s="157"/>
      <c r="AF61" s="120"/>
      <c r="AG61" s="151"/>
      <c r="AH61" s="87"/>
      <c r="AI61" s="89"/>
      <c r="AJ61" s="174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</row>
    <row r="62" spans="1:60" x14ac:dyDescent="0.25">
      <c r="A62" s="1"/>
      <c r="B62" s="175" t="s">
        <v>82</v>
      </c>
      <c r="C62" s="78"/>
      <c r="D62" s="78"/>
      <c r="E62" s="78"/>
      <c r="F62" s="176"/>
      <c r="G62" s="177"/>
      <c r="H62" s="179">
        <f>SUM(H51:H57,H50)</f>
        <v>96.016260058128751</v>
      </c>
      <c r="I62" s="146"/>
      <c r="J62" s="178"/>
      <c r="K62" s="178"/>
      <c r="L62" s="179">
        <f>SUM(L51:L57,L50)</f>
        <v>101.8200768660641</v>
      </c>
      <c r="M62" s="146"/>
      <c r="N62" s="179">
        <f>L62-H62</f>
        <v>5.8038168079353483</v>
      </c>
      <c r="O62" s="180">
        <f t="shared" si="26"/>
        <v>6.0446186973140664E-2</v>
      </c>
      <c r="Q62" s="181"/>
      <c r="R62" s="181"/>
      <c r="S62" s="121"/>
      <c r="T62" s="146"/>
      <c r="U62" s="89"/>
      <c r="V62" s="90"/>
      <c r="W62" s="69"/>
      <c r="X62" s="181"/>
      <c r="Y62" s="181"/>
      <c r="Z62" s="121"/>
      <c r="AA62" s="146"/>
      <c r="AB62" s="89"/>
      <c r="AC62" s="90"/>
      <c r="AD62" s="69"/>
      <c r="AE62" s="181"/>
      <c r="AF62" s="181"/>
      <c r="AG62" s="121"/>
      <c r="AH62" s="146"/>
      <c r="AI62" s="89"/>
      <c r="AJ62" s="90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</row>
    <row r="63" spans="1:60" x14ac:dyDescent="0.25">
      <c r="A63" s="1"/>
      <c r="B63" s="182" t="s">
        <v>9</v>
      </c>
      <c r="C63" s="78"/>
      <c r="D63" s="78"/>
      <c r="E63" s="78"/>
      <c r="F63" s="183">
        <v>0.13</v>
      </c>
      <c r="G63" s="87"/>
      <c r="H63" s="188">
        <f>$H$62*F63</f>
        <v>12.482113807556738</v>
      </c>
      <c r="I63" s="187"/>
      <c r="J63" s="185">
        <v>0.13</v>
      </c>
      <c r="K63" s="184"/>
      <c r="L63" s="186">
        <f>$L$62*J63</f>
        <v>13.236609992588333</v>
      </c>
      <c r="M63" s="187"/>
      <c r="N63" s="188">
        <f>L63-H63</f>
        <v>0.75449618503159499</v>
      </c>
      <c r="O63" s="85">
        <f t="shared" si="26"/>
        <v>6.0446186973140636E-2</v>
      </c>
      <c r="Q63" s="189"/>
      <c r="R63" s="187"/>
      <c r="S63" s="190"/>
      <c r="T63" s="187"/>
      <c r="U63" s="89"/>
      <c r="V63" s="90"/>
      <c r="W63" s="69"/>
      <c r="X63" s="189"/>
      <c r="Y63" s="187"/>
      <c r="Z63" s="190"/>
      <c r="AA63" s="187"/>
      <c r="AB63" s="89"/>
      <c r="AC63" s="90"/>
      <c r="AD63" s="69"/>
      <c r="AE63" s="189"/>
      <c r="AF63" s="187"/>
      <c r="AG63" s="190"/>
      <c r="AH63" s="187"/>
      <c r="AI63" s="89"/>
      <c r="AJ63" s="90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</row>
    <row r="64" spans="1:60" x14ac:dyDescent="0.25">
      <c r="A64" s="1"/>
      <c r="B64" s="182" t="s">
        <v>106</v>
      </c>
      <c r="C64" s="78"/>
      <c r="D64" s="78"/>
      <c r="E64" s="78"/>
      <c r="F64" s="183">
        <v>-0.05</v>
      </c>
      <c r="G64" s="87"/>
      <c r="H64" s="188">
        <f>$H$62*F64</f>
        <v>-4.8008130029064375</v>
      </c>
      <c r="I64" s="187"/>
      <c r="J64" s="183">
        <v>-0.05</v>
      </c>
      <c r="K64" s="184"/>
      <c r="L64" s="186">
        <f>$L$62*J64</f>
        <v>-5.0910038433032057</v>
      </c>
      <c r="M64" s="187"/>
      <c r="N64" s="188">
        <f>L64-H64</f>
        <v>-0.29019084039676812</v>
      </c>
      <c r="O64" s="85">
        <f t="shared" si="26"/>
        <v>6.044618697314081E-2</v>
      </c>
      <c r="Q64" s="189"/>
      <c r="R64" s="187"/>
      <c r="S64" s="190"/>
      <c r="T64" s="187"/>
      <c r="U64" s="89"/>
      <c r="V64" s="90"/>
      <c r="W64" s="69"/>
      <c r="X64" s="189"/>
      <c r="Y64" s="187"/>
      <c r="Z64" s="190"/>
      <c r="AA64" s="187"/>
      <c r="AB64" s="89"/>
      <c r="AC64" s="90"/>
      <c r="AD64" s="69"/>
      <c r="AE64" s="189"/>
      <c r="AF64" s="187"/>
      <c r="AG64" s="190"/>
      <c r="AH64" s="187"/>
      <c r="AI64" s="89"/>
      <c r="AJ64" s="90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</row>
    <row r="65" spans="1:60" ht="15.75" thickBot="1" x14ac:dyDescent="0.3">
      <c r="A65" s="1"/>
      <c r="B65" s="191" t="s">
        <v>83</v>
      </c>
      <c r="C65" s="192"/>
      <c r="D65" s="192"/>
      <c r="E65" s="192"/>
      <c r="F65" s="193"/>
      <c r="G65" s="194"/>
      <c r="H65" s="389">
        <f>SUM(H62:H64)</f>
        <v>103.69756086277906</v>
      </c>
      <c r="I65" s="187"/>
      <c r="J65" s="195"/>
      <c r="K65" s="195"/>
      <c r="L65" s="389">
        <f>SUM(L62:L64)</f>
        <v>109.96568301534921</v>
      </c>
      <c r="M65" s="187"/>
      <c r="N65" s="196">
        <f>L65-H65</f>
        <v>6.2681221525701574</v>
      </c>
      <c r="O65" s="197">
        <f t="shared" si="26"/>
        <v>6.0446186973140477E-2</v>
      </c>
      <c r="Q65" s="187"/>
      <c r="R65" s="187"/>
      <c r="S65" s="190"/>
      <c r="T65" s="187"/>
      <c r="U65" s="89"/>
      <c r="V65" s="90"/>
      <c r="W65" s="69"/>
      <c r="X65" s="187"/>
      <c r="Y65" s="187"/>
      <c r="Z65" s="190"/>
      <c r="AA65" s="187"/>
      <c r="AB65" s="89"/>
      <c r="AC65" s="90"/>
      <c r="AD65" s="69"/>
      <c r="AE65" s="187"/>
      <c r="AF65" s="187"/>
      <c r="AG65" s="190"/>
      <c r="AH65" s="187"/>
      <c r="AI65" s="89"/>
      <c r="AJ65" s="90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</row>
    <row r="66" spans="1:60" ht="15.75" thickBot="1" x14ac:dyDescent="0.3">
      <c r="A66" s="159"/>
      <c r="B66" s="198" t="s">
        <v>67</v>
      </c>
      <c r="C66" s="199"/>
      <c r="D66" s="199"/>
      <c r="E66" s="199"/>
      <c r="F66" s="390"/>
      <c r="G66" s="391"/>
      <c r="H66" s="392"/>
      <c r="I66" s="166"/>
      <c r="J66" s="390"/>
      <c r="K66" s="393"/>
      <c r="L66" s="392"/>
      <c r="M66" s="166"/>
      <c r="N66" s="396"/>
      <c r="O66" s="397"/>
      <c r="Q66" s="157"/>
      <c r="R66" s="206"/>
      <c r="S66" s="151"/>
      <c r="T66" s="166"/>
      <c r="U66" s="207"/>
      <c r="V66" s="174"/>
      <c r="W66" s="69"/>
      <c r="X66" s="157"/>
      <c r="Y66" s="206"/>
      <c r="Z66" s="151"/>
      <c r="AA66" s="166"/>
      <c r="AB66" s="207"/>
      <c r="AC66" s="174"/>
      <c r="AD66" s="69"/>
      <c r="AE66" s="157"/>
      <c r="AF66" s="206"/>
      <c r="AG66" s="151"/>
      <c r="AH66" s="166"/>
      <c r="AI66" s="207"/>
      <c r="AJ66" s="174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</row>
    <row r="67" spans="1:6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67"/>
      <c r="M67" s="3"/>
      <c r="N67" s="1"/>
      <c r="O67" s="1"/>
      <c r="Q67" s="2"/>
      <c r="R67" s="2"/>
      <c r="S67" s="208"/>
      <c r="T67" s="2"/>
      <c r="U67" s="2"/>
      <c r="V67" s="2"/>
      <c r="W67" s="69"/>
      <c r="X67" s="2"/>
      <c r="Y67" s="2"/>
      <c r="Z67" s="208"/>
      <c r="AA67" s="2"/>
      <c r="AB67" s="2"/>
      <c r="AC67" s="2"/>
      <c r="AD67" s="69"/>
      <c r="AE67" s="2"/>
      <c r="AF67" s="2"/>
      <c r="AG67" s="208"/>
      <c r="AH67" s="2"/>
      <c r="AI67" s="2"/>
      <c r="AJ67" s="2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</row>
    <row r="68" spans="1:60" x14ac:dyDescent="0.25">
      <c r="A68" s="1"/>
      <c r="B68" s="65" t="s">
        <v>10</v>
      </c>
      <c r="C68" s="1"/>
      <c r="D68" s="1"/>
      <c r="E68" s="1"/>
      <c r="F68" s="209">
        <f>Rates!$R$2-1</f>
        <v>3.3500000000000085E-2</v>
      </c>
      <c r="G68" s="1"/>
      <c r="H68" s="1"/>
      <c r="I68" s="1"/>
      <c r="J68" s="209">
        <f>Rates!$T$2-1</f>
        <v>3.0684649944026976E-2</v>
      </c>
      <c r="K68" s="1"/>
      <c r="L68" s="1"/>
      <c r="M68" s="3"/>
      <c r="N68" s="1"/>
      <c r="O68" s="1"/>
      <c r="Q68" s="210"/>
      <c r="R68" s="2"/>
      <c r="S68" s="2"/>
      <c r="T68" s="2"/>
      <c r="U68" s="2"/>
      <c r="V68" s="2"/>
      <c r="W68" s="69"/>
      <c r="X68" s="210"/>
      <c r="Y68" s="2"/>
      <c r="Z68" s="2"/>
      <c r="AA68" s="2"/>
      <c r="AB68" s="2"/>
      <c r="AC68" s="2"/>
      <c r="AD68" s="69"/>
      <c r="AE68" s="210"/>
      <c r="AF68" s="2"/>
      <c r="AG68" s="2"/>
      <c r="AH68" s="2"/>
      <c r="AI68" s="2"/>
      <c r="AJ68" s="2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</row>
    <row r="69" spans="1:6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3"/>
      <c r="N69" s="1"/>
      <c r="O69" s="1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</row>
    <row r="70" spans="1:60" x14ac:dyDescent="0.25">
      <c r="A70" s="1" t="s">
        <v>84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3"/>
      <c r="N70" s="1"/>
      <c r="O70" s="1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</row>
    <row r="71" spans="1:60" x14ac:dyDescent="0.25">
      <c r="A71" s="1" t="s">
        <v>85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3"/>
      <c r="N71" s="1"/>
      <c r="O71" s="1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</row>
    <row r="72" spans="1:6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3"/>
      <c r="N72" s="1"/>
      <c r="O72" s="1"/>
    </row>
    <row r="73" spans="1:60" x14ac:dyDescent="0.25">
      <c r="A73" s="64" t="s">
        <v>86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3"/>
      <c r="N73" s="1"/>
      <c r="O73" s="1"/>
    </row>
    <row r="74" spans="1:60" x14ac:dyDescent="0.25">
      <c r="A74" s="64" t="s">
        <v>87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3"/>
      <c r="N74" s="1"/>
      <c r="O74" s="1"/>
    </row>
    <row r="75" spans="1:6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3"/>
      <c r="N75" s="1"/>
      <c r="O75" s="1"/>
    </row>
    <row r="76" spans="1:60" x14ac:dyDescent="0.25">
      <c r="A76" s="1" t="s">
        <v>88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3"/>
      <c r="N76" s="1"/>
      <c r="O76" s="1"/>
    </row>
    <row r="77" spans="1:60" x14ac:dyDescent="0.25">
      <c r="A77" s="1" t="s">
        <v>89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3"/>
      <c r="N77" s="1"/>
      <c r="O77" s="1"/>
    </row>
    <row r="78" spans="1:60" x14ac:dyDescent="0.25">
      <c r="A78" s="1" t="s">
        <v>90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3"/>
      <c r="N78" s="1"/>
      <c r="O78" s="1"/>
    </row>
    <row r="79" spans="1:60" x14ac:dyDescent="0.25">
      <c r="A79" s="1" t="s">
        <v>91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3"/>
      <c r="N79" s="1"/>
      <c r="O79" s="1"/>
    </row>
    <row r="80" spans="1:60" x14ac:dyDescent="0.25">
      <c r="A80" s="1" t="s">
        <v>92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3"/>
      <c r="N80" s="1"/>
      <c r="O80" s="1"/>
    </row>
  </sheetData>
  <sheetProtection selectLockedCells="1"/>
  <mergeCells count="21">
    <mergeCell ref="AI20:AJ20"/>
    <mergeCell ref="A3:K3"/>
    <mergeCell ref="B10:O10"/>
    <mergeCell ref="B11:O11"/>
    <mergeCell ref="D14:O14"/>
    <mergeCell ref="F20:H20"/>
    <mergeCell ref="J20:L20"/>
    <mergeCell ref="N20:O20"/>
    <mergeCell ref="Q20:S20"/>
    <mergeCell ref="U20:V20"/>
    <mergeCell ref="X20:Z20"/>
    <mergeCell ref="AB20:AC20"/>
    <mergeCell ref="AE20:AG20"/>
    <mergeCell ref="AI21:AI22"/>
    <mergeCell ref="AJ21:AJ22"/>
    <mergeCell ref="N21:N22"/>
    <mergeCell ref="O21:O22"/>
    <mergeCell ref="U21:U22"/>
    <mergeCell ref="V21:V22"/>
    <mergeCell ref="AB21:AB22"/>
    <mergeCell ref="AC21:AC22"/>
  </mergeCells>
  <dataValidations count="2">
    <dataValidation type="list" allowBlank="1" showInputMessage="1" showErrorMessage="1" sqref="E48:E49 E51:E61 E37:E46 E66 E23:E35">
      <formula1>#REF!</formula1>
    </dataValidation>
    <dataValidation type="list" allowBlank="1" showInputMessage="1" showErrorMessage="1" sqref="D16">
      <formula1>"TOU, non-TOU"</formula1>
    </dataValidation>
  </dataValidations>
  <printOptions horizontalCentered="1"/>
  <pageMargins left="0.3" right="0.35" top="0.92" bottom="0.7" header="0.56999999999999995" footer="0.41"/>
  <pageSetup paperSize="256" scale="60" fitToHeight="0" orientation="landscape" r:id="rId1"/>
  <headerFooter>
    <oddHeader>&amp;REnergy+ Inc.
EB-2018-0xxx
Tab x
Schedule x
 2016 Apr 30
Page &amp;P of &amp;N</oddHeader>
    <oddFooter>&amp;C&amp;A</oddFooter>
  </headerFooter>
  <ignoredErrors>
    <ignoredError sqref="F47:F67 J23:J25 J36 J38 J47:J67 F23:F34 F36:F4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0833" r:id="rId4" name="Option Button 1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4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647700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5" r:id="rId6" name="Option Button 3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6" r:id="rId7" name="Option Button 4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647700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7" r:id="rId8" name="Option Button 5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8" r:id="rId9" name="Option Button 6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647700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9" r:id="rId10" name="Option Button 7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0" r:id="rId11" name="Option Button 8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647700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1" r:id="rId12" name="Option Button 9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2" r:id="rId13" name="Option Button 10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647700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3" r:id="rId14" name="Option Button 11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4" r:id="rId15" name="Option Button 12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647700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5" r:id="rId16" name="Option Button 13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6" r:id="rId17" name="Option Button 14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647700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7" r:id="rId18" name="Option Button 15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8" r:id="rId19" name="Option Button 16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647700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9" r:id="rId20" name="Option Button 17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0" r:id="rId21" name="Option Button 18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647700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1" r:id="rId22" name="Option Button 19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2" r:id="rId23" name="Option Button 20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647700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3" r:id="rId24" name="Option Button 21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4" r:id="rId25" name="Option Button 22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647700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5" r:id="rId26" name="Option Button 23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6" r:id="rId27" name="Option Button 24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647700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7" r:id="rId28" name="Option Button 25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8" r:id="rId29" name="Option Button 26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647700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9" r:id="rId30" name="Option Button 27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60" r:id="rId31" name="Option Button 28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647700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61" r:id="rId32" name="Option Button 29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62" r:id="rId33" name="Option Button 30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647700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63" r:id="rId34" name="Option Button 31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64" r:id="rId35" name="Option Button 32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647700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65" r:id="rId36" name="Option Button 33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67" r:id="rId37" name="Option Button 35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8168889431442"/>
  </sheetPr>
  <dimension ref="A1:BH80"/>
  <sheetViews>
    <sheetView showGridLines="0" topLeftCell="A19" zoomScale="80" zoomScaleNormal="80" workbookViewId="0">
      <selection activeCell="J23" sqref="J23"/>
    </sheetView>
  </sheetViews>
  <sheetFormatPr defaultRowHeight="15" x14ac:dyDescent="0.25"/>
  <cols>
    <col min="1" max="1" width="26.28515625" customWidth="1"/>
    <col min="2" max="2" width="121.85546875" customWidth="1"/>
    <col min="3" max="3" width="1.140625" customWidth="1"/>
    <col min="4" max="4" width="12.28515625" customWidth="1"/>
    <col min="5" max="5" width="1.7109375" customWidth="1"/>
    <col min="6" max="6" width="11" customWidth="1"/>
    <col min="7" max="7" width="10.140625" bestFit="1" customWidth="1"/>
    <col min="8" max="8" width="10.5703125" customWidth="1"/>
    <col min="9" max="9" width="0.7109375" customWidth="1"/>
    <col min="10" max="10" width="12.140625" customWidth="1"/>
    <col min="11" max="11" width="10.140625" bestFit="1" customWidth="1"/>
    <col min="12" max="12" width="10.5703125" customWidth="1"/>
    <col min="13" max="13" width="0.85546875" style="94" customWidth="1"/>
    <col min="14" max="14" width="11.140625" customWidth="1"/>
    <col min="15" max="15" width="9.140625" customWidth="1"/>
    <col min="16" max="16" width="1.42578125" customWidth="1"/>
    <col min="17" max="17" width="6" customWidth="1"/>
    <col min="18" max="18" width="10.140625" bestFit="1" customWidth="1"/>
    <col min="19" max="19" width="10.28515625" bestFit="1" customWidth="1"/>
    <col min="20" max="20" width="2" bestFit="1" customWidth="1"/>
    <col min="21" max="21" width="9.140625" customWidth="1"/>
    <col min="22" max="22" width="10.140625" customWidth="1"/>
    <col min="23" max="23" width="1.28515625" customWidth="1"/>
    <col min="24" max="24" width="11" customWidth="1"/>
    <col min="25" max="25" width="10.140625" bestFit="1" customWidth="1"/>
    <col min="26" max="26" width="9.85546875" customWidth="1"/>
    <col min="27" max="27" width="1.28515625" customWidth="1"/>
    <col min="30" max="30" width="0.85546875" customWidth="1"/>
    <col min="31" max="31" width="11.140625" customWidth="1"/>
    <col min="32" max="32" width="10.140625" bestFit="1" customWidth="1"/>
    <col min="33" max="33" width="9.28515625" customWidth="1"/>
    <col min="34" max="34" width="1.140625" customWidth="1"/>
    <col min="37" max="37" width="0.85546875" customWidth="1"/>
  </cols>
  <sheetData>
    <row r="1" spans="1:21" ht="21.75" x14ac:dyDescent="0.25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0"/>
      <c r="M1" s="2"/>
      <c r="N1" s="52" t="s">
        <v>68</v>
      </c>
      <c r="O1" s="53">
        <v>0</v>
      </c>
      <c r="T1">
        <v>2</v>
      </c>
      <c r="U1">
        <v>1</v>
      </c>
    </row>
    <row r="2" spans="1:21" ht="18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0"/>
      <c r="M2" s="2"/>
      <c r="N2" s="52" t="s">
        <v>69</v>
      </c>
      <c r="O2" s="55"/>
    </row>
    <row r="3" spans="1:21" ht="18" x14ac:dyDescent="0.25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"/>
      <c r="M3" s="2"/>
      <c r="N3" s="52" t="s">
        <v>70</v>
      </c>
      <c r="O3" s="55"/>
    </row>
    <row r="4" spans="1:21" ht="18" x14ac:dyDescent="0.25">
      <c r="A4" s="54"/>
      <c r="B4" s="54"/>
      <c r="C4" s="54"/>
      <c r="D4" s="54"/>
      <c r="E4" s="54"/>
      <c r="F4" s="54"/>
      <c r="G4" s="54"/>
      <c r="H4" s="54"/>
      <c r="I4" s="56"/>
      <c r="J4" s="56"/>
      <c r="K4" s="56"/>
      <c r="L4" s="50"/>
      <c r="M4" s="2"/>
      <c r="N4" s="52" t="s">
        <v>71</v>
      </c>
      <c r="O4" s="55"/>
    </row>
    <row r="5" spans="1:21" ht="15.75" x14ac:dyDescent="0.25">
      <c r="A5" s="50"/>
      <c r="B5" s="50"/>
      <c r="C5" s="57"/>
      <c r="D5" s="57"/>
      <c r="E5" s="57"/>
      <c r="F5" s="50"/>
      <c r="G5" s="50"/>
      <c r="H5" s="50"/>
      <c r="I5" s="50"/>
      <c r="J5" s="50"/>
      <c r="K5" s="50"/>
      <c r="L5" s="50"/>
      <c r="M5" s="2"/>
      <c r="N5" s="52" t="s">
        <v>72</v>
      </c>
      <c r="O5" s="58"/>
    </row>
    <row r="6" spans="1:2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2"/>
      <c r="N6" s="52"/>
      <c r="O6" s="53"/>
    </row>
    <row r="7" spans="1:2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2"/>
      <c r="N7" s="52" t="s">
        <v>73</v>
      </c>
      <c r="O7" s="58"/>
    </row>
    <row r="8" spans="1:21" x14ac:dyDescent="0.25">
      <c r="A8" s="5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2"/>
      <c r="N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1" ht="18" x14ac:dyDescent="0.25">
      <c r="A10" s="1"/>
      <c r="B10" s="508" t="s">
        <v>74</v>
      </c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508"/>
      <c r="N10" s="508"/>
      <c r="O10" s="508"/>
    </row>
    <row r="11" spans="1:21" ht="18" x14ac:dyDescent="0.25">
      <c r="A11" s="1"/>
      <c r="B11" s="508" t="s">
        <v>75</v>
      </c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T13">
        <v>2</v>
      </c>
    </row>
    <row r="14" spans="1:21" ht="15.75" x14ac:dyDescent="0.25">
      <c r="A14" s="1"/>
      <c r="B14" s="60" t="s">
        <v>0</v>
      </c>
      <c r="C14" s="1"/>
      <c r="D14" s="509" t="s">
        <v>108</v>
      </c>
      <c r="E14" s="509"/>
      <c r="F14" s="509"/>
      <c r="G14" s="509"/>
      <c r="H14" s="509"/>
      <c r="I14" s="509"/>
      <c r="J14" s="509"/>
      <c r="K14" s="509"/>
      <c r="L14" s="509"/>
      <c r="M14" s="509"/>
      <c r="N14" s="509"/>
      <c r="O14" s="509"/>
    </row>
    <row r="15" spans="1:21" ht="15.75" x14ac:dyDescent="0.25">
      <c r="A15" s="1"/>
      <c r="B15" s="61"/>
      <c r="C15" s="1"/>
      <c r="D15" s="62"/>
      <c r="E15" s="62"/>
      <c r="F15" s="62"/>
      <c r="G15" s="62"/>
      <c r="H15" s="62"/>
      <c r="I15" s="62"/>
      <c r="J15" s="62"/>
      <c r="K15" s="62"/>
      <c r="L15" s="62"/>
      <c r="M15" s="276"/>
      <c r="N15" s="62"/>
      <c r="O15" s="62"/>
    </row>
    <row r="16" spans="1:21" ht="15.75" x14ac:dyDescent="0.25">
      <c r="A16" s="1"/>
      <c r="B16" s="60" t="s">
        <v>76</v>
      </c>
      <c r="C16" s="1"/>
      <c r="D16" s="63" t="s">
        <v>77</v>
      </c>
      <c r="E16" s="62"/>
      <c r="F16" s="62"/>
      <c r="G16" s="62"/>
      <c r="H16" s="62"/>
      <c r="I16" s="62"/>
      <c r="J16" s="62"/>
      <c r="K16" s="62"/>
      <c r="L16" s="62"/>
      <c r="M16" s="276"/>
      <c r="N16" s="62"/>
      <c r="O16" s="62"/>
    </row>
    <row r="17" spans="1:60" ht="15.75" x14ac:dyDescent="0.25">
      <c r="A17" s="1"/>
      <c r="B17" s="61"/>
      <c r="C17" s="1"/>
      <c r="D17" s="62"/>
      <c r="E17" s="62"/>
      <c r="F17" s="62"/>
      <c r="G17" s="62"/>
      <c r="H17" s="62"/>
      <c r="I17" s="62"/>
      <c r="J17" s="62"/>
      <c r="K17" s="62"/>
      <c r="L17" s="62"/>
      <c r="M17" s="276"/>
      <c r="N17" s="62"/>
      <c r="O17" s="62"/>
    </row>
    <row r="18" spans="1:60" x14ac:dyDescent="0.25">
      <c r="A18" s="1"/>
      <c r="B18" s="64"/>
      <c r="C18" s="1"/>
      <c r="D18" s="65" t="s">
        <v>1</v>
      </c>
      <c r="E18" s="65"/>
      <c r="F18" s="66">
        <v>313</v>
      </c>
      <c r="G18" s="65" t="s">
        <v>78</v>
      </c>
      <c r="H18" s="1"/>
      <c r="I18" s="1"/>
      <c r="J18" s="1">
        <f>IF(D23="customer",1,IF(D23="kWh",F18,F19))</f>
        <v>1</v>
      </c>
      <c r="K18" s="1"/>
      <c r="L18" s="1"/>
      <c r="M18" s="3"/>
      <c r="N18" s="1"/>
      <c r="O18" s="1"/>
    </row>
    <row r="19" spans="1:60" x14ac:dyDescent="0.25">
      <c r="A19" s="1"/>
      <c r="B19" s="64"/>
      <c r="C19" s="1"/>
      <c r="D19" s="1"/>
      <c r="E19" s="1"/>
      <c r="F19" s="1"/>
      <c r="G19" s="1"/>
      <c r="H19" s="1"/>
      <c r="I19" s="1"/>
      <c r="J19" s="1"/>
      <c r="K19" s="1"/>
      <c r="L19" s="67"/>
      <c r="M19" s="3"/>
      <c r="N19" s="1"/>
      <c r="O19" s="1"/>
    </row>
    <row r="20" spans="1:60" x14ac:dyDescent="0.25">
      <c r="A20" s="1"/>
      <c r="B20" s="64"/>
      <c r="C20" s="1"/>
      <c r="D20" s="68"/>
      <c r="E20" s="68"/>
      <c r="F20" s="510" t="s">
        <v>105</v>
      </c>
      <c r="G20" s="511"/>
      <c r="H20" s="512"/>
      <c r="I20" s="1"/>
      <c r="J20" s="510" t="s">
        <v>104</v>
      </c>
      <c r="K20" s="511"/>
      <c r="L20" s="512"/>
      <c r="M20" s="3"/>
      <c r="N20" s="510" t="s">
        <v>61</v>
      </c>
      <c r="O20" s="512"/>
      <c r="Q20" s="506"/>
      <c r="R20" s="506"/>
      <c r="S20" s="506"/>
      <c r="T20" s="2"/>
      <c r="U20" s="506"/>
      <c r="V20" s="506"/>
      <c r="W20" s="69"/>
      <c r="X20" s="506"/>
      <c r="Y20" s="506"/>
      <c r="Z20" s="506"/>
      <c r="AA20" s="2"/>
      <c r="AB20" s="506"/>
      <c r="AC20" s="506"/>
      <c r="AD20" s="69"/>
      <c r="AE20" s="506"/>
      <c r="AF20" s="506"/>
      <c r="AG20" s="506"/>
      <c r="AH20" s="2"/>
      <c r="AI20" s="506"/>
      <c r="AJ20" s="506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</row>
    <row r="21" spans="1:60" ht="15" customHeight="1" x14ac:dyDescent="0.25">
      <c r="A21" s="1"/>
      <c r="B21" s="64"/>
      <c r="C21" s="1"/>
      <c r="D21" s="1"/>
      <c r="E21" s="70"/>
      <c r="F21" s="71" t="s">
        <v>2</v>
      </c>
      <c r="G21" s="71" t="s">
        <v>3</v>
      </c>
      <c r="H21" s="72" t="s">
        <v>4</v>
      </c>
      <c r="I21" s="1"/>
      <c r="J21" s="71" t="s">
        <v>2</v>
      </c>
      <c r="K21" s="73" t="s">
        <v>3</v>
      </c>
      <c r="L21" s="72" t="s">
        <v>4</v>
      </c>
      <c r="M21" s="3"/>
      <c r="N21" s="502" t="s">
        <v>62</v>
      </c>
      <c r="O21" s="504" t="s">
        <v>63</v>
      </c>
      <c r="Q21" s="453"/>
      <c r="R21" s="453"/>
      <c r="S21" s="453"/>
      <c r="T21" s="2"/>
      <c r="U21" s="501"/>
      <c r="V21" s="501"/>
      <c r="W21" s="69"/>
      <c r="X21" s="453"/>
      <c r="Y21" s="453"/>
      <c r="Z21" s="453"/>
      <c r="AA21" s="2"/>
      <c r="AB21" s="501"/>
      <c r="AC21" s="501"/>
      <c r="AD21" s="69"/>
      <c r="AE21" s="453"/>
      <c r="AF21" s="453"/>
      <c r="AG21" s="453"/>
      <c r="AH21" s="2"/>
      <c r="AI21" s="501"/>
      <c r="AJ21" s="501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</row>
    <row r="22" spans="1:60" x14ac:dyDescent="0.25">
      <c r="A22" s="1"/>
      <c r="B22" s="64"/>
      <c r="C22" s="1"/>
      <c r="D22" s="1"/>
      <c r="E22" s="70"/>
      <c r="F22" s="75" t="s">
        <v>79</v>
      </c>
      <c r="G22" s="75"/>
      <c r="H22" s="76" t="s">
        <v>79</v>
      </c>
      <c r="I22" s="1"/>
      <c r="J22" s="75" t="s">
        <v>79</v>
      </c>
      <c r="K22" s="76"/>
      <c r="L22" s="76" t="s">
        <v>79</v>
      </c>
      <c r="M22" s="3"/>
      <c r="N22" s="503"/>
      <c r="O22" s="505"/>
      <c r="Q22" s="77"/>
      <c r="R22" s="77"/>
      <c r="S22" s="77"/>
      <c r="T22" s="2"/>
      <c r="U22" s="501"/>
      <c r="V22" s="501"/>
      <c r="W22" s="69"/>
      <c r="X22" s="77"/>
      <c r="Y22" s="77"/>
      <c r="Z22" s="77"/>
      <c r="AA22" s="2"/>
      <c r="AB22" s="501"/>
      <c r="AC22" s="501"/>
      <c r="AD22" s="69"/>
      <c r="AE22" s="77"/>
      <c r="AF22" s="77"/>
      <c r="AG22" s="77"/>
      <c r="AH22" s="2"/>
      <c r="AI22" s="501"/>
      <c r="AJ22" s="501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</row>
    <row r="23" spans="1:60" x14ac:dyDescent="0.25">
      <c r="A23" s="7" t="s">
        <v>15</v>
      </c>
      <c r="B23" s="271" t="str">
        <f>IF(Rates!D216='Residential CND (10%)'!$A$23,Rates!B216," ")</f>
        <v>Service Charge</v>
      </c>
      <c r="C23" s="79"/>
      <c r="D23" s="271" t="str">
        <f>IF(Rates!D216='Residential CND (10%)'!$A$23,Rates!E216," ")</f>
        <v>customer</v>
      </c>
      <c r="E23" s="79"/>
      <c r="F23" s="80">
        <f>IF(Rates!$G$1="CND 2018",Rates!G216," ")</f>
        <v>21.350439999999999</v>
      </c>
      <c r="G23" s="398">
        <f>IF(D23="customer",1,IF(D23="kWh",$F$18,$F$19))</f>
        <v>1</v>
      </c>
      <c r="H23" s="372">
        <f>G23*F23</f>
        <v>21.350439999999999</v>
      </c>
      <c r="I23" s="83"/>
      <c r="J23" s="487">
        <f>IF(Rates!$L$1="E+ 2019",Rates!L216," ")</f>
        <v>27.33</v>
      </c>
      <c r="K23" s="97">
        <f>IF(D23="customer",1,IF(D23="kWh",$F$18,$F$19))</f>
        <v>1</v>
      </c>
      <c r="L23" s="82">
        <f t="shared" ref="L23:L34" si="0">K23*J23</f>
        <v>27.33</v>
      </c>
      <c r="M23" s="91"/>
      <c r="N23" s="84">
        <f t="shared" ref="N23:N60" si="1">L23-H23</f>
        <v>5.9795599999999993</v>
      </c>
      <c r="O23" s="85">
        <f>IF(OR(H23=0,L23=0),"",(N23/H23))</f>
        <v>0.28006729603699032</v>
      </c>
      <c r="Q23" s="86"/>
      <c r="R23" s="87"/>
      <c r="S23" s="88"/>
      <c r="T23" s="87"/>
      <c r="U23" s="89"/>
      <c r="V23" s="90"/>
      <c r="W23" s="69"/>
      <c r="X23" s="86"/>
      <c r="Y23" s="87"/>
      <c r="Z23" s="88"/>
      <c r="AA23" s="87"/>
      <c r="AB23" s="89"/>
      <c r="AC23" s="90"/>
      <c r="AD23" s="69"/>
      <c r="AE23" s="86"/>
      <c r="AF23" s="87"/>
      <c r="AG23" s="88"/>
      <c r="AH23" s="87"/>
      <c r="AI23" s="89"/>
      <c r="AJ23" s="90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</row>
    <row r="24" spans="1:60" x14ac:dyDescent="0.25">
      <c r="A24" s="1"/>
      <c r="B24" s="271" t="str">
        <f>IF(Rates!D217='Residential CND (10%)'!$A$23,Rates!B217," ")</f>
        <v>Rate Rider ACM</v>
      </c>
      <c r="C24" s="79"/>
      <c r="D24" s="271" t="str">
        <f>IF(Rates!D217='Residential CND (10%)'!$A$23,Rates!E217," ")</f>
        <v>customer</v>
      </c>
      <c r="E24" s="79"/>
      <c r="F24" s="80">
        <f>IF(Rates!$G$1="CND 2018",Rates!G217," ")</f>
        <v>0</v>
      </c>
      <c r="G24" s="398">
        <f t="shared" ref="G24:G34" si="2">IF(D24="customer",1,IF(D24="kWh",$F$18,$F$19))</f>
        <v>1</v>
      </c>
      <c r="H24" s="373">
        <f t="shared" ref="H24:H34" si="3">G24*F24</f>
        <v>0</v>
      </c>
      <c r="I24" s="83"/>
      <c r="J24" s="337">
        <f>IF(Rates!$L$1="E+ 2019",Rates!L217," ")</f>
        <v>0</v>
      </c>
      <c r="K24" s="97">
        <f t="shared" ref="K24:K34" si="4">IF(D24="customer",1,IF(D24="kWh",$F$18,$F$19))</f>
        <v>1</v>
      </c>
      <c r="L24" s="82">
        <f t="shared" si="0"/>
        <v>0</v>
      </c>
      <c r="M24" s="91"/>
      <c r="N24" s="84">
        <f t="shared" si="1"/>
        <v>0</v>
      </c>
      <c r="O24" s="85" t="str">
        <f t="shared" ref="O24:O34" si="5">IF(OR(H24=0,L24=0),"",(N24/H24))</f>
        <v/>
      </c>
      <c r="Q24" s="86"/>
      <c r="R24" s="87"/>
      <c r="S24" s="88"/>
      <c r="T24" s="87"/>
      <c r="U24" s="89"/>
      <c r="V24" s="90"/>
      <c r="W24" s="69"/>
      <c r="X24" s="86"/>
      <c r="Y24" s="87"/>
      <c r="Z24" s="88"/>
      <c r="AA24" s="87"/>
      <c r="AB24" s="89"/>
      <c r="AC24" s="90"/>
      <c r="AD24" s="69"/>
      <c r="AE24" s="86"/>
      <c r="AF24" s="87"/>
      <c r="AG24" s="88"/>
      <c r="AH24" s="87"/>
      <c r="AI24" s="89"/>
      <c r="AJ24" s="90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</row>
    <row r="25" spans="1:60" s="94" customFormat="1" x14ac:dyDescent="0.25">
      <c r="A25" s="3"/>
      <c r="B25" s="271" t="str">
        <f>IF(Rates!D218='Residential CND (10%)'!$A$23,Rates!B218," ")</f>
        <v>Distribution Volumetric Rate</v>
      </c>
      <c r="C25" s="79"/>
      <c r="D25" s="271" t="str">
        <f>IF(Rates!D218='Residential CND (10%)'!$A$23,Rates!E218," ")</f>
        <v>kWh</v>
      </c>
      <c r="E25" s="79"/>
      <c r="F25" s="312">
        <f>IF(Rates!$G$1="CND 2018",Rates!G218," ")</f>
        <v>4.6413999999999995E-3</v>
      </c>
      <c r="G25" s="398">
        <f t="shared" si="2"/>
        <v>313</v>
      </c>
      <c r="H25" s="373">
        <f>G25*F25</f>
        <v>1.4527581999999999</v>
      </c>
      <c r="I25" s="91"/>
      <c r="J25" s="337">
        <f>IF(Rates!$L$1="E+ 2019",Rates!L218," ")</f>
        <v>0</v>
      </c>
      <c r="K25" s="97">
        <f t="shared" si="4"/>
        <v>313</v>
      </c>
      <c r="L25" s="92">
        <f t="shared" si="0"/>
        <v>0</v>
      </c>
      <c r="M25" s="91"/>
      <c r="N25" s="84">
        <f t="shared" si="1"/>
        <v>-1.4527581999999999</v>
      </c>
      <c r="O25" s="85" t="str">
        <f t="shared" si="5"/>
        <v/>
      </c>
      <c r="Q25" s="95"/>
      <c r="R25" s="87"/>
      <c r="S25" s="88"/>
      <c r="T25" s="87"/>
      <c r="U25" s="89"/>
      <c r="V25" s="90"/>
      <c r="W25" s="69"/>
      <c r="X25" s="95"/>
      <c r="Y25" s="87"/>
      <c r="Z25" s="88"/>
      <c r="AA25" s="87"/>
      <c r="AB25" s="89"/>
      <c r="AC25" s="90"/>
      <c r="AD25" s="69"/>
      <c r="AE25" s="95"/>
      <c r="AF25" s="87"/>
      <c r="AG25" s="88"/>
      <c r="AH25" s="87"/>
      <c r="AI25" s="89"/>
      <c r="AJ25" s="90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</row>
    <row r="26" spans="1:60" s="94" customFormat="1" x14ac:dyDescent="0.25">
      <c r="A26" s="3"/>
      <c r="B26" s="271" t="str">
        <f>IF(Rates!D219='Residential CND (10%)'!$A$23,Rates!B219," ")</f>
        <v>Rate Rider ACM</v>
      </c>
      <c r="C26" s="79"/>
      <c r="D26" s="271" t="str">
        <f>IF(Rates!D219='Residential CND (10%)'!$A$23,Rates!E219," ")</f>
        <v>kWh</v>
      </c>
      <c r="E26" s="79"/>
      <c r="F26" s="80">
        <f>IF(Rates!$G$1="CND 2018",Rates!G219," ")</f>
        <v>0</v>
      </c>
      <c r="G26" s="398">
        <f t="shared" si="2"/>
        <v>313</v>
      </c>
      <c r="H26" s="373">
        <f t="shared" si="3"/>
        <v>0</v>
      </c>
      <c r="I26" s="91"/>
      <c r="J26" s="337">
        <f>IF(Rates!$L$1="E+ 2019",Rates!L219," ")</f>
        <v>0</v>
      </c>
      <c r="K26" s="97">
        <f t="shared" si="4"/>
        <v>313</v>
      </c>
      <c r="L26" s="92">
        <f t="shared" si="0"/>
        <v>0</v>
      </c>
      <c r="M26" s="91"/>
      <c r="N26" s="84">
        <f t="shared" si="1"/>
        <v>0</v>
      </c>
      <c r="O26" s="85" t="str">
        <f t="shared" si="5"/>
        <v/>
      </c>
      <c r="Q26" s="95"/>
      <c r="R26" s="87"/>
      <c r="S26" s="88"/>
      <c r="T26" s="87"/>
      <c r="U26" s="89"/>
      <c r="V26" s="90"/>
      <c r="W26" s="69"/>
      <c r="X26" s="95"/>
      <c r="Y26" s="87"/>
      <c r="Z26" s="88"/>
      <c r="AA26" s="87"/>
      <c r="AB26" s="89"/>
      <c r="AC26" s="90"/>
      <c r="AD26" s="69"/>
      <c r="AE26" s="95"/>
      <c r="AF26" s="87"/>
      <c r="AG26" s="88"/>
      <c r="AH26" s="87"/>
      <c r="AI26" s="89"/>
      <c r="AJ26" s="90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</row>
    <row r="27" spans="1:60" x14ac:dyDescent="0.25">
      <c r="A27" s="3"/>
      <c r="B27" s="271" t="str">
        <f>IF(Rates!D220='Residential CND (10%)'!$A$23,Rates!B220," ")</f>
        <v>Rate Rider for Disposition of Account 1575 and 1576</v>
      </c>
      <c r="C27" s="79"/>
      <c r="D27" s="271" t="str">
        <f>IF(Rates!D220='Residential CND (10%)'!$A$23,Rates!E220," ")</f>
        <v>customer</v>
      </c>
      <c r="E27" s="79"/>
      <c r="F27" s="80">
        <f>IF(Rates!$G$1="CND 2018",Rates!G220," ")</f>
        <v>0</v>
      </c>
      <c r="G27" s="398">
        <f t="shared" si="2"/>
        <v>1</v>
      </c>
      <c r="H27" s="374">
        <f t="shared" si="3"/>
        <v>0</v>
      </c>
      <c r="I27" s="83"/>
      <c r="J27" s="337">
        <f>IF(Rates!$L$1="E+ 2019",Rates!L220," ")</f>
        <v>-0.2126511495947081</v>
      </c>
      <c r="K27" s="97">
        <f t="shared" si="4"/>
        <v>1</v>
      </c>
      <c r="L27" s="92">
        <f t="shared" si="0"/>
        <v>-0.2126511495947081</v>
      </c>
      <c r="M27" s="91"/>
      <c r="N27" s="84">
        <f t="shared" si="1"/>
        <v>-0.2126511495947081</v>
      </c>
      <c r="O27" s="85" t="str">
        <f t="shared" si="5"/>
        <v/>
      </c>
      <c r="Q27" s="86"/>
      <c r="R27" s="87"/>
      <c r="S27" s="88"/>
      <c r="T27" s="87"/>
      <c r="U27" s="89"/>
      <c r="V27" s="90"/>
      <c r="W27" s="69"/>
      <c r="X27" s="86"/>
      <c r="Y27" s="87"/>
      <c r="Z27" s="88"/>
      <c r="AA27" s="87"/>
      <c r="AB27" s="89"/>
      <c r="AC27" s="90"/>
      <c r="AD27" s="69"/>
      <c r="AE27" s="86"/>
      <c r="AF27" s="87"/>
      <c r="AG27" s="88"/>
      <c r="AH27" s="87"/>
      <c r="AI27" s="89"/>
      <c r="AJ27" s="90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</row>
    <row r="28" spans="1:60" s="94" customFormat="1" x14ac:dyDescent="0.25">
      <c r="A28" s="3"/>
      <c r="B28" s="271" t="str">
        <f>IF(Rates!D221='Residential CND (10%)'!$A$23,Rates!B221," ")</f>
        <v>Rate Rider for Disposition of Account 1575 and 1576</v>
      </c>
      <c r="C28" s="79"/>
      <c r="D28" s="271" t="str">
        <f>IF(Rates!D221='Residential CND (10%)'!$A$23,Rates!E221," ")</f>
        <v>kWh</v>
      </c>
      <c r="E28" s="79"/>
      <c r="F28" s="80">
        <f>IF(Rates!$G$1="CND 2018",Rates!G221," ")</f>
        <v>0</v>
      </c>
      <c r="G28" s="398">
        <f t="shared" si="2"/>
        <v>313</v>
      </c>
      <c r="H28" s="374">
        <f t="shared" si="3"/>
        <v>0</v>
      </c>
      <c r="I28" s="91"/>
      <c r="J28" s="337">
        <f>IF(Rates!$L$1="E+ 2019",Rates!L221," ")</f>
        <v>0</v>
      </c>
      <c r="K28" s="97">
        <f t="shared" si="4"/>
        <v>313</v>
      </c>
      <c r="L28" s="92">
        <f t="shared" si="0"/>
        <v>0</v>
      </c>
      <c r="M28" s="91"/>
      <c r="N28" s="84">
        <f t="shared" si="1"/>
        <v>0</v>
      </c>
      <c r="O28" s="85" t="str">
        <f t="shared" si="5"/>
        <v/>
      </c>
      <c r="Q28" s="86"/>
      <c r="R28" s="87"/>
      <c r="S28" s="88"/>
      <c r="T28" s="87"/>
      <c r="U28" s="89"/>
      <c r="V28" s="90"/>
      <c r="W28" s="69"/>
      <c r="X28" s="86"/>
      <c r="Y28" s="87"/>
      <c r="Z28" s="88"/>
      <c r="AA28" s="87"/>
      <c r="AB28" s="89"/>
      <c r="AC28" s="90"/>
      <c r="AD28" s="69"/>
      <c r="AE28" s="86"/>
      <c r="AF28" s="87"/>
      <c r="AG28" s="88"/>
      <c r="AH28" s="87"/>
      <c r="AI28" s="89"/>
      <c r="AJ28" s="90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</row>
    <row r="29" spans="1:60" s="94" customFormat="1" x14ac:dyDescent="0.25">
      <c r="A29" s="3"/>
      <c r="B29" s="271" t="str">
        <f>IF(Rates!D222='Residential CND (10%)'!$A$23,Rates!B222," ")</f>
        <v>Rate Rider for Disposition of Account 1575 and 1576</v>
      </c>
      <c r="C29" s="79"/>
      <c r="D29" s="271" t="str">
        <f>IF(Rates!D222='Residential CND (10%)'!$A$23,Rates!E222," ")</f>
        <v>customer</v>
      </c>
      <c r="E29" s="79"/>
      <c r="F29" s="80">
        <f>IF(Rates!$G$1="CND 2018",Rates!G222," ")</f>
        <v>0</v>
      </c>
      <c r="G29" s="398">
        <f t="shared" si="2"/>
        <v>1</v>
      </c>
      <c r="H29" s="374">
        <f t="shared" si="3"/>
        <v>0</v>
      </c>
      <c r="I29" s="91"/>
      <c r="J29" s="337">
        <f>IF(Rates!$L$1="E+ 2019",Rates!L222," ")</f>
        <v>0</v>
      </c>
      <c r="K29" s="97">
        <f t="shared" si="4"/>
        <v>1</v>
      </c>
      <c r="L29" s="92">
        <f t="shared" si="0"/>
        <v>0</v>
      </c>
      <c r="M29" s="91"/>
      <c r="N29" s="84">
        <f t="shared" si="1"/>
        <v>0</v>
      </c>
      <c r="O29" s="85" t="str">
        <f t="shared" si="5"/>
        <v/>
      </c>
      <c r="Q29" s="98"/>
      <c r="R29" s="87"/>
      <c r="S29" s="88"/>
      <c r="T29" s="87"/>
      <c r="U29" s="89"/>
      <c r="V29" s="90"/>
      <c r="W29" s="69"/>
      <c r="X29" s="98"/>
      <c r="Y29" s="87"/>
      <c r="Z29" s="88"/>
      <c r="AA29" s="87"/>
      <c r="AB29" s="89"/>
      <c r="AC29" s="90"/>
      <c r="AD29" s="69"/>
      <c r="AE29" s="98"/>
      <c r="AF29" s="87"/>
      <c r="AG29" s="88"/>
      <c r="AH29" s="87"/>
      <c r="AI29" s="89"/>
      <c r="AJ29" s="90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</row>
    <row r="30" spans="1:60" s="101" customFormat="1" x14ac:dyDescent="0.25">
      <c r="A30" s="99"/>
      <c r="B30" s="271" t="str">
        <f>IF(Rates!D223='Residential CND (10%)'!$A$23,Rates!B223," ")</f>
        <v>Rate Rider for Disposition of Account 1575 and 1576</v>
      </c>
      <c r="C30" s="100"/>
      <c r="D30" s="271" t="str">
        <f>IF(Rates!D223='Residential CND (10%)'!$A$23,Rates!E223," ")</f>
        <v>kWh</v>
      </c>
      <c r="E30" s="79"/>
      <c r="F30" s="80">
        <f>IF(Rates!$G$1="CND 2018",Rates!G223," ")</f>
        <v>0</v>
      </c>
      <c r="G30" s="398">
        <f t="shared" si="2"/>
        <v>313</v>
      </c>
      <c r="H30" s="374">
        <f t="shared" si="3"/>
        <v>0</v>
      </c>
      <c r="I30" s="91"/>
      <c r="J30" s="337">
        <f>IF(Rates!$L$1="E+ 2019",Rates!L223," ")</f>
        <v>0</v>
      </c>
      <c r="K30" s="97">
        <f t="shared" si="4"/>
        <v>313</v>
      </c>
      <c r="L30" s="92">
        <f t="shared" si="0"/>
        <v>0</v>
      </c>
      <c r="M30" s="91"/>
      <c r="N30" s="84">
        <f t="shared" si="1"/>
        <v>0</v>
      </c>
      <c r="O30" s="85" t="str">
        <f t="shared" si="5"/>
        <v/>
      </c>
      <c r="Q30" s="102"/>
      <c r="R30" s="103"/>
      <c r="S30" s="104"/>
      <c r="T30" s="103"/>
      <c r="U30" s="105"/>
      <c r="V30" s="106"/>
      <c r="W30" s="107"/>
      <c r="X30" s="102"/>
      <c r="Y30" s="103"/>
      <c r="Z30" s="104"/>
      <c r="AA30" s="103"/>
      <c r="AB30" s="105"/>
      <c r="AC30" s="106"/>
      <c r="AD30" s="107"/>
      <c r="AE30" s="102"/>
      <c r="AF30" s="103"/>
      <c r="AG30" s="104"/>
      <c r="AH30" s="103"/>
      <c r="AI30" s="105"/>
      <c r="AJ30" s="106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</row>
    <row r="31" spans="1:60" s="94" customFormat="1" x14ac:dyDescent="0.25">
      <c r="A31" s="3"/>
      <c r="B31" s="271" t="str">
        <f>IF(Rates!D224='Residential CND (10%)'!$A$23,Rates!B224," ")</f>
        <v>Rate Rider for LRAMVA</v>
      </c>
      <c r="C31" s="79"/>
      <c r="D31" s="271" t="str">
        <f>IF(Rates!D224='Residential CND (10%)'!$A$23,Rates!E224," ")</f>
        <v>kWh</v>
      </c>
      <c r="E31" s="79"/>
      <c r="F31" s="80">
        <f>IF(Rates!$G$1="CND 2018",Rates!G224," ")</f>
        <v>0</v>
      </c>
      <c r="G31" s="398">
        <f t="shared" si="2"/>
        <v>313</v>
      </c>
      <c r="H31" s="374">
        <f t="shared" si="3"/>
        <v>0</v>
      </c>
      <c r="I31" s="91"/>
      <c r="J31" s="337">
        <f>IF(Rates!$L$1="E+ 2019",Rates!L224," ")</f>
        <v>6.1978880186534072E-5</v>
      </c>
      <c r="K31" s="97">
        <f t="shared" si="4"/>
        <v>313</v>
      </c>
      <c r="L31" s="92">
        <f t="shared" si="0"/>
        <v>1.9399389498385166E-2</v>
      </c>
      <c r="M31" s="91"/>
      <c r="N31" s="84">
        <f t="shared" si="1"/>
        <v>1.9399389498385166E-2</v>
      </c>
      <c r="O31" s="85" t="str">
        <f t="shared" si="5"/>
        <v/>
      </c>
      <c r="Q31" s="98"/>
      <c r="R31" s="87"/>
      <c r="S31" s="88"/>
      <c r="T31" s="87"/>
      <c r="U31" s="89"/>
      <c r="V31" s="90"/>
      <c r="W31" s="69"/>
      <c r="X31" s="98"/>
      <c r="Y31" s="87"/>
      <c r="Z31" s="88"/>
      <c r="AA31" s="87"/>
      <c r="AB31" s="89"/>
      <c r="AC31" s="90"/>
      <c r="AD31" s="69"/>
      <c r="AE31" s="98"/>
      <c r="AF31" s="87"/>
      <c r="AG31" s="88"/>
      <c r="AH31" s="87"/>
      <c r="AI31" s="89"/>
      <c r="AJ31" s="90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</row>
    <row r="32" spans="1:60" s="94" customFormat="1" x14ac:dyDescent="0.25">
      <c r="A32" s="3"/>
      <c r="B32" s="271" t="str">
        <f>IF(Rates!D225='Residential CND (10%)'!$A$23,Rates!B225," ")</f>
        <v xml:space="preserve">Rate Rider for Smart Meter (Stranded Meters) </v>
      </c>
      <c r="C32" s="79"/>
      <c r="D32" s="271" t="str">
        <f>IF(Rates!D225='Residential CND (10%)'!$A$23,Rates!E225," ")</f>
        <v>customer</v>
      </c>
      <c r="E32" s="79"/>
      <c r="F32" s="80">
        <f>IF(Rates!$G$1="CND 2018",Rates!G225," ")</f>
        <v>0</v>
      </c>
      <c r="G32" s="398">
        <f t="shared" si="2"/>
        <v>1</v>
      </c>
      <c r="H32" s="374">
        <f t="shared" si="3"/>
        <v>0</v>
      </c>
      <c r="I32" s="91"/>
      <c r="J32" s="337">
        <f>IF(Rates!$L$1="E+ 2019",Rates!L225," ")</f>
        <v>0.25994789727448581</v>
      </c>
      <c r="K32" s="97">
        <f t="shared" si="4"/>
        <v>1</v>
      </c>
      <c r="L32" s="92">
        <f t="shared" si="0"/>
        <v>0.25994789727448581</v>
      </c>
      <c r="M32" s="91"/>
      <c r="N32" s="84">
        <f t="shared" si="1"/>
        <v>0.25994789727448581</v>
      </c>
      <c r="O32" s="85" t="str">
        <f t="shared" si="5"/>
        <v/>
      </c>
      <c r="Q32" s="98"/>
      <c r="R32" s="87"/>
      <c r="S32" s="88"/>
      <c r="T32" s="87"/>
      <c r="U32" s="89"/>
      <c r="V32" s="90"/>
      <c r="W32" s="69"/>
      <c r="X32" s="98"/>
      <c r="Y32" s="87"/>
      <c r="Z32" s="88"/>
      <c r="AA32" s="87"/>
      <c r="AB32" s="89"/>
      <c r="AC32" s="90"/>
      <c r="AD32" s="69"/>
      <c r="AE32" s="98"/>
      <c r="AF32" s="87"/>
      <c r="AG32" s="88"/>
      <c r="AH32" s="87"/>
      <c r="AI32" s="89"/>
      <c r="AJ32" s="90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</row>
    <row r="33" spans="1:60" s="94" customFormat="1" x14ac:dyDescent="0.25">
      <c r="A33" s="3"/>
      <c r="B33" s="271" t="str">
        <f>IF(Rates!D226='Residential CND (10%)'!$A$23,Rates!B226," ")</f>
        <v>Other Fixed</v>
      </c>
      <c r="C33" s="79"/>
      <c r="D33" s="271" t="str">
        <f>IF(Rates!D226='Residential CND (10%)'!$A$23,Rates!E226," ")</f>
        <v>customer</v>
      </c>
      <c r="E33" s="79"/>
      <c r="F33" s="80">
        <f>IF(Rates!$G$1="CND 2018",Rates!G226," ")</f>
        <v>0</v>
      </c>
      <c r="G33" s="398">
        <f t="shared" si="2"/>
        <v>1</v>
      </c>
      <c r="H33" s="374">
        <f t="shared" si="3"/>
        <v>0</v>
      </c>
      <c r="I33" s="91"/>
      <c r="J33" s="337">
        <f>IF(Rates!$L$1="E+ 2019",Rates!L226," ")</f>
        <v>0</v>
      </c>
      <c r="K33" s="97">
        <f t="shared" si="4"/>
        <v>1</v>
      </c>
      <c r="L33" s="92">
        <f t="shared" si="0"/>
        <v>0</v>
      </c>
      <c r="M33" s="91"/>
      <c r="N33" s="84">
        <f t="shared" si="1"/>
        <v>0</v>
      </c>
      <c r="O33" s="85" t="str">
        <f t="shared" si="5"/>
        <v/>
      </c>
      <c r="Q33" s="95"/>
      <c r="R33" s="87"/>
      <c r="S33" s="88"/>
      <c r="T33" s="87"/>
      <c r="U33" s="89"/>
      <c r="V33" s="90"/>
      <c r="W33" s="69"/>
      <c r="X33" s="95"/>
      <c r="Y33" s="87"/>
      <c r="Z33" s="88"/>
      <c r="AA33" s="87"/>
      <c r="AB33" s="89"/>
      <c r="AC33" s="90"/>
      <c r="AD33" s="69"/>
      <c r="AE33" s="95"/>
      <c r="AF33" s="87"/>
      <c r="AG33" s="88"/>
      <c r="AH33" s="87"/>
      <c r="AI33" s="89"/>
      <c r="AJ33" s="90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</row>
    <row r="34" spans="1:60" s="94" customFormat="1" x14ac:dyDescent="0.25">
      <c r="A34" s="3"/>
      <c r="B34" s="271" t="str">
        <f>IF(Rates!D227='Residential CND (10%)'!$A$23,Rates!B227," ")</f>
        <v>Other Volumetric</v>
      </c>
      <c r="C34" s="79"/>
      <c r="D34" s="271" t="str">
        <f>IF(Rates!D227='Residential CND (10%)'!$A$23,Rates!E227," ")</f>
        <v>kWh</v>
      </c>
      <c r="E34" s="79"/>
      <c r="F34" s="80">
        <f>IF(Rates!$G$1="CND 2018",Rates!G227," ")</f>
        <v>0</v>
      </c>
      <c r="G34" s="398">
        <f t="shared" si="2"/>
        <v>313</v>
      </c>
      <c r="H34" s="374">
        <f t="shared" si="3"/>
        <v>0</v>
      </c>
      <c r="I34" s="91"/>
      <c r="J34" s="337">
        <f>IF(Rates!$L$1="E+ 2019",Rates!L227," ")</f>
        <v>0</v>
      </c>
      <c r="K34" s="97">
        <f t="shared" si="4"/>
        <v>313</v>
      </c>
      <c r="L34" s="92">
        <f t="shared" si="0"/>
        <v>0</v>
      </c>
      <c r="M34" s="91"/>
      <c r="N34" s="84">
        <f t="shared" si="1"/>
        <v>0</v>
      </c>
      <c r="O34" s="85" t="str">
        <f t="shared" si="5"/>
        <v/>
      </c>
      <c r="Q34" s="95"/>
      <c r="R34" s="87"/>
      <c r="S34" s="88"/>
      <c r="T34" s="87"/>
      <c r="U34" s="89"/>
      <c r="V34" s="90"/>
      <c r="W34" s="69"/>
      <c r="X34" s="95"/>
      <c r="Y34" s="87"/>
      <c r="Z34" s="88"/>
      <c r="AA34" s="87"/>
      <c r="AB34" s="89"/>
      <c r="AC34" s="90"/>
      <c r="AD34" s="69"/>
      <c r="AE34" s="95"/>
      <c r="AF34" s="87"/>
      <c r="AG34" s="88"/>
      <c r="AH34" s="87"/>
      <c r="AI34" s="89"/>
      <c r="AJ34" s="90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</row>
    <row r="35" spans="1:60" s="94" customFormat="1" x14ac:dyDescent="0.25">
      <c r="A35" s="3"/>
      <c r="B35" s="271" t="str">
        <f>IF(Rates!D228='Residential CND (10%)'!$A$23,Rates!B228," ")</f>
        <v>Rate Rider for gain on Sale of Property</v>
      </c>
      <c r="C35" s="79"/>
      <c r="D35" s="271" t="str">
        <f>IF(Rates!D228='Residential CND (10%)'!$A$23,Rates!E228," ")</f>
        <v>Customer</v>
      </c>
      <c r="E35" s="79"/>
      <c r="F35" s="80">
        <f>IF(Rates!$G$1="CND 2018",Rates!G228," ")</f>
        <v>0</v>
      </c>
      <c r="G35" s="398">
        <f t="shared" ref="G35" si="6">IF(D35="customer",1,IF(D35="kWh",$F$18,$F$19))</f>
        <v>1</v>
      </c>
      <c r="H35" s="374">
        <f t="shared" ref="H35" si="7">G35*F35</f>
        <v>0</v>
      </c>
      <c r="I35" s="91"/>
      <c r="J35" s="337">
        <f>IF(Rates!$L$1="E+ 2019",Rates!L228," ")</f>
        <v>-0.16323570297172302</v>
      </c>
      <c r="K35" s="97">
        <f t="shared" ref="K35" si="8">IF(D35="customer",1,IF(D35="kWh",$F$18,$F$19))</f>
        <v>1</v>
      </c>
      <c r="L35" s="92">
        <f t="shared" ref="L35" si="9">K35*J35</f>
        <v>-0.16323570297172302</v>
      </c>
      <c r="M35" s="91"/>
      <c r="N35" s="84">
        <f t="shared" ref="N35" si="10">L35-H35</f>
        <v>-0.16323570297172302</v>
      </c>
      <c r="O35" s="85" t="str">
        <f t="shared" ref="O35" si="11">IF(OR(H35=0,L35=0),"",(N35/H35))</f>
        <v/>
      </c>
      <c r="Q35" s="98"/>
      <c r="R35" s="87"/>
      <c r="S35" s="88"/>
      <c r="T35" s="87"/>
      <c r="U35" s="89"/>
      <c r="V35" s="90"/>
      <c r="W35" s="69"/>
      <c r="X35" s="98"/>
      <c r="Y35" s="87"/>
      <c r="Z35" s="88"/>
      <c r="AA35" s="87"/>
      <c r="AB35" s="89"/>
      <c r="AC35" s="90"/>
      <c r="AD35" s="69"/>
      <c r="AE35" s="98"/>
      <c r="AF35" s="87"/>
      <c r="AG35" s="88"/>
      <c r="AH35" s="87"/>
      <c r="AI35" s="89"/>
      <c r="AJ35" s="90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</row>
    <row r="36" spans="1:60" s="94" customFormat="1" x14ac:dyDescent="0.25">
      <c r="A36" s="3"/>
      <c r="B36" s="109" t="s">
        <v>64</v>
      </c>
      <c r="C36" s="110"/>
      <c r="D36" s="110"/>
      <c r="E36" s="110"/>
      <c r="F36" s="111"/>
      <c r="G36" s="112"/>
      <c r="H36" s="113">
        <f>SUM(H23:H35)</f>
        <v>22.803198199999997</v>
      </c>
      <c r="I36" s="114"/>
      <c r="J36" s="115"/>
      <c r="K36" s="116"/>
      <c r="L36" s="113">
        <f>SUM(L23:L35)</f>
        <v>27.233460434206439</v>
      </c>
      <c r="M36" s="91"/>
      <c r="N36" s="117">
        <f t="shared" si="1"/>
        <v>4.4302622342064417</v>
      </c>
      <c r="O36" s="118">
        <f>IF(OR(H36=0, L36=0),"",(N36/H36))</f>
        <v>0.1942824947338502</v>
      </c>
      <c r="Q36" s="119"/>
      <c r="R36" s="120"/>
      <c r="S36" s="88"/>
      <c r="T36" s="87"/>
      <c r="U36" s="121"/>
      <c r="V36" s="122"/>
      <c r="W36" s="69"/>
      <c r="X36" s="119"/>
      <c r="Y36" s="120"/>
      <c r="Z36" s="88"/>
      <c r="AA36" s="87"/>
      <c r="AB36" s="121"/>
      <c r="AC36" s="122"/>
      <c r="AD36" s="69"/>
      <c r="AE36" s="119"/>
      <c r="AF36" s="120"/>
      <c r="AG36" s="88"/>
      <c r="AH36" s="87"/>
      <c r="AI36" s="121"/>
      <c r="AJ36" s="122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</row>
    <row r="37" spans="1:60" s="94" customFormat="1" x14ac:dyDescent="0.25">
      <c r="A37" s="5" t="s">
        <v>18</v>
      </c>
      <c r="B37" s="271" t="str">
        <f>IF(Rates!D229='Residential CND (10%)'!$A$37,Rates!B229," ")</f>
        <v>Low Voltage Service Rate</v>
      </c>
      <c r="C37" s="79"/>
      <c r="D37" s="271" t="str">
        <f>IF(Rates!D229='Residential CND (10%)'!$A$37,Rates!E229," ")</f>
        <v>kWh</v>
      </c>
      <c r="E37" s="79"/>
      <c r="F37" s="235">
        <f>IF(Rates!$G$1="CND 2018",Rates!G229," ")</f>
        <v>1E-4</v>
      </c>
      <c r="G37" s="398">
        <f t="shared" ref="G37" si="12">IF(D37="customer",1,IF(D37="kWh",$F$18,$F$19))</f>
        <v>313</v>
      </c>
      <c r="H37" s="376">
        <f>G37*F37</f>
        <v>3.1300000000000001E-2</v>
      </c>
      <c r="I37" s="87"/>
      <c r="J37" s="235">
        <f>IF(Rates!$L$1="E+ 2019",Rates!L229," ")</f>
        <v>4.0000000000000002E-4</v>
      </c>
      <c r="K37" s="97">
        <f t="shared" ref="K37" si="13">IF(D37="customer",1,IF(D37="kWh",$F$18,$F$19))</f>
        <v>313</v>
      </c>
      <c r="L37" s="92">
        <f t="shared" ref="L37:L45" si="14">K37*J37</f>
        <v>0.12520000000000001</v>
      </c>
      <c r="M37" s="87"/>
      <c r="N37" s="123">
        <f t="shared" si="1"/>
        <v>9.3900000000000011E-2</v>
      </c>
      <c r="O37" s="93">
        <f t="shared" ref="O37:O45" si="15">IF(OR(H37=0,L37=0),"",(N37/H37))</f>
        <v>3</v>
      </c>
      <c r="Q37" s="119"/>
      <c r="R37" s="87"/>
      <c r="S37" s="88"/>
      <c r="T37" s="87"/>
      <c r="U37" s="89"/>
      <c r="V37" s="90"/>
      <c r="W37" s="69"/>
      <c r="X37" s="119"/>
      <c r="Y37" s="87"/>
      <c r="Z37" s="88"/>
      <c r="AA37" s="87"/>
      <c r="AB37" s="89"/>
      <c r="AC37" s="90"/>
      <c r="AD37" s="69"/>
      <c r="AE37" s="119"/>
      <c r="AF37" s="87"/>
      <c r="AG37" s="88"/>
      <c r="AH37" s="87"/>
      <c r="AI37" s="89"/>
      <c r="AJ37" s="90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</row>
    <row r="38" spans="1:60" x14ac:dyDescent="0.25">
      <c r="A38" s="1"/>
      <c r="B38" s="271" t="s">
        <v>5</v>
      </c>
      <c r="C38" s="79"/>
      <c r="D38" s="271" t="s">
        <v>13</v>
      </c>
      <c r="E38" s="79"/>
      <c r="F38" s="275">
        <f>IF(ISBLANK($D16)=TRUE, 0, IF($D16="TOU", 0.65*$F55+0.17*$F56+0.18*$F57, IF(AND($D16="non-TOU", G59&gt;0), $F59,$F58)))</f>
        <v>8.2160000000000011E-2</v>
      </c>
      <c r="G38" s="375">
        <f>$F18*(1+$F68)-$F18</f>
        <v>10.485500000000002</v>
      </c>
      <c r="H38" s="377">
        <f t="shared" ref="H38:H41" si="16">G38*F38</f>
        <v>0.86148868000000023</v>
      </c>
      <c r="I38" s="83"/>
      <c r="J38" s="275">
        <f>IF(ISBLANK($D16)=TRUE, 0, IF($D16="TOU", 0.65*$F55+0.17*$F56+0.18*$F57, IF(AND($D16="non-TOU", K59&gt;0), $F59,$F58)))</f>
        <v>8.2160000000000011E-2</v>
      </c>
      <c r="K38" s="125">
        <f>$F18*(1+$J68)-$F18</f>
        <v>9.6042954324804555</v>
      </c>
      <c r="L38" s="126">
        <f t="shared" si="14"/>
        <v>0.78908891273259429</v>
      </c>
      <c r="M38" s="91"/>
      <c r="N38" s="123">
        <f t="shared" si="1"/>
        <v>-7.2399767267405934E-2</v>
      </c>
      <c r="O38" s="93">
        <f t="shared" si="15"/>
        <v>-8.4040300178298236E-2</v>
      </c>
      <c r="Q38" s="128"/>
      <c r="R38" s="129"/>
      <c r="S38" s="88"/>
      <c r="T38" s="87"/>
      <c r="U38" s="89"/>
      <c r="V38" s="90"/>
      <c r="W38" s="69"/>
      <c r="X38" s="128"/>
      <c r="Y38" s="129"/>
      <c r="Z38" s="88"/>
      <c r="AA38" s="87"/>
      <c r="AB38" s="89"/>
      <c r="AC38" s="90"/>
      <c r="AD38" s="69"/>
      <c r="AE38" s="128"/>
      <c r="AF38" s="129"/>
      <c r="AG38" s="88"/>
      <c r="AH38" s="87"/>
      <c r="AI38" s="89"/>
      <c r="AJ38" s="90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</row>
    <row r="39" spans="1:60" s="101" customFormat="1" x14ac:dyDescent="0.25">
      <c r="A39" s="130"/>
      <c r="B39" s="271" t="str">
        <f>IF(Rates!D230='Residential CND (10%)'!$A$37,Rates!B230," ")</f>
        <v>Rate Rider Other Fixed</v>
      </c>
      <c r="C39" s="79"/>
      <c r="D39" s="271" t="str">
        <f>IF(Rates!D230='Residential CND (10%)'!$A$37,Rates!E230," ")</f>
        <v>customer</v>
      </c>
      <c r="E39" s="79"/>
      <c r="F39" s="235">
        <f>IF(Rates!$G$1="CND 2018",Rates!G230," ")</f>
        <v>0</v>
      </c>
      <c r="G39" s="398">
        <f t="shared" ref="G39:G45" si="17">IF(D39="customer",1,IF(D39="kWh",$F$18,$F$19))</f>
        <v>1</v>
      </c>
      <c r="H39" s="374">
        <f t="shared" si="16"/>
        <v>0</v>
      </c>
      <c r="I39" s="91"/>
      <c r="J39" s="235">
        <f>IF(Rates!$L$1="E+ 2019",Rates!L230," ")</f>
        <v>0</v>
      </c>
      <c r="K39" s="97">
        <f t="shared" ref="K39:K45" si="18">IF(D39="customer",1,IF(D39="kWh",$F$18,$F$19))</f>
        <v>1</v>
      </c>
      <c r="L39" s="126">
        <f t="shared" si="14"/>
        <v>0</v>
      </c>
      <c r="M39" s="91"/>
      <c r="N39" s="123">
        <f t="shared" si="1"/>
        <v>0</v>
      </c>
      <c r="O39" s="93" t="str">
        <f t="shared" si="15"/>
        <v/>
      </c>
      <c r="Q39" s="102"/>
      <c r="R39" s="103"/>
      <c r="S39" s="104"/>
      <c r="T39" s="103"/>
      <c r="U39" s="105"/>
      <c r="V39" s="106"/>
      <c r="W39" s="107"/>
      <c r="X39" s="102"/>
      <c r="Y39" s="103"/>
      <c r="Z39" s="104"/>
      <c r="AA39" s="103"/>
      <c r="AB39" s="105"/>
      <c r="AC39" s="106"/>
      <c r="AD39" s="107"/>
      <c r="AE39" s="102"/>
      <c r="AF39" s="103"/>
      <c r="AG39" s="104"/>
      <c r="AH39" s="103"/>
      <c r="AI39" s="105"/>
      <c r="AJ39" s="106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</row>
    <row r="40" spans="1:60" s="101" customFormat="1" x14ac:dyDescent="0.25">
      <c r="A40" s="130"/>
      <c r="B40" s="271" t="str">
        <f>IF(Rates!D231='Residential CND (10%)'!$A$37,Rates!B231," ")</f>
        <v>Rate Rider for Smart Metering Entity Charge - effective until October 31, 2018</v>
      </c>
      <c r="C40" s="79"/>
      <c r="D40" s="271" t="str">
        <f>IF(Rates!D231='Residential CND (10%)'!$A$37,Rates!E231," ")</f>
        <v>customer</v>
      </c>
      <c r="E40" s="79"/>
      <c r="F40" s="235">
        <f>IF(Rates!$G$1="CND 2018",Rates!G231," ")</f>
        <v>0.56999999999999995</v>
      </c>
      <c r="G40" s="398">
        <f t="shared" si="17"/>
        <v>1</v>
      </c>
      <c r="H40" s="374">
        <f t="shared" si="16"/>
        <v>0.56999999999999995</v>
      </c>
      <c r="I40" s="91"/>
      <c r="J40" s="80">
        <f>IF(Rates!$L$1="E+ 2019",Rates!L231," ")</f>
        <v>0.56999999999999995</v>
      </c>
      <c r="K40" s="97">
        <f t="shared" si="18"/>
        <v>1</v>
      </c>
      <c r="L40" s="126">
        <f t="shared" si="14"/>
        <v>0.56999999999999995</v>
      </c>
      <c r="M40" s="91"/>
      <c r="N40" s="123">
        <f t="shared" si="1"/>
        <v>0</v>
      </c>
      <c r="O40" s="93">
        <f>IF(OR(H40=0,L40=0),"",(N40/H40))</f>
        <v>0</v>
      </c>
      <c r="Q40" s="102"/>
      <c r="R40" s="103"/>
      <c r="S40" s="104"/>
      <c r="T40" s="103"/>
      <c r="U40" s="105"/>
      <c r="V40" s="106"/>
      <c r="W40" s="107"/>
      <c r="X40" s="102"/>
      <c r="Y40" s="103"/>
      <c r="Z40" s="104"/>
      <c r="AA40" s="103"/>
      <c r="AB40" s="105"/>
      <c r="AC40" s="106"/>
      <c r="AD40" s="107"/>
      <c r="AE40" s="102"/>
      <c r="AF40" s="103"/>
      <c r="AG40" s="104"/>
      <c r="AH40" s="103"/>
      <c r="AI40" s="105"/>
      <c r="AJ40" s="106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</row>
    <row r="41" spans="1:60" s="101" customFormat="1" x14ac:dyDescent="0.25">
      <c r="A41" s="130"/>
      <c r="B41" s="271" t="str">
        <f>IF(Rates!D232='Residential CND (10%)'!$A$37,Rates!B232," ")</f>
        <v>Rate Rider Other Volumetric</v>
      </c>
      <c r="C41" s="79"/>
      <c r="D41" s="271" t="str">
        <f>IF(Rates!D232='Residential CND (10%)'!$A$37,Rates!E232," ")</f>
        <v>Customer</v>
      </c>
      <c r="E41" s="79"/>
      <c r="F41" s="273">
        <f>IF(Rates!$G$1="CND 2018",Rates!G232," ")</f>
        <v>0</v>
      </c>
      <c r="G41" s="398">
        <f t="shared" si="17"/>
        <v>1</v>
      </c>
      <c r="H41" s="374">
        <f t="shared" si="16"/>
        <v>0</v>
      </c>
      <c r="I41" s="91"/>
      <c r="J41" s="235">
        <f>IF(Rates!$L$1="E+ 2019",Rates!L232," ")</f>
        <v>0.69826111473472707</v>
      </c>
      <c r="K41" s="97">
        <f t="shared" si="18"/>
        <v>1</v>
      </c>
      <c r="L41" s="126">
        <f>K41*J41</f>
        <v>0.69826111473472707</v>
      </c>
      <c r="M41" s="91"/>
      <c r="N41" s="123">
        <f t="shared" si="1"/>
        <v>0.69826111473472707</v>
      </c>
      <c r="O41" s="93" t="str">
        <f t="shared" si="15"/>
        <v/>
      </c>
      <c r="Q41" s="102"/>
      <c r="R41" s="103"/>
      <c r="S41" s="104"/>
      <c r="T41" s="103"/>
      <c r="U41" s="105"/>
      <c r="V41" s="106"/>
      <c r="W41" s="107"/>
      <c r="X41" s="102"/>
      <c r="Y41" s="103"/>
      <c r="Z41" s="104"/>
      <c r="AA41" s="103"/>
      <c r="AB41" s="105"/>
      <c r="AC41" s="106"/>
      <c r="AD41" s="107"/>
      <c r="AE41" s="102"/>
      <c r="AF41" s="103"/>
      <c r="AG41" s="104"/>
      <c r="AH41" s="103"/>
      <c r="AI41" s="105"/>
      <c r="AJ41" s="106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</row>
    <row r="42" spans="1:60" s="101" customFormat="1" x14ac:dyDescent="0.25">
      <c r="A42" s="130"/>
      <c r="B42" s="271" t="str">
        <f>IF(Rates!D233='Residential CND (10%)'!$A$37,Rates!B233," ")</f>
        <v xml:space="preserve">Rate Rider for Disposition of Deferral/Variance Accounts </v>
      </c>
      <c r="C42" s="79"/>
      <c r="D42" s="271" t="str">
        <f>IF(Rates!D233='Residential CND (10%)'!$A$37,Rates!E233," ")</f>
        <v>kWh</v>
      </c>
      <c r="E42" s="79"/>
      <c r="F42" s="235">
        <f>IF(Rates!$G$1="CND 2018",Rates!G233," ")</f>
        <v>-6.268366589161683E-3</v>
      </c>
      <c r="G42" s="398">
        <f t="shared" si="17"/>
        <v>313</v>
      </c>
      <c r="H42" s="378">
        <f>G42*F42</f>
        <v>-1.9619987424076069</v>
      </c>
      <c r="I42" s="91"/>
      <c r="J42" s="337">
        <f>IF(Rates!$L$1="E+ 2019",Rates!L233," ")</f>
        <v>-1.7004562090666019E-3</v>
      </c>
      <c r="K42" s="97">
        <f t="shared" si="18"/>
        <v>313</v>
      </c>
      <c r="L42" s="92">
        <f t="shared" si="14"/>
        <v>-0.53224279343784642</v>
      </c>
      <c r="M42" s="91"/>
      <c r="N42" s="123">
        <f t="shared" si="1"/>
        <v>1.4297559489697604</v>
      </c>
      <c r="O42" s="93">
        <f t="shared" si="15"/>
        <v>-0.7287241923586959</v>
      </c>
      <c r="Q42" s="102"/>
      <c r="R42" s="103"/>
      <c r="S42" s="104"/>
      <c r="T42" s="103"/>
      <c r="U42" s="105"/>
      <c r="V42" s="106"/>
      <c r="W42" s="107"/>
      <c r="X42" s="102"/>
      <c r="Y42" s="103"/>
      <c r="Z42" s="104"/>
      <c r="AA42" s="103"/>
      <c r="AB42" s="105"/>
      <c r="AC42" s="106"/>
      <c r="AD42" s="107"/>
      <c r="AE42" s="102"/>
      <c r="AF42" s="103"/>
      <c r="AG42" s="104"/>
      <c r="AH42" s="103"/>
      <c r="AI42" s="105"/>
      <c r="AJ42" s="106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</row>
    <row r="43" spans="1:60" s="101" customFormat="1" x14ac:dyDescent="0.25">
      <c r="A43" s="130"/>
      <c r="B43" s="271" t="str">
        <f>IF(Rates!D234='Residential CND (10%)'!$A$37,Rates!B234," ")</f>
        <v>Rate Rider for Disposition of Deferral/Variance Accounts Non-WMP Customers</v>
      </c>
      <c r="C43" s="79"/>
      <c r="D43" s="271" t="str">
        <f>IF(Rates!D234='Residential CND (10%)'!$A$37,Rates!E234," ")</f>
        <v>kWh</v>
      </c>
      <c r="E43" s="79"/>
      <c r="F43" s="235">
        <f>IF(Rates!$G$1="CND 2018",Rates!G234," ")</f>
        <v>0</v>
      </c>
      <c r="G43" s="398">
        <f t="shared" si="17"/>
        <v>313</v>
      </c>
      <c r="H43" s="374"/>
      <c r="I43" s="91"/>
      <c r="J43" s="235">
        <f>IF(Rates!$L$1="E+ 2019",Rates!L234," ")</f>
        <v>0</v>
      </c>
      <c r="K43" s="97">
        <f t="shared" si="18"/>
        <v>313</v>
      </c>
      <c r="L43" s="92">
        <f t="shared" si="14"/>
        <v>0</v>
      </c>
      <c r="M43" s="91"/>
      <c r="N43" s="123">
        <f t="shared" si="1"/>
        <v>0</v>
      </c>
      <c r="O43" s="93" t="str">
        <f t="shared" si="15"/>
        <v/>
      </c>
      <c r="Q43" s="102"/>
      <c r="R43" s="103"/>
      <c r="S43" s="104"/>
      <c r="T43" s="103"/>
      <c r="U43" s="105"/>
      <c r="V43" s="106"/>
      <c r="W43" s="107"/>
      <c r="X43" s="102"/>
      <c r="Y43" s="103"/>
      <c r="Z43" s="104"/>
      <c r="AA43" s="103"/>
      <c r="AB43" s="105"/>
      <c r="AC43" s="106"/>
      <c r="AD43" s="107"/>
      <c r="AE43" s="102"/>
      <c r="AF43" s="103"/>
      <c r="AG43" s="104"/>
      <c r="AH43" s="103"/>
      <c r="AI43" s="105"/>
      <c r="AJ43" s="106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</row>
    <row r="44" spans="1:60" x14ac:dyDescent="0.25">
      <c r="A44" s="1"/>
      <c r="B44" s="271" t="str">
        <f>IF(Rates!D235='Residential CND (10%)'!$A$37,Rates!B235," ")</f>
        <v>Rate Rider for Disposition of GA DV</v>
      </c>
      <c r="C44" s="79"/>
      <c r="D44" s="271" t="str">
        <f>IF(Rates!D235='Residential CND (10%)'!$A$37,Rates!E235," ")</f>
        <v>kWh</v>
      </c>
      <c r="E44" s="79"/>
      <c r="F44" s="235">
        <f>IF(Rates!$G$1="CND 2018",Rates!G235," ")</f>
        <v>3.3E-3</v>
      </c>
      <c r="G44" s="398">
        <f t="shared" si="17"/>
        <v>313</v>
      </c>
      <c r="H44" s="377">
        <f>G44*F44</f>
        <v>1.0328999999999999</v>
      </c>
      <c r="I44" s="83"/>
      <c r="J44" s="235">
        <f>IF(Rates!$L$1="E+ 2019",Rates!L235," ")</f>
        <v>3.8449181889326281E-4</v>
      </c>
      <c r="K44" s="97">
        <f t="shared" si="18"/>
        <v>313</v>
      </c>
      <c r="L44" s="126">
        <f t="shared" si="14"/>
        <v>0.12034593931359126</v>
      </c>
      <c r="M44" s="91"/>
      <c r="N44" s="123">
        <f t="shared" si="1"/>
        <v>-0.91255406068640865</v>
      </c>
      <c r="O44" s="93">
        <f t="shared" si="15"/>
        <v>-0.88348732760810211</v>
      </c>
      <c r="Q44" s="131"/>
      <c r="R44" s="87"/>
      <c r="S44" s="88"/>
      <c r="T44" s="87"/>
      <c r="U44" s="89"/>
      <c r="V44" s="90"/>
      <c r="W44" s="69"/>
      <c r="X44" s="131"/>
      <c r="Y44" s="87"/>
      <c r="Z44" s="88"/>
      <c r="AA44" s="87"/>
      <c r="AB44" s="89"/>
      <c r="AC44" s="90"/>
      <c r="AD44" s="69"/>
      <c r="AE44" s="131"/>
      <c r="AF44" s="87"/>
      <c r="AG44" s="88"/>
      <c r="AH44" s="87"/>
      <c r="AI44" s="89"/>
      <c r="AJ44" s="90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</row>
    <row r="45" spans="1:60" x14ac:dyDescent="0.25">
      <c r="A45" s="1"/>
      <c r="B45" s="271" t="str">
        <f>IF(Rates!D236='Residential CND (10%)'!$A$37,Rates!B236," ")</f>
        <v>Rate Rider for Disposition of Capacity Based Recovery Account (2018) - Applicable only for Class B Customers</v>
      </c>
      <c r="C45" s="79"/>
      <c r="D45" s="271" t="str">
        <f>IF(Rates!D236='Residential CND (10%)'!$A$37,Rates!E236," ")</f>
        <v>kWh</v>
      </c>
      <c r="E45" s="79"/>
      <c r="F45" s="235">
        <f>IF(Rates!$G$1="CND 2018",Rates!G236," ")</f>
        <v>4.0000000000000002E-4</v>
      </c>
      <c r="G45" s="398">
        <f t="shared" si="17"/>
        <v>313</v>
      </c>
      <c r="H45" s="377">
        <f>G45*F45</f>
        <v>0.12520000000000001</v>
      </c>
      <c r="I45" s="83"/>
      <c r="J45" s="235">
        <f>IF(Rates!$L$1="E+ 2019",Rates!L236," ")</f>
        <v>4.9568533837617714E-6</v>
      </c>
      <c r="K45" s="97">
        <f t="shared" si="18"/>
        <v>313</v>
      </c>
      <c r="L45" s="126">
        <f t="shared" si="14"/>
        <v>1.5514951091174344E-3</v>
      </c>
      <c r="M45" s="91"/>
      <c r="N45" s="123">
        <f t="shared" si="1"/>
        <v>-0.12364850489088257</v>
      </c>
      <c r="O45" s="93">
        <f t="shared" si="15"/>
        <v>-0.98760786654059551</v>
      </c>
      <c r="Q45" s="131"/>
      <c r="R45" s="87"/>
      <c r="S45" s="88"/>
      <c r="T45" s="87"/>
      <c r="U45" s="89"/>
      <c r="V45" s="90"/>
      <c r="W45" s="69"/>
      <c r="X45" s="131"/>
      <c r="Y45" s="87"/>
      <c r="Z45" s="88"/>
      <c r="AA45" s="87"/>
      <c r="AB45" s="89"/>
      <c r="AC45" s="90"/>
      <c r="AD45" s="69"/>
      <c r="AE45" s="131"/>
      <c r="AF45" s="87"/>
      <c r="AG45" s="88"/>
      <c r="AH45" s="87"/>
      <c r="AI45" s="89"/>
      <c r="AJ45" s="90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</row>
    <row r="46" spans="1:60" hidden="1" x14ac:dyDescent="0.25">
      <c r="A46" s="1"/>
      <c r="B46" s="271"/>
      <c r="C46" s="79"/>
      <c r="D46" s="271"/>
      <c r="E46" s="79"/>
      <c r="F46" s="235"/>
      <c r="G46" s="398"/>
      <c r="H46" s="379"/>
      <c r="I46" s="83"/>
      <c r="J46" s="337"/>
      <c r="K46" s="97"/>
      <c r="L46" s="126"/>
      <c r="M46" s="91"/>
      <c r="N46" s="123"/>
      <c r="O46" s="93"/>
      <c r="Q46" s="131"/>
      <c r="R46" s="87"/>
      <c r="S46" s="88"/>
      <c r="T46" s="87"/>
      <c r="U46" s="89"/>
      <c r="V46" s="90"/>
      <c r="W46" s="69"/>
      <c r="X46" s="131"/>
      <c r="Y46" s="87"/>
      <c r="Z46" s="88"/>
      <c r="AA46" s="87"/>
      <c r="AB46" s="89"/>
      <c r="AC46" s="90"/>
      <c r="AD46" s="69"/>
      <c r="AE46" s="131"/>
      <c r="AF46" s="87"/>
      <c r="AG46" s="88"/>
      <c r="AH46" s="87"/>
      <c r="AI46" s="89"/>
      <c r="AJ46" s="90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</row>
    <row r="47" spans="1:60" x14ac:dyDescent="0.25">
      <c r="A47" s="1"/>
      <c r="B47" s="132" t="s">
        <v>80</v>
      </c>
      <c r="C47" s="133"/>
      <c r="D47" s="133"/>
      <c r="E47" s="133"/>
      <c r="F47" s="134"/>
      <c r="G47" s="135"/>
      <c r="H47" s="136">
        <f>SUM(H37:H42)+H36+H45+H46</f>
        <v>22.429188137592391</v>
      </c>
      <c r="I47" s="87"/>
      <c r="J47" s="135"/>
      <c r="K47" s="137"/>
      <c r="L47" s="136">
        <f>SUM(L37:L42)+L36+L45+L46</f>
        <v>28.885319163345034</v>
      </c>
      <c r="M47" s="87"/>
      <c r="N47" s="117">
        <f>L47-H47</f>
        <v>6.4561310257526436</v>
      </c>
      <c r="O47" s="138">
        <f>IF(OR(H47=0,L47=0),"",(N47/H47))</f>
        <v>0.28784506091559592</v>
      </c>
      <c r="Q47" s="87"/>
      <c r="R47" s="87"/>
      <c r="S47" s="121"/>
      <c r="T47" s="87"/>
      <c r="U47" s="121"/>
      <c r="V47" s="139"/>
      <c r="W47" s="69"/>
      <c r="X47" s="87"/>
      <c r="Y47" s="87"/>
      <c r="Z47" s="121"/>
      <c r="AA47" s="87"/>
      <c r="AB47" s="121"/>
      <c r="AC47" s="139"/>
      <c r="AD47" s="69"/>
      <c r="AE47" s="87"/>
      <c r="AF47" s="87"/>
      <c r="AG47" s="121"/>
      <c r="AH47" s="87"/>
      <c r="AI47" s="121"/>
      <c r="AJ47" s="13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</row>
    <row r="48" spans="1:60" x14ac:dyDescent="0.25">
      <c r="A48" s="38" t="s">
        <v>16</v>
      </c>
      <c r="B48" s="271" t="str">
        <f>IF(Rates!D237='Residential CND (10%)'!$A$48,Rates!B237," ")</f>
        <v>Retail Transmission Rate – Network Service Rate</v>
      </c>
      <c r="C48" s="79"/>
      <c r="D48" s="271" t="str">
        <f>IF(Rates!D237='Residential CND (10%)'!$A$48,Rates!E237," ")</f>
        <v>kWh</v>
      </c>
      <c r="E48" s="91"/>
      <c r="F48" s="235">
        <f>IF(Rates!$G$1="CND 2018",Rates!G237," ")</f>
        <v>5.8999999999999999E-3</v>
      </c>
      <c r="G48" s="140">
        <f>$F18*(1+$F68)</f>
        <v>323.4855</v>
      </c>
      <c r="H48" s="82">
        <f>G48*F48</f>
        <v>1.9085644499999999</v>
      </c>
      <c r="I48" s="87"/>
      <c r="J48" s="235">
        <f>IF(Rates!$L$1="E+ 2019",Rates!L237," ")</f>
        <v>5.5481168316355673E-3</v>
      </c>
      <c r="K48" s="140">
        <f>$F18*(1+$J$68)</f>
        <v>322.60429543248046</v>
      </c>
      <c r="L48" s="82">
        <f>K48*J48</f>
        <v>1.7898463214468781</v>
      </c>
      <c r="M48" s="87"/>
      <c r="N48" s="84">
        <f t="shared" si="1"/>
        <v>-0.1187181285531218</v>
      </c>
      <c r="O48" s="85">
        <f>IF(OR(H48=0,L48=0),"",(N48/H48))</f>
        <v>-6.2202839706629667E-2</v>
      </c>
      <c r="Q48" s="98"/>
      <c r="R48" s="141"/>
      <c r="S48" s="294">
        <f>F48*K48</f>
        <v>1.9033653430516346</v>
      </c>
      <c r="T48" s="87"/>
      <c r="U48" s="89"/>
      <c r="V48" s="90"/>
      <c r="W48" s="69"/>
      <c r="X48" s="98"/>
      <c r="Y48" s="141"/>
      <c r="Z48" s="88"/>
      <c r="AA48" s="87"/>
      <c r="AB48" s="89"/>
      <c r="AC48" s="90"/>
      <c r="AD48" s="69"/>
      <c r="AE48" s="98"/>
      <c r="AF48" s="141"/>
      <c r="AG48" s="88"/>
      <c r="AH48" s="87"/>
      <c r="AI48" s="89"/>
      <c r="AJ48" s="90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</row>
    <row r="49" spans="1:60" x14ac:dyDescent="0.25">
      <c r="A49" s="1"/>
      <c r="B49" s="271" t="str">
        <f>IF(Rates!D238='Residential CND (10%)'!$A$48,Rates!B238," ")</f>
        <v>Retail Transmission Rate – Line and Transformation Connection Service Rate</v>
      </c>
      <c r="C49" s="79"/>
      <c r="D49" s="271" t="str">
        <f>IF(Rates!D238='Residential CND (10%)'!$A$48,Rates!E238," ")</f>
        <v>kWh</v>
      </c>
      <c r="E49" s="91"/>
      <c r="F49" s="235">
        <f>IF(Rates!$G$1="CND 2018",Rates!G238," ")</f>
        <v>4.4000000000000003E-3</v>
      </c>
      <c r="G49" s="140">
        <f>$G48</f>
        <v>323.4855</v>
      </c>
      <c r="H49" s="82">
        <f>G49*F49</f>
        <v>1.4233362000000001</v>
      </c>
      <c r="I49" s="87"/>
      <c r="J49" s="235">
        <f>IF(Rates!$L$1="E+ 2019",Rates!L238," ")</f>
        <v>4.137812914852752E-3</v>
      </c>
      <c r="K49" s="140">
        <f>$F$18*(1+$J$68)</f>
        <v>322.60429543248046</v>
      </c>
      <c r="L49" s="82">
        <f>K49*J49</f>
        <v>1.3348762200274904</v>
      </c>
      <c r="M49" s="87"/>
      <c r="N49" s="84">
        <f t="shared" si="1"/>
        <v>-8.845997997250965E-2</v>
      </c>
      <c r="O49" s="85">
        <f>IF(OR(H49=0,L49=0),"",(N49/H49))</f>
        <v>-6.2149743660359122E-2</v>
      </c>
      <c r="Q49" s="98"/>
      <c r="R49" s="141"/>
      <c r="S49" s="295">
        <f>F49*K49</f>
        <v>1.4194588999029141</v>
      </c>
      <c r="T49" s="87"/>
      <c r="U49" s="89"/>
      <c r="V49" s="90"/>
      <c r="W49" s="69"/>
      <c r="X49" s="98"/>
      <c r="Y49" s="141"/>
      <c r="Z49" s="88"/>
      <c r="AA49" s="87"/>
      <c r="AB49" s="89"/>
      <c r="AC49" s="90"/>
      <c r="AD49" s="69"/>
      <c r="AE49" s="98"/>
      <c r="AF49" s="141"/>
      <c r="AG49" s="88"/>
      <c r="AH49" s="87"/>
      <c r="AI49" s="89"/>
      <c r="AJ49" s="90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</row>
    <row r="50" spans="1:60" x14ac:dyDescent="0.25">
      <c r="A50" s="1"/>
      <c r="B50" s="132" t="s">
        <v>81</v>
      </c>
      <c r="C50" s="110"/>
      <c r="D50" s="110"/>
      <c r="E50" s="110"/>
      <c r="F50" s="142"/>
      <c r="G50" s="135"/>
      <c r="H50" s="136">
        <f>SUM(H47:H49)</f>
        <v>25.761088787592392</v>
      </c>
      <c r="I50" s="146"/>
      <c r="J50" s="144"/>
      <c r="K50" s="145"/>
      <c r="L50" s="136">
        <f>SUM(L47:L49)</f>
        <v>32.0100417048194</v>
      </c>
      <c r="M50" s="146"/>
      <c r="N50" s="117">
        <f>L50-H50</f>
        <v>6.2489529172270082</v>
      </c>
      <c r="O50" s="138">
        <f>IF(OR(H50=0,L50=0),"",(N50/H50))</f>
        <v>0.24257332322990799</v>
      </c>
      <c r="Q50" s="146"/>
      <c r="R50" s="146"/>
      <c r="S50" s="296">
        <f>S48+S49</f>
        <v>3.3228242429545487</v>
      </c>
      <c r="T50" s="146"/>
      <c r="U50" s="121"/>
      <c r="V50" s="139"/>
      <c r="W50" s="69"/>
      <c r="X50" s="146"/>
      <c r="Y50" s="146"/>
      <c r="Z50" s="121"/>
      <c r="AA50" s="146"/>
      <c r="AB50" s="121"/>
      <c r="AC50" s="139"/>
      <c r="AD50" s="69"/>
      <c r="AE50" s="146"/>
      <c r="AF50" s="146"/>
      <c r="AG50" s="121"/>
      <c r="AH50" s="146"/>
      <c r="AI50" s="121"/>
      <c r="AJ50" s="13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</row>
    <row r="51" spans="1:60" x14ac:dyDescent="0.25">
      <c r="A51" s="4" t="s">
        <v>17</v>
      </c>
      <c r="B51" s="271" t="str">
        <f>IF(Rates!D8='Residential CND (10%)'!$A$51,Rates!B8," ")</f>
        <v>Standard Supply Service – Administrative Charge (if applicable)</v>
      </c>
      <c r="C51" s="79"/>
      <c r="D51" s="271" t="str">
        <f>IF(Rates!D8='Residential CND (10%)'!$A$51,Rates!E8," ")</f>
        <v>customer</v>
      </c>
      <c r="E51" s="79"/>
      <c r="F51" s="235">
        <f>IF(Rates!$G$1="CND 2018",Rates!G8," ")</f>
        <v>0.25</v>
      </c>
      <c r="G51" s="398">
        <f t="shared" ref="G51" si="19">IF(D51="customer",1,IF(D51="kWh",$F$18,$F$19))</f>
        <v>1</v>
      </c>
      <c r="H51" s="383">
        <f t="shared" ref="H51:H59" si="20">G51*F51</f>
        <v>0.25</v>
      </c>
      <c r="I51" s="87"/>
      <c r="J51" s="80">
        <f>IF(Rates!$L$1="E+ 2019",Rates!L8," ")</f>
        <v>0.25</v>
      </c>
      <c r="K51" s="97">
        <f t="shared" ref="K51" si="21">IF(D51="customer",1,IF(D51="kWh",$F$18,$F$19))</f>
        <v>1</v>
      </c>
      <c r="L51" s="383">
        <f t="shared" ref="L51:L59" si="22">K51*J51</f>
        <v>0.25</v>
      </c>
      <c r="M51" s="87"/>
      <c r="N51" s="149">
        <f t="shared" si="1"/>
        <v>0</v>
      </c>
      <c r="O51" s="85">
        <f>IF(OR(H51=0,L51=0),"",(N51/H51))</f>
        <v>0</v>
      </c>
      <c r="Q51" s="150"/>
      <c r="R51" s="141"/>
      <c r="S51" s="151"/>
      <c r="T51" s="87"/>
      <c r="U51" s="89"/>
      <c r="V51" s="90"/>
      <c r="W51" s="69"/>
      <c r="X51" s="150"/>
      <c r="Y51" s="141"/>
      <c r="Z51" s="151"/>
      <c r="AA51" s="87"/>
      <c r="AB51" s="89"/>
      <c r="AC51" s="90"/>
      <c r="AD51" s="69"/>
      <c r="AE51" s="150"/>
      <c r="AF51" s="141"/>
      <c r="AG51" s="151"/>
      <c r="AH51" s="87"/>
      <c r="AI51" s="89"/>
      <c r="AJ51" s="90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</row>
    <row r="52" spans="1:60" x14ac:dyDescent="0.25">
      <c r="A52" s="1"/>
      <c r="B52" s="271" t="str">
        <f>IF(Rates!D9='Residential CND (10%)'!$A$51,Rates!B9," ")</f>
        <v xml:space="preserve">Wholesale Market Service Rate </v>
      </c>
      <c r="C52" s="79"/>
      <c r="D52" s="271" t="str">
        <f>IF(Rates!D9='Residential CND (10%)'!$A$51,Rates!E9," ")</f>
        <v>kWh</v>
      </c>
      <c r="E52" s="79"/>
      <c r="F52" s="235">
        <f>IF(Rates!$G$1="CND 2018",Rates!G9," ")</f>
        <v>3.2000000000000002E-3</v>
      </c>
      <c r="G52" s="380">
        <f>G48</f>
        <v>323.4855</v>
      </c>
      <c r="H52" s="155">
        <f t="shared" si="20"/>
        <v>1.0351536000000001</v>
      </c>
      <c r="I52" s="87"/>
      <c r="J52" s="235">
        <f>IF(Rates!$L$1="E+ 2019",Rates!L9," ")</f>
        <v>3.2000000000000002E-3</v>
      </c>
      <c r="K52" s="140">
        <f>$F$18*(1+$J$68)</f>
        <v>322.60429543248046</v>
      </c>
      <c r="L52" s="155">
        <f t="shared" si="22"/>
        <v>1.0323337453839374</v>
      </c>
      <c r="M52" s="87"/>
      <c r="N52" s="84">
        <f t="shared" si="1"/>
        <v>-2.8198546160627114E-3</v>
      </c>
      <c r="O52" s="85">
        <f t="shared" ref="O52:O65" si="23">IF(OR(H52=0,L52=0),"",(N52/H52))</f>
        <v>-2.7240929424026646E-3</v>
      </c>
      <c r="Q52" s="150"/>
      <c r="R52" s="141"/>
      <c r="S52" s="151"/>
      <c r="T52" s="87"/>
      <c r="U52" s="89"/>
      <c r="V52" s="90"/>
      <c r="W52" s="69"/>
      <c r="X52" s="150"/>
      <c r="Y52" s="141"/>
      <c r="Z52" s="151"/>
      <c r="AA52" s="87"/>
      <c r="AB52" s="89"/>
      <c r="AC52" s="90"/>
      <c r="AD52" s="69"/>
      <c r="AE52" s="150"/>
      <c r="AF52" s="141"/>
      <c r="AG52" s="151"/>
      <c r="AH52" s="87"/>
      <c r="AI52" s="89"/>
      <c r="AJ52" s="90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</row>
    <row r="53" spans="1:60" x14ac:dyDescent="0.25">
      <c r="A53" s="1"/>
      <c r="B53" s="271" t="str">
        <f>IF(Rates!D10='Residential CND (10%)'!$A$51,Rates!B10," ")</f>
        <v>Capacity Based Rcovery(CBR) - Class B Customers</v>
      </c>
      <c r="C53" s="79"/>
      <c r="D53" s="271" t="str">
        <f>IF(Rates!D10='Residential CND (10%)'!$A$51,Rates!E10," ")</f>
        <v>kWh</v>
      </c>
      <c r="E53" s="79"/>
      <c r="F53" s="235">
        <f>IF(Rates!$G$1="CND 2018",Rates!G10," ")</f>
        <v>4.0000000000000002E-4</v>
      </c>
      <c r="G53" s="380">
        <f>G48</f>
        <v>323.4855</v>
      </c>
      <c r="H53" s="155">
        <f t="shared" si="20"/>
        <v>0.12939420000000001</v>
      </c>
      <c r="I53" s="87"/>
      <c r="J53" s="235">
        <f>IF(Rates!$L$1="E+ 2019",Rates!L10," ")</f>
        <v>4.0000000000000002E-4</v>
      </c>
      <c r="K53" s="140">
        <f t="shared" ref="K53:K54" si="24">$F$18*(1+$J$68)</f>
        <v>322.60429543248046</v>
      </c>
      <c r="L53" s="155">
        <f t="shared" si="22"/>
        <v>0.12904171817299218</v>
      </c>
      <c r="M53" s="87"/>
      <c r="N53" s="84">
        <f t="shared" si="1"/>
        <v>-3.5248182700783892E-4</v>
      </c>
      <c r="O53" s="85">
        <f t="shared" si="23"/>
        <v>-2.7240929424026646E-3</v>
      </c>
      <c r="Q53" s="150"/>
      <c r="R53" s="141"/>
      <c r="S53" s="151"/>
      <c r="T53" s="87"/>
      <c r="U53" s="89"/>
      <c r="V53" s="90"/>
      <c r="W53" s="69"/>
      <c r="X53" s="150"/>
      <c r="Y53" s="141"/>
      <c r="Z53" s="151"/>
      <c r="AA53" s="87"/>
      <c r="AB53" s="89"/>
      <c r="AC53" s="90"/>
      <c r="AD53" s="69"/>
      <c r="AE53" s="150"/>
      <c r="AF53" s="141"/>
      <c r="AG53" s="151"/>
      <c r="AH53" s="87"/>
      <c r="AI53" s="89"/>
      <c r="AJ53" s="90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</row>
    <row r="54" spans="1:60" x14ac:dyDescent="0.25">
      <c r="A54" s="1"/>
      <c r="B54" s="271" t="str">
        <f>IF(Rates!D11='Residential CND (10%)'!$A$51,Rates!B11," ")</f>
        <v xml:space="preserve">Rural Rate Protection Charge </v>
      </c>
      <c r="C54" s="79"/>
      <c r="D54" s="271" t="str">
        <f>IF(Rates!D11='Residential CND (10%)'!$A$51,Rates!E11," ")</f>
        <v>kWh</v>
      </c>
      <c r="E54" s="79"/>
      <c r="F54" s="235">
        <f>IF(Rates!$G$1="CND 2018",Rates!G11," ")</f>
        <v>2.9999999999999997E-4</v>
      </c>
      <c r="G54" s="380">
        <f>G49</f>
        <v>323.4855</v>
      </c>
      <c r="H54" s="155">
        <f t="shared" si="20"/>
        <v>9.7045649999999997E-2</v>
      </c>
      <c r="I54" s="87"/>
      <c r="J54" s="235">
        <f>IF(Rates!$L$1="E+ 2019",Rates!L11," ")</f>
        <v>2.9999999999999997E-4</v>
      </c>
      <c r="K54" s="140">
        <f t="shared" si="24"/>
        <v>322.60429543248046</v>
      </c>
      <c r="L54" s="155">
        <f t="shared" si="22"/>
        <v>9.6781288629744125E-2</v>
      </c>
      <c r="M54" s="87"/>
      <c r="N54" s="84">
        <f t="shared" si="1"/>
        <v>-2.6436137025587225E-4</v>
      </c>
      <c r="O54" s="85">
        <f t="shared" si="23"/>
        <v>-2.7240929424025935E-3</v>
      </c>
      <c r="Q54" s="153"/>
      <c r="R54" s="87"/>
      <c r="S54" s="151"/>
      <c r="T54" s="87"/>
      <c r="U54" s="89"/>
      <c r="V54" s="90"/>
      <c r="W54" s="69"/>
      <c r="X54" s="153"/>
      <c r="Y54" s="87"/>
      <c r="Z54" s="151"/>
      <c r="AA54" s="87"/>
      <c r="AB54" s="89"/>
      <c r="AC54" s="90"/>
      <c r="AD54" s="69"/>
      <c r="AE54" s="153"/>
      <c r="AF54" s="87"/>
      <c r="AG54" s="151"/>
      <c r="AH54" s="87"/>
      <c r="AI54" s="89"/>
      <c r="AJ54" s="90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</row>
    <row r="55" spans="1:60" x14ac:dyDescent="0.25">
      <c r="A55" s="6" t="s">
        <v>14</v>
      </c>
      <c r="B55" s="271" t="str">
        <f>IF(Rates!D2='Residential CND (10%)'!$A$55,Rates!B2," ")</f>
        <v>TOU - Off Peak</v>
      </c>
      <c r="C55" s="79"/>
      <c r="D55" s="271" t="str">
        <f>IF(Rates!D2='Residential CND (10%)'!$A$55,Rates!E2," ")</f>
        <v>kWh</v>
      </c>
      <c r="E55" s="79"/>
      <c r="F55" s="235">
        <f>IF(Rates!$G$1="CND 2018",Rates!G2," ")</f>
        <v>6.5000000000000002E-2</v>
      </c>
      <c r="G55" s="381">
        <f>IF($D$16="TOU",0.65*$F$18,0)</f>
        <v>203.45000000000002</v>
      </c>
      <c r="H55" s="155">
        <f>G55*F55</f>
        <v>13.224250000000001</v>
      </c>
      <c r="I55" s="87"/>
      <c r="J55" s="235">
        <f>IF(Rates!$L$1="E+ 2019",Rates!L2," ")</f>
        <v>6.5000000000000002E-2</v>
      </c>
      <c r="K55" s="154">
        <f>$G55</f>
        <v>203.45000000000002</v>
      </c>
      <c r="L55" s="155">
        <f t="shared" si="22"/>
        <v>13.224250000000001</v>
      </c>
      <c r="M55" s="87"/>
      <c r="N55" s="84">
        <f t="shared" si="1"/>
        <v>0</v>
      </c>
      <c r="O55" s="156">
        <f t="shared" si="23"/>
        <v>0</v>
      </c>
      <c r="Q55" s="157"/>
      <c r="R55" s="158"/>
      <c r="S55" s="151"/>
      <c r="T55" s="87"/>
      <c r="U55" s="89"/>
      <c r="V55" s="90"/>
      <c r="W55" s="69"/>
      <c r="X55" s="157"/>
      <c r="Y55" s="158"/>
      <c r="Z55" s="151"/>
      <c r="AA55" s="87"/>
      <c r="AB55" s="89"/>
      <c r="AC55" s="90"/>
      <c r="AD55" s="69"/>
      <c r="AE55" s="157"/>
      <c r="AF55" s="158"/>
      <c r="AG55" s="151"/>
      <c r="AH55" s="87"/>
      <c r="AI55" s="89"/>
      <c r="AJ55" s="90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</row>
    <row r="56" spans="1:60" x14ac:dyDescent="0.25">
      <c r="A56" s="1"/>
      <c r="B56" s="271" t="str">
        <f>IF(Rates!D3='Residential CND (10%)'!$A$55,Rates!B3," ")</f>
        <v>TOU - Mid Peak</v>
      </c>
      <c r="C56" s="79"/>
      <c r="D56" s="271" t="str">
        <f>IF(Rates!D3='Residential CND (10%)'!$A$55,Rates!E3," ")</f>
        <v>kWh</v>
      </c>
      <c r="E56" s="79"/>
      <c r="F56" s="235">
        <f>IF(Rates!$G$1="CND 2018",Rates!G3," ")</f>
        <v>9.5000000000000001E-2</v>
      </c>
      <c r="G56" s="381">
        <f>IF($D$16="TOU",0.17*$F$18,0)</f>
        <v>53.21</v>
      </c>
      <c r="H56" s="155">
        <f t="shared" si="20"/>
        <v>5.0549499999999998</v>
      </c>
      <c r="I56" s="87"/>
      <c r="J56" s="235">
        <f>IF(Rates!$L$1="E+ 2019",Rates!L3," ")</f>
        <v>9.5000000000000001E-2</v>
      </c>
      <c r="K56" s="154">
        <f>$G56</f>
        <v>53.21</v>
      </c>
      <c r="L56" s="155">
        <f t="shared" si="22"/>
        <v>5.0549499999999998</v>
      </c>
      <c r="M56" s="87"/>
      <c r="N56" s="84">
        <f t="shared" si="1"/>
        <v>0</v>
      </c>
      <c r="O56" s="156">
        <f t="shared" si="23"/>
        <v>0</v>
      </c>
      <c r="Q56" s="157"/>
      <c r="R56" s="158"/>
      <c r="S56" s="151"/>
      <c r="T56" s="87"/>
      <c r="U56" s="89"/>
      <c r="V56" s="90"/>
      <c r="W56" s="69"/>
      <c r="X56" s="157"/>
      <c r="Y56" s="158"/>
      <c r="Z56" s="151"/>
      <c r="AA56" s="87"/>
      <c r="AB56" s="89"/>
      <c r="AC56" s="90"/>
      <c r="AD56" s="69"/>
      <c r="AE56" s="157"/>
      <c r="AF56" s="158"/>
      <c r="AG56" s="151"/>
      <c r="AH56" s="87"/>
      <c r="AI56" s="89"/>
      <c r="AJ56" s="90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</row>
    <row r="57" spans="1:60" x14ac:dyDescent="0.25">
      <c r="A57" s="1"/>
      <c r="B57" s="271" t="str">
        <f>IF(Rates!D4='Residential CND (10%)'!$A$55,Rates!B4," ")</f>
        <v>TOU - On Peak</v>
      </c>
      <c r="C57" s="79"/>
      <c r="D57" s="271" t="str">
        <f>IF(Rates!D4='Residential CND (10%)'!$A$55,Rates!E4," ")</f>
        <v>kWh</v>
      </c>
      <c r="E57" s="79"/>
      <c r="F57" s="235">
        <f>IF(Rates!$G$1="CND 2018",Rates!G4," ")</f>
        <v>0.13200000000000001</v>
      </c>
      <c r="G57" s="381">
        <f>IF($D$16="TOU",0.18*$F$18,0)</f>
        <v>56.339999999999996</v>
      </c>
      <c r="H57" s="155">
        <f t="shared" si="20"/>
        <v>7.4368799999999995</v>
      </c>
      <c r="I57" s="87"/>
      <c r="J57" s="235">
        <f>IF(Rates!$L$1="E+ 2019",Rates!L4," ")</f>
        <v>0.13200000000000001</v>
      </c>
      <c r="K57" s="154">
        <f>$G57</f>
        <v>56.339999999999996</v>
      </c>
      <c r="L57" s="155">
        <f t="shared" si="22"/>
        <v>7.4368799999999995</v>
      </c>
      <c r="M57" s="87"/>
      <c r="N57" s="84">
        <f t="shared" si="1"/>
        <v>0</v>
      </c>
      <c r="O57" s="156">
        <f t="shared" si="23"/>
        <v>0</v>
      </c>
      <c r="Q57" s="157"/>
      <c r="R57" s="158"/>
      <c r="S57" s="151"/>
      <c r="T57" s="87"/>
      <c r="U57" s="89"/>
      <c r="V57" s="90"/>
      <c r="W57" s="69"/>
      <c r="X57" s="157"/>
      <c r="Y57" s="158"/>
      <c r="Z57" s="151"/>
      <c r="AA57" s="87"/>
      <c r="AB57" s="89"/>
      <c r="AC57" s="90"/>
      <c r="AD57" s="69"/>
      <c r="AE57" s="157"/>
      <c r="AF57" s="158"/>
      <c r="AG57" s="151"/>
      <c r="AH57" s="87"/>
      <c r="AI57" s="89"/>
      <c r="AJ57" s="90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</row>
    <row r="58" spans="1:60" x14ac:dyDescent="0.25">
      <c r="A58" s="159"/>
      <c r="B58" s="271" t="str">
        <f>IF(Rates!D5='Residential CND (10%)'!$A$55,Rates!B5," ")</f>
        <v>Commodity</v>
      </c>
      <c r="C58" s="79"/>
      <c r="D58" s="271" t="str">
        <f>IF(Rates!D5='Residential CND (10%)'!$A$55,Rates!E5," ")</f>
        <v>kWh</v>
      </c>
      <c r="E58" s="161"/>
      <c r="F58" s="235">
        <f>IF(Rates!$G$1="CND 2018",Rates!G5," ")</f>
        <v>1.8855833333333332E-2</v>
      </c>
      <c r="G58" s="382">
        <f>IF($D$16="TOU", 0,$F$18)</f>
        <v>0</v>
      </c>
      <c r="H58" s="155">
        <f t="shared" si="20"/>
        <v>0</v>
      </c>
      <c r="I58" s="166"/>
      <c r="J58" s="235">
        <f>IF(Rates!$L$1="E+ 2019",Rates!L5," ")</f>
        <v>1.8855833333333332E-2</v>
      </c>
      <c r="K58" s="162">
        <f>G58</f>
        <v>0</v>
      </c>
      <c r="L58" s="155">
        <f t="shared" si="22"/>
        <v>0</v>
      </c>
      <c r="M58" s="166"/>
      <c r="N58" s="164">
        <f t="shared" si="1"/>
        <v>0</v>
      </c>
      <c r="O58" s="156" t="str">
        <f t="shared" si="23"/>
        <v/>
      </c>
      <c r="Q58" s="157"/>
      <c r="R58" s="165"/>
      <c r="S58" s="151"/>
      <c r="T58" s="166"/>
      <c r="U58" s="89"/>
      <c r="V58" s="90"/>
      <c r="W58" s="69"/>
      <c r="X58" s="157"/>
      <c r="Y58" s="165"/>
      <c r="Z58" s="151"/>
      <c r="AA58" s="166"/>
      <c r="AB58" s="89"/>
      <c r="AC58" s="90"/>
      <c r="AD58" s="69"/>
      <c r="AE58" s="157"/>
      <c r="AF58" s="165"/>
      <c r="AG58" s="151"/>
      <c r="AH58" s="166"/>
      <c r="AI58" s="89"/>
      <c r="AJ58" s="90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</row>
    <row r="59" spans="1:60" x14ac:dyDescent="0.25">
      <c r="A59" s="159"/>
      <c r="B59" s="271" t="str">
        <f>IF(Rates!D6='Residential CND (10%)'!$A$55,Rates!B6," ")</f>
        <v>Global Adjustment</v>
      </c>
      <c r="C59" s="79"/>
      <c r="D59" s="271" t="str">
        <f>IF(Rates!D6='Residential CND (10%)'!$A$55,Rates!E6," ")</f>
        <v>kWh</v>
      </c>
      <c r="E59" s="161"/>
      <c r="F59" s="235">
        <f>IF(Rates!$G$1="CND 2018",Rates!G6," ")</f>
        <v>0.10303000000000001</v>
      </c>
      <c r="G59" s="382">
        <f>IF($D$16="TOU", 0,$F$18)</f>
        <v>0</v>
      </c>
      <c r="H59" s="155">
        <f t="shared" si="20"/>
        <v>0</v>
      </c>
      <c r="I59" s="166"/>
      <c r="J59" s="235">
        <f>IF(Rates!$L$1="E+ 2019",Rates!L6," ")</f>
        <v>0.10303000000000001</v>
      </c>
      <c r="K59" s="162">
        <f>$G59</f>
        <v>0</v>
      </c>
      <c r="L59" s="155">
        <f t="shared" si="22"/>
        <v>0</v>
      </c>
      <c r="M59" s="166"/>
      <c r="N59" s="164">
        <f t="shared" si="1"/>
        <v>0</v>
      </c>
      <c r="O59" s="156" t="str">
        <f t="shared" si="23"/>
        <v/>
      </c>
      <c r="Q59" s="157"/>
      <c r="R59" s="165"/>
      <c r="S59" s="151"/>
      <c r="T59" s="166"/>
      <c r="U59" s="89"/>
      <c r="V59" s="90"/>
      <c r="W59" s="69"/>
      <c r="X59" s="157"/>
      <c r="Y59" s="165"/>
      <c r="Z59" s="151"/>
      <c r="AA59" s="166"/>
      <c r="AB59" s="89"/>
      <c r="AC59" s="90"/>
      <c r="AD59" s="69"/>
      <c r="AE59" s="157"/>
      <c r="AF59" s="165"/>
      <c r="AG59" s="151"/>
      <c r="AH59" s="166"/>
      <c r="AI59" s="89"/>
      <c r="AJ59" s="90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</row>
    <row r="60" spans="1:60" hidden="1" x14ac:dyDescent="0.25">
      <c r="A60" s="159"/>
      <c r="B60" s="167"/>
      <c r="C60" s="160"/>
      <c r="D60" s="160"/>
      <c r="E60" s="161"/>
      <c r="F60" s="147"/>
      <c r="G60" s="162"/>
      <c r="H60" s="155"/>
      <c r="I60" s="166"/>
      <c r="J60" s="169">
        <f t="shared" ref="J60" si="25">+F60</f>
        <v>0</v>
      </c>
      <c r="K60" s="168"/>
      <c r="L60" s="155"/>
      <c r="M60" s="166"/>
      <c r="N60" s="164">
        <f t="shared" si="1"/>
        <v>0</v>
      </c>
      <c r="O60" s="156" t="str">
        <f t="shared" si="23"/>
        <v/>
      </c>
      <c r="Q60" s="157"/>
      <c r="R60" s="165"/>
      <c r="S60" s="151"/>
      <c r="T60" s="166"/>
      <c r="U60" s="89"/>
      <c r="V60" s="90"/>
      <c r="W60" s="69"/>
      <c r="X60" s="157"/>
      <c r="Y60" s="165"/>
      <c r="Z60" s="151"/>
      <c r="AA60" s="166"/>
      <c r="AB60" s="89"/>
      <c r="AC60" s="90"/>
      <c r="AD60" s="69"/>
      <c r="AE60" s="157"/>
      <c r="AF60" s="165"/>
      <c r="AG60" s="151"/>
      <c r="AH60" s="166"/>
      <c r="AI60" s="89"/>
      <c r="AJ60" s="90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</row>
    <row r="61" spans="1:60" x14ac:dyDescent="0.25">
      <c r="A61" s="1"/>
      <c r="B61" s="170"/>
      <c r="C61" s="171"/>
      <c r="D61" s="171"/>
      <c r="E61" s="171"/>
      <c r="F61" s="387"/>
      <c r="G61" s="172"/>
      <c r="H61" s="388"/>
      <c r="I61" s="87"/>
      <c r="J61" s="387"/>
      <c r="K61" s="173"/>
      <c r="L61" s="388"/>
      <c r="M61" s="87"/>
      <c r="N61" s="394"/>
      <c r="O61" s="395"/>
      <c r="Q61" s="157"/>
      <c r="R61" s="120"/>
      <c r="S61" s="151"/>
      <c r="T61" s="87"/>
      <c r="U61" s="89"/>
      <c r="V61" s="174"/>
      <c r="W61" s="69"/>
      <c r="X61" s="157"/>
      <c r="Y61" s="120"/>
      <c r="Z61" s="151"/>
      <c r="AA61" s="87"/>
      <c r="AB61" s="89"/>
      <c r="AC61" s="174"/>
      <c r="AD61" s="69"/>
      <c r="AE61" s="157"/>
      <c r="AF61" s="120"/>
      <c r="AG61" s="151"/>
      <c r="AH61" s="87"/>
      <c r="AI61" s="89"/>
      <c r="AJ61" s="174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</row>
    <row r="62" spans="1:60" x14ac:dyDescent="0.25">
      <c r="A62" s="1"/>
      <c r="B62" s="175" t="s">
        <v>82</v>
      </c>
      <c r="C62" s="78"/>
      <c r="D62" s="78"/>
      <c r="E62" s="78"/>
      <c r="F62" s="176"/>
      <c r="G62" s="177"/>
      <c r="H62" s="179">
        <f>SUM(H51:H57,H50)</f>
        <v>52.988762237592397</v>
      </c>
      <c r="I62" s="146"/>
      <c r="J62" s="178"/>
      <c r="K62" s="178"/>
      <c r="L62" s="179">
        <f>SUM(L51:L57,L50)</f>
        <v>59.23427845700607</v>
      </c>
      <c r="M62" s="146"/>
      <c r="N62" s="179">
        <f>L62-H62</f>
        <v>6.2455162194136733</v>
      </c>
      <c r="O62" s="180">
        <f t="shared" si="23"/>
        <v>0.11786491995057111</v>
      </c>
      <c r="Q62" s="181"/>
      <c r="R62" s="181"/>
      <c r="S62" s="121"/>
      <c r="T62" s="146"/>
      <c r="U62" s="89"/>
      <c r="V62" s="90"/>
      <c r="W62" s="69"/>
      <c r="X62" s="181"/>
      <c r="Y62" s="181"/>
      <c r="Z62" s="121"/>
      <c r="AA62" s="146"/>
      <c r="AB62" s="89"/>
      <c r="AC62" s="90"/>
      <c r="AD62" s="69"/>
      <c r="AE62" s="181"/>
      <c r="AF62" s="181"/>
      <c r="AG62" s="121"/>
      <c r="AH62" s="146"/>
      <c r="AI62" s="89"/>
      <c r="AJ62" s="90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</row>
    <row r="63" spans="1:60" x14ac:dyDescent="0.25">
      <c r="A63" s="1"/>
      <c r="B63" s="182" t="s">
        <v>9</v>
      </c>
      <c r="C63" s="78"/>
      <c r="D63" s="78"/>
      <c r="E63" s="78"/>
      <c r="F63" s="183">
        <v>0.13</v>
      </c>
      <c r="G63" s="87"/>
      <c r="H63" s="188">
        <f>$H$62*F63</f>
        <v>6.8885390908870114</v>
      </c>
      <c r="I63" s="187"/>
      <c r="J63" s="185">
        <v>0.13</v>
      </c>
      <c r="K63" s="184"/>
      <c r="L63" s="186">
        <f>$L$62*J63</f>
        <v>7.7004561994107892</v>
      </c>
      <c r="M63" s="187"/>
      <c r="N63" s="188">
        <f>L63-H63</f>
        <v>0.81191710852377774</v>
      </c>
      <c r="O63" s="85">
        <f t="shared" si="23"/>
        <v>0.11786491995057115</v>
      </c>
      <c r="Q63" s="189"/>
      <c r="R63" s="187"/>
      <c r="S63" s="190"/>
      <c r="T63" s="187"/>
      <c r="U63" s="89"/>
      <c r="V63" s="90"/>
      <c r="W63" s="69"/>
      <c r="X63" s="189"/>
      <c r="Y63" s="187"/>
      <c r="Z63" s="190"/>
      <c r="AA63" s="187"/>
      <c r="AB63" s="89"/>
      <c r="AC63" s="90"/>
      <c r="AD63" s="69"/>
      <c r="AE63" s="189"/>
      <c r="AF63" s="187"/>
      <c r="AG63" s="190"/>
      <c r="AH63" s="187"/>
      <c r="AI63" s="89"/>
      <c r="AJ63" s="90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</row>
    <row r="64" spans="1:60" x14ac:dyDescent="0.25">
      <c r="A64" s="1"/>
      <c r="B64" s="182" t="s">
        <v>106</v>
      </c>
      <c r="C64" s="78"/>
      <c r="D64" s="78"/>
      <c r="E64" s="78"/>
      <c r="F64" s="183">
        <v>-0.05</v>
      </c>
      <c r="G64" s="87"/>
      <c r="H64" s="188">
        <f>$H$62*F64</f>
        <v>-2.6494381118796202</v>
      </c>
      <c r="I64" s="187"/>
      <c r="J64" s="183">
        <v>-0.05</v>
      </c>
      <c r="K64" s="184"/>
      <c r="L64" s="186">
        <f>$L$62*J64</f>
        <v>-2.9617139228503038</v>
      </c>
      <c r="M64" s="187"/>
      <c r="N64" s="188">
        <f>L64-H64</f>
        <v>-0.31227581097068358</v>
      </c>
      <c r="O64" s="85">
        <f t="shared" si="23"/>
        <v>0.11786491995057106</v>
      </c>
      <c r="Q64" s="189"/>
      <c r="R64" s="187"/>
      <c r="S64" s="190"/>
      <c r="T64" s="187"/>
      <c r="U64" s="89"/>
      <c r="V64" s="90"/>
      <c r="W64" s="69"/>
      <c r="X64" s="189"/>
      <c r="Y64" s="187"/>
      <c r="Z64" s="190"/>
      <c r="AA64" s="187"/>
      <c r="AB64" s="89"/>
      <c r="AC64" s="90"/>
      <c r="AD64" s="69"/>
      <c r="AE64" s="189"/>
      <c r="AF64" s="187"/>
      <c r="AG64" s="190"/>
      <c r="AH64" s="187"/>
      <c r="AI64" s="89"/>
      <c r="AJ64" s="90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</row>
    <row r="65" spans="1:60" ht="15.75" thickBot="1" x14ac:dyDescent="0.3">
      <c r="A65" s="1"/>
      <c r="B65" s="191" t="s">
        <v>83</v>
      </c>
      <c r="C65" s="192"/>
      <c r="D65" s="192"/>
      <c r="E65" s="192"/>
      <c r="F65" s="193"/>
      <c r="G65" s="194"/>
      <c r="H65" s="389">
        <f>SUM(H62:H64)</f>
        <v>57.227863216599786</v>
      </c>
      <c r="I65" s="187"/>
      <c r="J65" s="195"/>
      <c r="K65" s="195"/>
      <c r="L65" s="389">
        <f>SUM(L62:L64)</f>
        <v>63.973020733566564</v>
      </c>
      <c r="M65" s="187"/>
      <c r="N65" s="196">
        <f>L65-H65</f>
        <v>6.7451575169667777</v>
      </c>
      <c r="O65" s="197">
        <f t="shared" si="23"/>
        <v>0.1178649199505713</v>
      </c>
      <c r="Q65" s="187"/>
      <c r="R65" s="187"/>
      <c r="S65" s="190"/>
      <c r="T65" s="187"/>
      <c r="U65" s="89"/>
      <c r="V65" s="90"/>
      <c r="W65" s="69"/>
      <c r="X65" s="187"/>
      <c r="Y65" s="187"/>
      <c r="Z65" s="190"/>
      <c r="AA65" s="187"/>
      <c r="AB65" s="89"/>
      <c r="AC65" s="90"/>
      <c r="AD65" s="69"/>
      <c r="AE65" s="187"/>
      <c r="AF65" s="187"/>
      <c r="AG65" s="190"/>
      <c r="AH65" s="187"/>
      <c r="AI65" s="89"/>
      <c r="AJ65" s="90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</row>
    <row r="66" spans="1:60" ht="15.75" thickBot="1" x14ac:dyDescent="0.3">
      <c r="A66" s="159"/>
      <c r="B66" s="198" t="s">
        <v>67</v>
      </c>
      <c r="C66" s="199"/>
      <c r="D66" s="199"/>
      <c r="E66" s="199"/>
      <c r="F66" s="390"/>
      <c r="G66" s="391"/>
      <c r="H66" s="392"/>
      <c r="I66" s="166"/>
      <c r="J66" s="390"/>
      <c r="K66" s="393"/>
      <c r="L66" s="392"/>
      <c r="M66" s="166"/>
      <c r="N66" s="396"/>
      <c r="O66" s="397"/>
      <c r="Q66" s="157"/>
      <c r="R66" s="206"/>
      <c r="S66" s="151"/>
      <c r="T66" s="166"/>
      <c r="U66" s="207"/>
      <c r="V66" s="174"/>
      <c r="W66" s="69"/>
      <c r="X66" s="157"/>
      <c r="Y66" s="206"/>
      <c r="Z66" s="151"/>
      <c r="AA66" s="166"/>
      <c r="AB66" s="207"/>
      <c r="AC66" s="174"/>
      <c r="AD66" s="69"/>
      <c r="AE66" s="157"/>
      <c r="AF66" s="206"/>
      <c r="AG66" s="151"/>
      <c r="AH66" s="166"/>
      <c r="AI66" s="207"/>
      <c r="AJ66" s="174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</row>
    <row r="67" spans="1:6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67"/>
      <c r="M67" s="3"/>
      <c r="N67" s="1"/>
      <c r="O67" s="1"/>
      <c r="Q67" s="2"/>
      <c r="R67" s="2"/>
      <c r="S67" s="208"/>
      <c r="T67" s="2"/>
      <c r="U67" s="2"/>
      <c r="V67" s="2"/>
      <c r="W67" s="69"/>
      <c r="X67" s="2"/>
      <c r="Y67" s="2"/>
      <c r="Z67" s="208"/>
      <c r="AA67" s="2"/>
      <c r="AB67" s="2"/>
      <c r="AC67" s="2"/>
      <c r="AD67" s="69"/>
      <c r="AE67" s="2"/>
      <c r="AF67" s="2"/>
      <c r="AG67" s="208"/>
      <c r="AH67" s="2"/>
      <c r="AI67" s="2"/>
      <c r="AJ67" s="2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</row>
    <row r="68" spans="1:60" x14ac:dyDescent="0.25">
      <c r="A68" s="1"/>
      <c r="B68" s="65" t="s">
        <v>10</v>
      </c>
      <c r="C68" s="1"/>
      <c r="D68" s="1"/>
      <c r="E68" s="1"/>
      <c r="F68" s="209">
        <f>Rates!$R$2-1</f>
        <v>3.3500000000000085E-2</v>
      </c>
      <c r="G68" s="1"/>
      <c r="H68" s="1"/>
      <c r="I68" s="1"/>
      <c r="J68" s="209">
        <f>Rates!$T$2-1</f>
        <v>3.0684649944026976E-2</v>
      </c>
      <c r="K68" s="1"/>
      <c r="L68" s="1"/>
      <c r="M68" s="3"/>
      <c r="N68" s="1"/>
      <c r="O68" s="1"/>
      <c r="Q68" s="210"/>
      <c r="R68" s="2"/>
      <c r="S68" s="2"/>
      <c r="T68" s="2"/>
      <c r="U68" s="2"/>
      <c r="V68" s="2"/>
      <c r="W68" s="69"/>
      <c r="X68" s="210"/>
      <c r="Y68" s="2"/>
      <c r="Z68" s="2"/>
      <c r="AA68" s="2"/>
      <c r="AB68" s="2"/>
      <c r="AC68" s="2"/>
      <c r="AD68" s="69"/>
      <c r="AE68" s="210"/>
      <c r="AF68" s="2"/>
      <c r="AG68" s="2"/>
      <c r="AH68" s="2"/>
      <c r="AI68" s="2"/>
      <c r="AJ68" s="2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</row>
    <row r="69" spans="1:6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3"/>
      <c r="N69" s="1"/>
      <c r="O69" s="1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</row>
    <row r="70" spans="1:60" x14ac:dyDescent="0.25">
      <c r="A70" s="1" t="s">
        <v>84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3"/>
      <c r="N70" s="1"/>
      <c r="O70" s="1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</row>
    <row r="71" spans="1:60" x14ac:dyDescent="0.25">
      <c r="A71" s="1" t="s">
        <v>85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3"/>
      <c r="N71" s="1"/>
      <c r="O71" s="1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</row>
    <row r="72" spans="1:6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3"/>
      <c r="N72" s="1"/>
      <c r="O72" s="1"/>
    </row>
    <row r="73" spans="1:60" x14ac:dyDescent="0.25">
      <c r="A73" s="64" t="s">
        <v>86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3"/>
      <c r="N73" s="1"/>
      <c r="O73" s="1"/>
    </row>
    <row r="74" spans="1:60" x14ac:dyDescent="0.25">
      <c r="A74" s="64" t="s">
        <v>87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3"/>
      <c r="N74" s="1"/>
      <c r="O74" s="1"/>
    </row>
    <row r="75" spans="1:6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3"/>
      <c r="N75" s="1"/>
      <c r="O75" s="1"/>
    </row>
    <row r="76" spans="1:60" x14ac:dyDescent="0.25">
      <c r="A76" s="1" t="s">
        <v>88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3"/>
      <c r="N76" s="1"/>
      <c r="O76" s="1"/>
    </row>
    <row r="77" spans="1:60" x14ac:dyDescent="0.25">
      <c r="A77" s="1" t="s">
        <v>89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3"/>
      <c r="N77" s="1"/>
      <c r="O77" s="1"/>
    </row>
    <row r="78" spans="1:60" x14ac:dyDescent="0.25">
      <c r="A78" s="1" t="s">
        <v>90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3"/>
      <c r="N78" s="1"/>
      <c r="O78" s="1"/>
    </row>
    <row r="79" spans="1:60" x14ac:dyDescent="0.25">
      <c r="A79" s="1" t="s">
        <v>91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3"/>
      <c r="N79" s="1"/>
      <c r="O79" s="1"/>
    </row>
    <row r="80" spans="1:60" x14ac:dyDescent="0.25">
      <c r="A80" s="1" t="s">
        <v>92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3"/>
      <c r="N80" s="1"/>
      <c r="O80" s="1"/>
    </row>
  </sheetData>
  <sheetProtection selectLockedCells="1"/>
  <mergeCells count="21">
    <mergeCell ref="AI20:AJ20"/>
    <mergeCell ref="A3:K3"/>
    <mergeCell ref="B10:O10"/>
    <mergeCell ref="B11:O11"/>
    <mergeCell ref="D14:O14"/>
    <mergeCell ref="F20:H20"/>
    <mergeCell ref="J20:L20"/>
    <mergeCell ref="N20:O20"/>
    <mergeCell ref="Q20:S20"/>
    <mergeCell ref="U20:V20"/>
    <mergeCell ref="X20:Z20"/>
    <mergeCell ref="AB20:AC20"/>
    <mergeCell ref="AE20:AG20"/>
    <mergeCell ref="AI21:AI22"/>
    <mergeCell ref="AJ21:AJ22"/>
    <mergeCell ref="N21:N22"/>
    <mergeCell ref="O21:O22"/>
    <mergeCell ref="U21:U22"/>
    <mergeCell ref="V21:V22"/>
    <mergeCell ref="AB21:AB22"/>
    <mergeCell ref="AC21:AC22"/>
  </mergeCells>
  <dataValidations count="2">
    <dataValidation type="list" allowBlank="1" showInputMessage="1" showErrorMessage="1" sqref="D16">
      <formula1>"TOU, non-TOU"</formula1>
    </dataValidation>
    <dataValidation type="list" allowBlank="1" showInputMessage="1" showErrorMessage="1" sqref="E48:E49 E51:E61 E37:E46 E66 E23:E35">
      <formula1>#REF!</formula1>
    </dataValidation>
  </dataValidations>
  <printOptions horizontalCentered="1"/>
  <pageMargins left="0.3" right="0.35" top="0.92" bottom="0.7" header="0.56999999999999995" footer="0.41"/>
  <pageSetup paperSize="256" scale="60" fitToHeight="0" orientation="landscape" r:id="rId1"/>
  <headerFooter>
    <oddHeader>&amp;REnergy+ Inc.
EB-2018-0xxx
Tab x
Schedule x
 2016 Apr 30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41" r:id="rId4" name="Option Button 1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2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647700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3" r:id="rId6" name="Option Button 3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4" r:id="rId7" name="Option Button 4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647700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5" r:id="rId8" name="Option Button 5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6" r:id="rId9" name="Option Button 6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647700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7" r:id="rId10" name="Option Button 7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8" r:id="rId11" name="Option Button 8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647700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9" r:id="rId12" name="Option Button 9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0" r:id="rId13" name="Option Button 10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647700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1" r:id="rId14" name="Option Button 11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2" r:id="rId15" name="Option Button 12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647700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3" r:id="rId16" name="Option Button 13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4" r:id="rId17" name="Option Button 14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647700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5" r:id="rId18" name="Option Button 15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6" r:id="rId19" name="Option Button 16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647700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7" r:id="rId20" name="Option Button 17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8" r:id="rId21" name="Option Button 18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647700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9" r:id="rId22" name="Option Button 19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0" r:id="rId23" name="Option Button 20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647700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1" r:id="rId24" name="Option Button 21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2" r:id="rId25" name="Option Button 22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647700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3" r:id="rId26" name="Option Button 23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4" r:id="rId27" name="Option Button 24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647700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5" r:id="rId28" name="Option Button 25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6" r:id="rId29" name="Option Button 26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647700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7" r:id="rId30" name="Option Button 27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8" r:id="rId31" name="Option Button 28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647700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9" r:id="rId32" name="Option Button 29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0" r:id="rId33" name="Option Button 30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647700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1" r:id="rId34" name="Option Button 31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2" r:id="rId35" name="Option Button 32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647700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3" r:id="rId36" name="Option Button 33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4" r:id="rId37" name="Option Button 34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8168889431442"/>
  </sheetPr>
  <dimension ref="A1:BH80"/>
  <sheetViews>
    <sheetView showGridLines="0" topLeftCell="A28" zoomScale="80" zoomScaleNormal="80" workbookViewId="0">
      <selection activeCell="B44" sqref="B44"/>
    </sheetView>
  </sheetViews>
  <sheetFormatPr defaultRowHeight="15" x14ac:dyDescent="0.25"/>
  <cols>
    <col min="1" max="1" width="26.28515625" customWidth="1"/>
    <col min="2" max="2" width="121.85546875" customWidth="1"/>
    <col min="3" max="3" width="1.140625" customWidth="1"/>
    <col min="4" max="4" width="12.28515625" customWidth="1"/>
    <col min="5" max="5" width="1.7109375" customWidth="1"/>
    <col min="6" max="6" width="11" customWidth="1"/>
    <col min="7" max="7" width="10.140625" bestFit="1" customWidth="1"/>
    <col min="8" max="8" width="10.5703125" customWidth="1"/>
    <col min="9" max="9" width="0.85546875" style="94" customWidth="1"/>
    <col min="10" max="10" width="12.140625" customWidth="1"/>
    <col min="11" max="11" width="10.140625" bestFit="1" customWidth="1"/>
    <col min="12" max="12" width="10.5703125" customWidth="1"/>
    <col min="13" max="13" width="0.85546875" style="94" customWidth="1"/>
    <col min="14" max="14" width="11.140625" customWidth="1"/>
    <col min="15" max="15" width="9.140625" customWidth="1"/>
    <col min="16" max="16" width="1.42578125" customWidth="1"/>
    <col min="17" max="17" width="6" customWidth="1"/>
    <col min="18" max="18" width="10.140625" bestFit="1" customWidth="1"/>
    <col min="19" max="19" width="9.5703125" customWidth="1"/>
    <col min="20" max="20" width="2" bestFit="1" customWidth="1"/>
    <col min="21" max="21" width="9.140625" customWidth="1"/>
    <col min="22" max="22" width="10.140625" customWidth="1"/>
    <col min="23" max="23" width="1.28515625" customWidth="1"/>
    <col min="24" max="24" width="11" customWidth="1"/>
    <col min="25" max="25" width="10.140625" bestFit="1" customWidth="1"/>
    <col min="26" max="26" width="9.85546875" customWidth="1"/>
    <col min="27" max="27" width="1.28515625" customWidth="1"/>
    <col min="30" max="30" width="0.85546875" customWidth="1"/>
    <col min="31" max="31" width="11.140625" customWidth="1"/>
    <col min="32" max="32" width="10.140625" bestFit="1" customWidth="1"/>
    <col min="33" max="33" width="9.28515625" customWidth="1"/>
    <col min="34" max="34" width="1.140625" customWidth="1"/>
    <col min="37" max="37" width="0.85546875" customWidth="1"/>
  </cols>
  <sheetData>
    <row r="1" spans="1:21" ht="21.75" x14ac:dyDescent="0.25">
      <c r="A1" s="50"/>
      <c r="B1" s="51"/>
      <c r="C1" s="51"/>
      <c r="D1" s="51"/>
      <c r="E1" s="51"/>
      <c r="F1" s="51"/>
      <c r="G1" s="51"/>
      <c r="H1" s="51"/>
      <c r="I1" s="384"/>
      <c r="J1" s="51"/>
      <c r="K1" s="51"/>
      <c r="L1" s="50"/>
      <c r="M1" s="2"/>
      <c r="N1" s="52" t="s">
        <v>68</v>
      </c>
      <c r="O1" s="53">
        <v>0</v>
      </c>
      <c r="T1">
        <v>2</v>
      </c>
      <c r="U1">
        <v>1</v>
      </c>
    </row>
    <row r="2" spans="1:21" ht="18" x14ac:dyDescent="0.25">
      <c r="A2" s="54"/>
      <c r="B2" s="54"/>
      <c r="C2" s="54"/>
      <c r="D2" s="54"/>
      <c r="E2" s="54"/>
      <c r="F2" s="54"/>
      <c r="G2" s="54"/>
      <c r="H2" s="54"/>
      <c r="I2" s="385"/>
      <c r="J2" s="54"/>
      <c r="K2" s="54"/>
      <c r="L2" s="50"/>
      <c r="M2" s="2"/>
      <c r="N2" s="52" t="s">
        <v>69</v>
      </c>
      <c r="O2" s="55"/>
    </row>
    <row r="3" spans="1:21" ht="18" x14ac:dyDescent="0.25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"/>
      <c r="M3" s="2"/>
      <c r="N3" s="52" t="s">
        <v>70</v>
      </c>
      <c r="O3" s="55"/>
    </row>
    <row r="4" spans="1:21" ht="18" x14ac:dyDescent="0.25">
      <c r="A4" s="54"/>
      <c r="B4" s="54"/>
      <c r="C4" s="54"/>
      <c r="D4" s="54"/>
      <c r="E4" s="54"/>
      <c r="F4" s="54"/>
      <c r="G4" s="54"/>
      <c r="H4" s="54"/>
      <c r="I4" s="386"/>
      <c r="J4" s="56"/>
      <c r="K4" s="56"/>
      <c r="L4" s="50"/>
      <c r="M4" s="2"/>
      <c r="N4" s="52" t="s">
        <v>71</v>
      </c>
      <c r="O4" s="55"/>
    </row>
    <row r="5" spans="1:21" ht="15.75" x14ac:dyDescent="0.25">
      <c r="A5" s="50"/>
      <c r="B5" s="50"/>
      <c r="C5" s="57"/>
      <c r="D5" s="57"/>
      <c r="E5" s="57"/>
      <c r="F5" s="50"/>
      <c r="G5" s="50"/>
      <c r="H5" s="50"/>
      <c r="I5" s="2"/>
      <c r="J5" s="50"/>
      <c r="K5" s="50"/>
      <c r="L5" s="50"/>
      <c r="M5" s="2"/>
      <c r="N5" s="52" t="s">
        <v>72</v>
      </c>
      <c r="O5" s="58"/>
    </row>
    <row r="6" spans="1:21" x14ac:dyDescent="0.25">
      <c r="A6" s="50"/>
      <c r="B6" s="50"/>
      <c r="C6" s="50"/>
      <c r="D6" s="50"/>
      <c r="E6" s="50"/>
      <c r="F6" s="50"/>
      <c r="G6" s="50"/>
      <c r="H6" s="50"/>
      <c r="I6" s="2"/>
      <c r="J6" s="50"/>
      <c r="K6" s="50"/>
      <c r="L6" s="50"/>
      <c r="M6" s="2"/>
      <c r="N6" s="52"/>
      <c r="O6" s="53"/>
    </row>
    <row r="7" spans="1:21" x14ac:dyDescent="0.25">
      <c r="A7" s="50"/>
      <c r="B7" s="50"/>
      <c r="C7" s="50"/>
      <c r="D7" s="50"/>
      <c r="E7" s="50"/>
      <c r="F7" s="50"/>
      <c r="G7" s="50"/>
      <c r="H7" s="50"/>
      <c r="I7" s="2"/>
      <c r="J7" s="50"/>
      <c r="K7" s="50"/>
      <c r="L7" s="50"/>
      <c r="M7" s="2"/>
      <c r="N7" s="52" t="s">
        <v>73</v>
      </c>
      <c r="O7" s="58"/>
    </row>
    <row r="8" spans="1:21" x14ac:dyDescent="0.25">
      <c r="A8" s="59"/>
      <c r="B8" s="50"/>
      <c r="C8" s="50"/>
      <c r="D8" s="50"/>
      <c r="E8" s="50"/>
      <c r="F8" s="50"/>
      <c r="G8" s="50"/>
      <c r="H8" s="50"/>
      <c r="I8" s="2"/>
      <c r="J8" s="50"/>
      <c r="K8" s="50"/>
      <c r="L8" s="50"/>
      <c r="M8" s="2"/>
      <c r="N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3"/>
      <c r="J9" s="1"/>
      <c r="K9" s="1"/>
    </row>
    <row r="10" spans="1:21" ht="18" x14ac:dyDescent="0.25">
      <c r="A10" s="1"/>
      <c r="B10" s="508" t="s">
        <v>74</v>
      </c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508"/>
      <c r="N10" s="508"/>
      <c r="O10" s="508"/>
    </row>
    <row r="11" spans="1:21" ht="18" x14ac:dyDescent="0.25">
      <c r="A11" s="1"/>
      <c r="B11" s="508" t="s">
        <v>75</v>
      </c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3"/>
      <c r="J12" s="1"/>
      <c r="K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3"/>
      <c r="J13" s="1"/>
      <c r="K13" s="1"/>
      <c r="T13">
        <v>2</v>
      </c>
    </row>
    <row r="14" spans="1:21" ht="15.75" x14ac:dyDescent="0.25">
      <c r="A14" s="1"/>
      <c r="B14" s="60" t="s">
        <v>0</v>
      </c>
      <c r="C14" s="1"/>
      <c r="D14" s="509" t="s">
        <v>107</v>
      </c>
      <c r="E14" s="509"/>
      <c r="F14" s="509"/>
      <c r="G14" s="509"/>
      <c r="H14" s="509"/>
      <c r="I14" s="509"/>
      <c r="J14" s="509"/>
      <c r="K14" s="509"/>
      <c r="L14" s="509"/>
      <c r="M14" s="509"/>
      <c r="N14" s="509"/>
      <c r="O14" s="509"/>
    </row>
    <row r="15" spans="1:21" ht="15.75" x14ac:dyDescent="0.25">
      <c r="A15" s="1"/>
      <c r="B15" s="61"/>
      <c r="C15" s="1"/>
      <c r="D15" s="62"/>
      <c r="E15" s="62"/>
      <c r="F15" s="62"/>
      <c r="G15" s="62"/>
      <c r="H15" s="62"/>
      <c r="I15" s="276"/>
      <c r="J15" s="62"/>
      <c r="K15" s="62"/>
      <c r="L15" s="62"/>
      <c r="M15" s="276"/>
      <c r="N15" s="62"/>
      <c r="O15" s="62"/>
    </row>
    <row r="16" spans="1:21" ht="15.75" x14ac:dyDescent="0.25">
      <c r="A16" s="1"/>
      <c r="B16" s="60" t="s">
        <v>76</v>
      </c>
      <c r="C16" s="1"/>
      <c r="D16" s="63" t="s">
        <v>77</v>
      </c>
      <c r="E16" s="62"/>
      <c r="F16" s="62"/>
      <c r="G16" s="62"/>
      <c r="H16" s="62"/>
      <c r="I16" s="276"/>
      <c r="J16" s="62"/>
      <c r="K16" s="62"/>
      <c r="L16" s="62"/>
      <c r="M16" s="276"/>
      <c r="N16" s="62"/>
      <c r="O16" s="62"/>
    </row>
    <row r="17" spans="1:60" ht="15.75" x14ac:dyDescent="0.25">
      <c r="A17" s="1"/>
      <c r="B17" s="61"/>
      <c r="C17" s="1"/>
      <c r="D17" s="62"/>
      <c r="E17" s="62"/>
      <c r="F17" s="62"/>
      <c r="G17" s="62"/>
      <c r="H17" s="62"/>
      <c r="I17" s="276"/>
      <c r="J17" s="62"/>
      <c r="K17" s="62"/>
      <c r="L17" s="62"/>
      <c r="M17" s="276"/>
      <c r="N17" s="62"/>
      <c r="O17" s="62"/>
    </row>
    <row r="18" spans="1:60" x14ac:dyDescent="0.25">
      <c r="A18" s="1"/>
      <c r="B18" s="64"/>
      <c r="C18" s="1"/>
      <c r="D18" s="65" t="s">
        <v>1</v>
      </c>
      <c r="E18" s="65"/>
      <c r="F18" s="66">
        <v>750</v>
      </c>
      <c r="G18" s="65" t="s">
        <v>78</v>
      </c>
      <c r="H18" s="1"/>
      <c r="I18" s="3"/>
      <c r="J18" s="1"/>
      <c r="K18" s="1"/>
      <c r="L18" s="1"/>
      <c r="M18" s="3"/>
      <c r="N18" s="1"/>
      <c r="O18" s="1"/>
    </row>
    <row r="19" spans="1:60" x14ac:dyDescent="0.25">
      <c r="A19" s="1"/>
      <c r="B19" s="64"/>
      <c r="C19" s="1"/>
      <c r="D19" s="1"/>
      <c r="E19" s="1"/>
      <c r="F19" s="1"/>
      <c r="G19" s="1"/>
      <c r="H19" s="1"/>
      <c r="I19" s="3"/>
      <c r="J19" s="1"/>
      <c r="K19" s="1"/>
      <c r="L19" s="67"/>
      <c r="M19" s="3"/>
      <c r="N19" s="1"/>
      <c r="O19" s="1"/>
    </row>
    <row r="20" spans="1:60" x14ac:dyDescent="0.25">
      <c r="A20" s="1"/>
      <c r="B20" s="64"/>
      <c r="C20" s="1"/>
      <c r="D20" s="68"/>
      <c r="E20" s="68"/>
      <c r="F20" s="510" t="s">
        <v>105</v>
      </c>
      <c r="G20" s="511"/>
      <c r="H20" s="512"/>
      <c r="I20" s="3"/>
      <c r="J20" s="510" t="s">
        <v>104</v>
      </c>
      <c r="K20" s="511"/>
      <c r="L20" s="512"/>
      <c r="M20" s="3"/>
      <c r="N20" s="510" t="s">
        <v>61</v>
      </c>
      <c r="O20" s="512"/>
      <c r="Q20" s="506"/>
      <c r="R20" s="506"/>
      <c r="S20" s="506"/>
      <c r="T20" s="2"/>
      <c r="U20" s="506"/>
      <c r="V20" s="506"/>
      <c r="W20" s="69"/>
      <c r="X20" s="506"/>
      <c r="Y20" s="506"/>
      <c r="Z20" s="506"/>
      <c r="AA20" s="2"/>
      <c r="AB20" s="506"/>
      <c r="AC20" s="506"/>
      <c r="AD20" s="69"/>
      <c r="AE20" s="506"/>
      <c r="AF20" s="506"/>
      <c r="AG20" s="506"/>
      <c r="AH20" s="2"/>
      <c r="AI20" s="506"/>
      <c r="AJ20" s="506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</row>
    <row r="21" spans="1:60" ht="15" customHeight="1" x14ac:dyDescent="0.25">
      <c r="A21" s="1"/>
      <c r="B21" s="64"/>
      <c r="C21" s="1"/>
      <c r="D21" s="1"/>
      <c r="E21" s="70"/>
      <c r="F21" s="71" t="s">
        <v>2</v>
      </c>
      <c r="G21" s="71" t="s">
        <v>3</v>
      </c>
      <c r="H21" s="72" t="s">
        <v>4</v>
      </c>
      <c r="I21" s="3"/>
      <c r="J21" s="71" t="s">
        <v>2</v>
      </c>
      <c r="K21" s="73" t="s">
        <v>3</v>
      </c>
      <c r="L21" s="72" t="s">
        <v>4</v>
      </c>
      <c r="M21" s="3"/>
      <c r="N21" s="502" t="s">
        <v>62</v>
      </c>
      <c r="O21" s="504" t="s">
        <v>63</v>
      </c>
      <c r="Q21" s="74"/>
      <c r="R21" s="74"/>
      <c r="S21" s="74"/>
      <c r="T21" s="2"/>
      <c r="U21" s="501"/>
      <c r="V21" s="501"/>
      <c r="W21" s="69"/>
      <c r="X21" s="74"/>
      <c r="Y21" s="74"/>
      <c r="Z21" s="74"/>
      <c r="AA21" s="2"/>
      <c r="AB21" s="501"/>
      <c r="AC21" s="501"/>
      <c r="AD21" s="69"/>
      <c r="AE21" s="74"/>
      <c r="AF21" s="74"/>
      <c r="AG21" s="74"/>
      <c r="AH21" s="2"/>
      <c r="AI21" s="501"/>
      <c r="AJ21" s="501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</row>
    <row r="22" spans="1:60" x14ac:dyDescent="0.25">
      <c r="A22" s="1"/>
      <c r="B22" s="64"/>
      <c r="C22" s="1"/>
      <c r="D22" s="1"/>
      <c r="E22" s="70"/>
      <c r="F22" s="75" t="s">
        <v>79</v>
      </c>
      <c r="G22" s="75"/>
      <c r="H22" s="76" t="s">
        <v>79</v>
      </c>
      <c r="I22" s="3"/>
      <c r="J22" s="75" t="s">
        <v>79</v>
      </c>
      <c r="K22" s="76"/>
      <c r="L22" s="76" t="s">
        <v>79</v>
      </c>
      <c r="M22" s="3"/>
      <c r="N22" s="503"/>
      <c r="O22" s="505"/>
      <c r="Q22" s="77"/>
      <c r="R22" s="77"/>
      <c r="S22" s="77"/>
      <c r="T22" s="2"/>
      <c r="U22" s="501"/>
      <c r="V22" s="501"/>
      <c r="W22" s="69"/>
      <c r="X22" s="77"/>
      <c r="Y22" s="77"/>
      <c r="Z22" s="77"/>
      <c r="AA22" s="2"/>
      <c r="AB22" s="501"/>
      <c r="AC22" s="501"/>
      <c r="AD22" s="69"/>
      <c r="AE22" s="77"/>
      <c r="AF22" s="77"/>
      <c r="AG22" s="77"/>
      <c r="AH22" s="2"/>
      <c r="AI22" s="501"/>
      <c r="AJ22" s="501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</row>
    <row r="23" spans="1:60" x14ac:dyDescent="0.25">
      <c r="A23" s="7" t="s">
        <v>15</v>
      </c>
      <c r="B23" s="271" t="str">
        <f>IF(Rates!D216='Residential BRT'!$A$23,Rates!B216," ")</f>
        <v>Service Charge</v>
      </c>
      <c r="C23" s="79"/>
      <c r="D23" s="271" t="str">
        <f>IF(Rates!D216='Residential BRT'!$A$23,Rates!E216," ")</f>
        <v>customer</v>
      </c>
      <c r="E23" s="79"/>
      <c r="F23" s="80">
        <f>IF(Rates!$J$1="BRT 2018",Rates!J216," ")</f>
        <v>24.3</v>
      </c>
      <c r="G23" s="81">
        <f>IF(D23="customer",1,IF(D23="kWh",$F$18,$F$19))</f>
        <v>1</v>
      </c>
      <c r="H23" s="82">
        <f>G23*F23</f>
        <v>24.3</v>
      </c>
      <c r="I23" s="91"/>
      <c r="J23" s="80">
        <f>IF(Rates!$L$1="E+ 2019",Rates!L216," ")</f>
        <v>27.33</v>
      </c>
      <c r="K23" s="97">
        <f>IF(D23="customer",1,IF(D23="kWh",$F$18,$F$19))</f>
        <v>1</v>
      </c>
      <c r="L23" s="82">
        <f t="shared" ref="L23:L34" si="0">K23*J23</f>
        <v>27.33</v>
      </c>
      <c r="M23" s="91"/>
      <c r="N23" s="84">
        <f t="shared" ref="N23:N60" si="1">L23-H23</f>
        <v>3.0299999999999976</v>
      </c>
      <c r="O23" s="85">
        <f>IF(OR(H23=0,L23=0),"",(N23/H23))</f>
        <v>0.12469135802469125</v>
      </c>
      <c r="Q23" s="86"/>
      <c r="R23" s="87"/>
      <c r="S23" s="88"/>
      <c r="T23" s="87"/>
      <c r="U23" s="89"/>
      <c r="V23" s="90"/>
      <c r="W23" s="69"/>
      <c r="X23" s="86"/>
      <c r="Y23" s="87"/>
      <c r="Z23" s="88"/>
      <c r="AA23" s="87"/>
      <c r="AB23" s="89"/>
      <c r="AC23" s="90"/>
      <c r="AD23" s="69"/>
      <c r="AE23" s="86"/>
      <c r="AF23" s="87"/>
      <c r="AG23" s="88"/>
      <c r="AH23" s="87"/>
      <c r="AI23" s="89"/>
      <c r="AJ23" s="90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</row>
    <row r="24" spans="1:60" x14ac:dyDescent="0.25">
      <c r="A24" s="1"/>
      <c r="B24" s="271" t="str">
        <f>IF(Rates!D217='Residential BRT'!$A$23,Rates!B217," ")</f>
        <v>Rate Rider ACM</v>
      </c>
      <c r="C24" s="79"/>
      <c r="D24" s="271" t="str">
        <f>IF(Rates!D217='Residential BRT'!$A$23,Rates!E217," ")</f>
        <v>customer</v>
      </c>
      <c r="E24" s="79"/>
      <c r="F24" s="80">
        <f>IF(Rates!$J$1="BRT 2018",Rates!J217," ")</f>
        <v>0</v>
      </c>
      <c r="G24" s="81">
        <f t="shared" ref="G24:G34" si="2">IF(D24="customer",1,IF(D24="kWh",$F$18,$F$19))</f>
        <v>1</v>
      </c>
      <c r="H24" s="82">
        <f t="shared" ref="H24:H34" si="3">G24*F24</f>
        <v>0</v>
      </c>
      <c r="I24" s="91"/>
      <c r="J24" s="80">
        <f>IF(Rates!$L$1="E+ 2019",Rates!L217," ")</f>
        <v>0</v>
      </c>
      <c r="K24" s="97">
        <f t="shared" ref="K24:K34" si="4">IF(D24="customer",1,IF(D24="kWh",$F$18,$F$19))</f>
        <v>1</v>
      </c>
      <c r="L24" s="82">
        <f t="shared" si="0"/>
        <v>0</v>
      </c>
      <c r="M24" s="91"/>
      <c r="N24" s="84">
        <f t="shared" ref="N24:N34" si="5">L24-H24</f>
        <v>0</v>
      </c>
      <c r="O24" s="85" t="str">
        <f t="shared" ref="O24:O34" si="6">IF(OR(H24=0,L24=0),"",(N24/H24))</f>
        <v/>
      </c>
      <c r="Q24" s="86"/>
      <c r="R24" s="87"/>
      <c r="S24" s="88"/>
      <c r="T24" s="87"/>
      <c r="U24" s="89"/>
      <c r="V24" s="90"/>
      <c r="W24" s="69"/>
      <c r="X24" s="86"/>
      <c r="Y24" s="87"/>
      <c r="Z24" s="88"/>
      <c r="AA24" s="87"/>
      <c r="AB24" s="89"/>
      <c r="AC24" s="90"/>
      <c r="AD24" s="69"/>
      <c r="AE24" s="86"/>
      <c r="AF24" s="87"/>
      <c r="AG24" s="88"/>
      <c r="AH24" s="87"/>
      <c r="AI24" s="89"/>
      <c r="AJ24" s="90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</row>
    <row r="25" spans="1:60" s="94" customFormat="1" x14ac:dyDescent="0.25">
      <c r="A25" s="3"/>
      <c r="B25" s="271" t="str">
        <f>IF(Rates!D218='Residential BRT'!$A$23,Rates!B218," ")</f>
        <v>Distribution Volumetric Rate</v>
      </c>
      <c r="C25" s="79"/>
      <c r="D25" s="271" t="str">
        <f>IF(Rates!D218='Residential BRT'!$A$23,Rates!E218," ")</f>
        <v>kWh</v>
      </c>
      <c r="E25" s="79"/>
      <c r="F25" s="235">
        <f>IF(Rates!$J$1="BRT 2018",Rates!J218," ")</f>
        <v>5.3E-3</v>
      </c>
      <c r="G25" s="81">
        <f t="shared" si="2"/>
        <v>750</v>
      </c>
      <c r="H25" s="82">
        <f t="shared" si="3"/>
        <v>3.9750000000000001</v>
      </c>
      <c r="I25" s="91"/>
      <c r="J25" s="80">
        <f>IF(Rates!$L$1="E+ 2019",Rates!L218," ")</f>
        <v>0</v>
      </c>
      <c r="K25" s="97">
        <f t="shared" si="4"/>
        <v>750</v>
      </c>
      <c r="L25" s="92">
        <f t="shared" si="0"/>
        <v>0</v>
      </c>
      <c r="M25" s="91"/>
      <c r="N25" s="84">
        <f t="shared" si="5"/>
        <v>-3.9750000000000001</v>
      </c>
      <c r="O25" s="85" t="str">
        <f t="shared" si="6"/>
        <v/>
      </c>
      <c r="Q25" s="95"/>
      <c r="R25" s="87"/>
      <c r="S25" s="88"/>
      <c r="T25" s="87"/>
      <c r="U25" s="89"/>
      <c r="V25" s="90"/>
      <c r="W25" s="69"/>
      <c r="X25" s="95"/>
      <c r="Y25" s="87"/>
      <c r="Z25" s="88"/>
      <c r="AA25" s="87"/>
      <c r="AB25" s="89"/>
      <c r="AC25" s="90"/>
      <c r="AD25" s="69"/>
      <c r="AE25" s="95"/>
      <c r="AF25" s="87"/>
      <c r="AG25" s="88"/>
      <c r="AH25" s="87"/>
      <c r="AI25" s="89"/>
      <c r="AJ25" s="90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</row>
    <row r="26" spans="1:60" s="94" customFormat="1" x14ac:dyDescent="0.25">
      <c r="A26" s="3"/>
      <c r="B26" s="271" t="str">
        <f>IF(Rates!D219='Residential BRT'!$A$23,Rates!B219," ")</f>
        <v>Rate Rider ACM</v>
      </c>
      <c r="C26" s="79"/>
      <c r="D26" s="271" t="str">
        <f>IF(Rates!D219='Residential BRT'!$A$23,Rates!E219," ")</f>
        <v>kWh</v>
      </c>
      <c r="E26" s="79"/>
      <c r="F26" s="80">
        <f>IF(Rates!$J$1="BRT 2018",Rates!J219," ")</f>
        <v>0</v>
      </c>
      <c r="G26" s="81">
        <f t="shared" si="2"/>
        <v>750</v>
      </c>
      <c r="H26" s="82">
        <f t="shared" si="3"/>
        <v>0</v>
      </c>
      <c r="I26" s="91"/>
      <c r="J26" s="312">
        <f>IF(Rates!$L$1="E+ 2019",Rates!L219," ")</f>
        <v>0</v>
      </c>
      <c r="K26" s="97">
        <f t="shared" si="4"/>
        <v>750</v>
      </c>
      <c r="L26" s="92">
        <f t="shared" si="0"/>
        <v>0</v>
      </c>
      <c r="M26" s="91"/>
      <c r="N26" s="84">
        <f t="shared" si="5"/>
        <v>0</v>
      </c>
      <c r="O26" s="85" t="str">
        <f t="shared" si="6"/>
        <v/>
      </c>
      <c r="Q26" s="95"/>
      <c r="R26" s="87"/>
      <c r="S26" s="88"/>
      <c r="T26" s="87"/>
      <c r="U26" s="89"/>
      <c r="V26" s="90"/>
      <c r="W26" s="69"/>
      <c r="X26" s="95"/>
      <c r="Y26" s="87"/>
      <c r="Z26" s="88"/>
      <c r="AA26" s="87"/>
      <c r="AB26" s="89"/>
      <c r="AC26" s="90"/>
      <c r="AD26" s="69"/>
      <c r="AE26" s="95"/>
      <c r="AF26" s="87"/>
      <c r="AG26" s="88"/>
      <c r="AH26" s="87"/>
      <c r="AI26" s="89"/>
      <c r="AJ26" s="90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</row>
    <row r="27" spans="1:60" x14ac:dyDescent="0.25">
      <c r="A27" s="3"/>
      <c r="B27" s="271" t="str">
        <f>IF(Rates!D220='Residential BRT'!$A$23,Rates!B220," ")</f>
        <v>Rate Rider for Disposition of Account 1575 and 1576</v>
      </c>
      <c r="C27" s="79"/>
      <c r="D27" s="271" t="str">
        <f>IF(Rates!D220='Residential BRT'!$A$23,Rates!E220," ")</f>
        <v>customer</v>
      </c>
      <c r="E27" s="79"/>
      <c r="F27" s="80">
        <f>IF(Rates!$J$1="BRT 2018",Rates!J220," ")</f>
        <v>0</v>
      </c>
      <c r="G27" s="81">
        <f t="shared" si="2"/>
        <v>1</v>
      </c>
      <c r="H27" s="92">
        <f t="shared" si="3"/>
        <v>0</v>
      </c>
      <c r="I27" s="91"/>
      <c r="J27" s="312">
        <f>IF(Rates!$L$1="E+ 2019",Rates!L220," ")</f>
        <v>-0.2126511495947081</v>
      </c>
      <c r="K27" s="97">
        <f t="shared" si="4"/>
        <v>1</v>
      </c>
      <c r="L27" s="92">
        <f t="shared" si="0"/>
        <v>-0.2126511495947081</v>
      </c>
      <c r="M27" s="91"/>
      <c r="N27" s="84">
        <f t="shared" si="5"/>
        <v>-0.2126511495947081</v>
      </c>
      <c r="O27" s="85" t="str">
        <f t="shared" si="6"/>
        <v/>
      </c>
      <c r="Q27" s="86"/>
      <c r="R27" s="87"/>
      <c r="S27" s="88"/>
      <c r="T27" s="87"/>
      <c r="U27" s="89"/>
      <c r="V27" s="90"/>
      <c r="W27" s="69"/>
      <c r="X27" s="86"/>
      <c r="Y27" s="87"/>
      <c r="Z27" s="88"/>
      <c r="AA27" s="87"/>
      <c r="AB27" s="89"/>
      <c r="AC27" s="90"/>
      <c r="AD27" s="69"/>
      <c r="AE27" s="86"/>
      <c r="AF27" s="87"/>
      <c r="AG27" s="88"/>
      <c r="AH27" s="87"/>
      <c r="AI27" s="89"/>
      <c r="AJ27" s="90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</row>
    <row r="28" spans="1:60" s="94" customFormat="1" x14ac:dyDescent="0.25">
      <c r="A28" s="3"/>
      <c r="B28" s="271" t="str">
        <f>IF(Rates!D221='Residential BRT'!$A$23,Rates!B221," ")</f>
        <v>Rate Rider for Disposition of Account 1575 and 1576</v>
      </c>
      <c r="C28" s="79"/>
      <c r="D28" s="271" t="str">
        <f>IF(Rates!D221='Residential BRT'!$A$23,Rates!E221," ")</f>
        <v>kWh</v>
      </c>
      <c r="E28" s="79"/>
      <c r="F28" s="80">
        <f>IF(Rates!$J$1="BRT 2018",Rates!J221," ")</f>
        <v>0</v>
      </c>
      <c r="G28" s="81">
        <f t="shared" si="2"/>
        <v>750</v>
      </c>
      <c r="H28" s="92">
        <f t="shared" si="3"/>
        <v>0</v>
      </c>
      <c r="I28" s="91"/>
      <c r="J28" s="312">
        <f>IF(Rates!$L$1="E+ 2019",Rates!L221," ")</f>
        <v>0</v>
      </c>
      <c r="K28" s="97">
        <f t="shared" si="4"/>
        <v>750</v>
      </c>
      <c r="L28" s="92">
        <f t="shared" si="0"/>
        <v>0</v>
      </c>
      <c r="M28" s="91"/>
      <c r="N28" s="84">
        <f t="shared" si="5"/>
        <v>0</v>
      </c>
      <c r="O28" s="85" t="str">
        <f t="shared" si="6"/>
        <v/>
      </c>
      <c r="Q28" s="86"/>
      <c r="R28" s="87"/>
      <c r="S28" s="88"/>
      <c r="T28" s="87"/>
      <c r="U28" s="89"/>
      <c r="V28" s="90"/>
      <c r="W28" s="69"/>
      <c r="X28" s="86"/>
      <c r="Y28" s="87"/>
      <c r="Z28" s="88"/>
      <c r="AA28" s="87"/>
      <c r="AB28" s="89"/>
      <c r="AC28" s="90"/>
      <c r="AD28" s="69"/>
      <c r="AE28" s="86"/>
      <c r="AF28" s="87"/>
      <c r="AG28" s="88"/>
      <c r="AH28" s="87"/>
      <c r="AI28" s="89"/>
      <c r="AJ28" s="90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</row>
    <row r="29" spans="1:60" s="94" customFormat="1" x14ac:dyDescent="0.25">
      <c r="A29" s="3"/>
      <c r="B29" s="271" t="str">
        <f>IF(Rates!D222='Residential BRT'!$A$23,Rates!B222," ")</f>
        <v>Rate Rider for Disposition of Account 1575 and 1576</v>
      </c>
      <c r="C29" s="79"/>
      <c r="D29" s="271" t="str">
        <f>IF(Rates!D222='Residential BRT'!$A$23,Rates!E222," ")</f>
        <v>customer</v>
      </c>
      <c r="E29" s="79"/>
      <c r="F29" s="80">
        <f>IF(Rates!$J$1="BRT 2018",Rates!J222," ")</f>
        <v>0</v>
      </c>
      <c r="G29" s="81">
        <f t="shared" si="2"/>
        <v>1</v>
      </c>
      <c r="H29" s="92">
        <f t="shared" si="3"/>
        <v>0</v>
      </c>
      <c r="I29" s="91"/>
      <c r="J29" s="312">
        <f>IF(Rates!$L$1="E+ 2019",Rates!L222," ")</f>
        <v>0</v>
      </c>
      <c r="K29" s="97">
        <f t="shared" si="4"/>
        <v>1</v>
      </c>
      <c r="L29" s="92">
        <f t="shared" si="0"/>
        <v>0</v>
      </c>
      <c r="M29" s="91"/>
      <c r="N29" s="84">
        <f t="shared" si="5"/>
        <v>0</v>
      </c>
      <c r="O29" s="85" t="str">
        <f t="shared" si="6"/>
        <v/>
      </c>
      <c r="Q29" s="98"/>
      <c r="R29" s="87"/>
      <c r="S29" s="88"/>
      <c r="T29" s="87"/>
      <c r="U29" s="89"/>
      <c r="V29" s="90"/>
      <c r="W29" s="69"/>
      <c r="X29" s="98"/>
      <c r="Y29" s="87"/>
      <c r="Z29" s="88"/>
      <c r="AA29" s="87"/>
      <c r="AB29" s="89"/>
      <c r="AC29" s="90"/>
      <c r="AD29" s="69"/>
      <c r="AE29" s="98"/>
      <c r="AF29" s="87"/>
      <c r="AG29" s="88"/>
      <c r="AH29" s="87"/>
      <c r="AI29" s="89"/>
      <c r="AJ29" s="90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</row>
    <row r="30" spans="1:60" s="101" customFormat="1" x14ac:dyDescent="0.25">
      <c r="A30" s="99"/>
      <c r="B30" s="271" t="str">
        <f>IF(Rates!D223='Residential BRT'!$A$23,Rates!B223," ")</f>
        <v>Rate Rider for Disposition of Account 1575 and 1576</v>
      </c>
      <c r="C30" s="100"/>
      <c r="D30" s="271" t="str">
        <f>IF(Rates!D223='Residential BRT'!$A$23,Rates!E223," ")</f>
        <v>kWh</v>
      </c>
      <c r="E30" s="79"/>
      <c r="F30" s="80">
        <f>IF(Rates!$J$1="BRT 2018",Rates!J223," ")</f>
        <v>0</v>
      </c>
      <c r="G30" s="81">
        <f t="shared" si="2"/>
        <v>750</v>
      </c>
      <c r="H30" s="92">
        <f t="shared" si="3"/>
        <v>0</v>
      </c>
      <c r="I30" s="91"/>
      <c r="J30" s="312">
        <f>IF(Rates!$L$1="E+ 2019",Rates!L223," ")</f>
        <v>0</v>
      </c>
      <c r="K30" s="97">
        <f t="shared" si="4"/>
        <v>750</v>
      </c>
      <c r="L30" s="92">
        <f t="shared" si="0"/>
        <v>0</v>
      </c>
      <c r="M30" s="91"/>
      <c r="N30" s="84">
        <f t="shared" si="5"/>
        <v>0</v>
      </c>
      <c r="O30" s="85" t="str">
        <f t="shared" si="6"/>
        <v/>
      </c>
      <c r="Q30" s="102"/>
      <c r="R30" s="103"/>
      <c r="S30" s="104"/>
      <c r="T30" s="103"/>
      <c r="U30" s="105"/>
      <c r="V30" s="106"/>
      <c r="W30" s="107"/>
      <c r="X30" s="102"/>
      <c r="Y30" s="103"/>
      <c r="Z30" s="104"/>
      <c r="AA30" s="103"/>
      <c r="AB30" s="105"/>
      <c r="AC30" s="106"/>
      <c r="AD30" s="107"/>
      <c r="AE30" s="102"/>
      <c r="AF30" s="103"/>
      <c r="AG30" s="104"/>
      <c r="AH30" s="103"/>
      <c r="AI30" s="105"/>
      <c r="AJ30" s="106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</row>
    <row r="31" spans="1:60" s="94" customFormat="1" x14ac:dyDescent="0.25">
      <c r="A31" s="3"/>
      <c r="B31" s="271" t="str">
        <f>IF(Rates!D224='Residential BRT'!$A$23,Rates!B224," ")</f>
        <v>Rate Rider for LRAMVA</v>
      </c>
      <c r="C31" s="79"/>
      <c r="D31" s="271" t="str">
        <f>IF(Rates!D224='Residential BRT'!$A$23,Rates!E224," ")</f>
        <v>kWh</v>
      </c>
      <c r="E31" s="79"/>
      <c r="F31" s="80">
        <f>IF(Rates!$J$1="BRT 2018",Rates!J224," ")</f>
        <v>0</v>
      </c>
      <c r="G31" s="81">
        <f t="shared" si="2"/>
        <v>750</v>
      </c>
      <c r="H31" s="92">
        <f t="shared" si="3"/>
        <v>0</v>
      </c>
      <c r="I31" s="91"/>
      <c r="J31" s="312">
        <f>IF(Rates!$L$1="E+ 2019",Rates!L224," ")</f>
        <v>6.1978880186534072E-5</v>
      </c>
      <c r="K31" s="97">
        <f t="shared" si="4"/>
        <v>750</v>
      </c>
      <c r="L31" s="92">
        <f t="shared" si="0"/>
        <v>4.6484160139900553E-2</v>
      </c>
      <c r="M31" s="91"/>
      <c r="N31" s="84">
        <f t="shared" si="5"/>
        <v>4.6484160139900553E-2</v>
      </c>
      <c r="O31" s="85" t="str">
        <f t="shared" si="6"/>
        <v/>
      </c>
      <c r="Q31" s="98"/>
      <c r="R31" s="87"/>
      <c r="S31" s="88"/>
      <c r="T31" s="87"/>
      <c r="U31" s="89"/>
      <c r="V31" s="90"/>
      <c r="W31" s="69"/>
      <c r="X31" s="98"/>
      <c r="Y31" s="87"/>
      <c r="Z31" s="88"/>
      <c r="AA31" s="87"/>
      <c r="AB31" s="89"/>
      <c r="AC31" s="90"/>
      <c r="AD31" s="69"/>
      <c r="AE31" s="98"/>
      <c r="AF31" s="87"/>
      <c r="AG31" s="88"/>
      <c r="AH31" s="87"/>
      <c r="AI31" s="89"/>
      <c r="AJ31" s="90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</row>
    <row r="32" spans="1:60" s="94" customFormat="1" x14ac:dyDescent="0.25">
      <c r="A32" s="3"/>
      <c r="B32" s="271" t="str">
        <f>IF(Rates!D225='Residential BRT'!$A$23,Rates!B225," ")</f>
        <v xml:space="preserve">Rate Rider for Smart Meter (Stranded Meters) </v>
      </c>
      <c r="C32" s="79"/>
      <c r="D32" s="271" t="str">
        <f>IF(Rates!D225='Residential BRT'!$A$23,Rates!E225," ")</f>
        <v>customer</v>
      </c>
      <c r="E32" s="79"/>
      <c r="F32" s="80">
        <f>IF(Rates!$J$1="BRT 2018",Rates!J225," ")</f>
        <v>1.75</v>
      </c>
      <c r="G32" s="81">
        <f t="shared" si="2"/>
        <v>1</v>
      </c>
      <c r="H32" s="92">
        <f t="shared" si="3"/>
        <v>1.75</v>
      </c>
      <c r="I32" s="91"/>
      <c r="J32" s="312">
        <f>IF(Rates!$L$1="E+ 2019",Rates!L225," ")</f>
        <v>0.25994789727448581</v>
      </c>
      <c r="K32" s="97">
        <f t="shared" si="4"/>
        <v>1</v>
      </c>
      <c r="L32" s="92">
        <f t="shared" si="0"/>
        <v>0.25994789727448581</v>
      </c>
      <c r="M32" s="91"/>
      <c r="N32" s="84">
        <f t="shared" si="5"/>
        <v>-1.4900521027255142</v>
      </c>
      <c r="O32" s="85">
        <f t="shared" si="6"/>
        <v>-0.85145834441457957</v>
      </c>
      <c r="Q32" s="98"/>
      <c r="R32" s="87"/>
      <c r="S32" s="88"/>
      <c r="T32" s="87"/>
      <c r="U32" s="89"/>
      <c r="V32" s="90"/>
      <c r="W32" s="69"/>
      <c r="X32" s="98"/>
      <c r="Y32" s="87"/>
      <c r="Z32" s="88"/>
      <c r="AA32" s="87"/>
      <c r="AB32" s="89"/>
      <c r="AC32" s="90"/>
      <c r="AD32" s="69"/>
      <c r="AE32" s="98"/>
      <c r="AF32" s="87"/>
      <c r="AG32" s="88"/>
      <c r="AH32" s="87"/>
      <c r="AI32" s="89"/>
      <c r="AJ32" s="90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</row>
    <row r="33" spans="1:60" s="94" customFormat="1" x14ac:dyDescent="0.25">
      <c r="A33" s="3"/>
      <c r="B33" s="271" t="str">
        <f>IF(Rates!D226='Residential BRT'!$A$23,Rates!B226," ")</f>
        <v>Other Fixed</v>
      </c>
      <c r="C33" s="79"/>
      <c r="D33" s="271" t="str">
        <f>IF(Rates!D226='Residential BRT'!$A$23,Rates!E226," ")</f>
        <v>customer</v>
      </c>
      <c r="E33" s="79"/>
      <c r="F33" s="80">
        <f>IF(Rates!$J$1="BRT 2018",Rates!J226," ")</f>
        <v>0</v>
      </c>
      <c r="G33" s="81">
        <f t="shared" si="2"/>
        <v>1</v>
      </c>
      <c r="H33" s="92">
        <f t="shared" si="3"/>
        <v>0</v>
      </c>
      <c r="I33" s="91"/>
      <c r="J33" s="312">
        <f>IF(Rates!$L$1="E+ 2019",Rates!L226," ")</f>
        <v>0</v>
      </c>
      <c r="K33" s="97">
        <f t="shared" si="4"/>
        <v>1</v>
      </c>
      <c r="L33" s="92">
        <f t="shared" si="0"/>
        <v>0</v>
      </c>
      <c r="M33" s="91"/>
      <c r="N33" s="84">
        <f t="shared" si="5"/>
        <v>0</v>
      </c>
      <c r="O33" s="85" t="str">
        <f t="shared" si="6"/>
        <v/>
      </c>
      <c r="Q33" s="95"/>
      <c r="R33" s="87"/>
      <c r="S33" s="88"/>
      <c r="T33" s="87"/>
      <c r="U33" s="89"/>
      <c r="V33" s="90"/>
      <c r="W33" s="69"/>
      <c r="X33" s="95"/>
      <c r="Y33" s="87"/>
      <c r="Z33" s="88"/>
      <c r="AA33" s="87"/>
      <c r="AB33" s="89"/>
      <c r="AC33" s="90"/>
      <c r="AD33" s="69"/>
      <c r="AE33" s="95"/>
      <c r="AF33" s="87"/>
      <c r="AG33" s="88"/>
      <c r="AH33" s="87"/>
      <c r="AI33" s="89"/>
      <c r="AJ33" s="90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</row>
    <row r="34" spans="1:60" s="94" customFormat="1" x14ac:dyDescent="0.25">
      <c r="A34" s="3"/>
      <c r="B34" s="271" t="str">
        <f>IF(Rates!D227='Residential BRT'!$A$23,Rates!B227," ")</f>
        <v>Other Volumetric</v>
      </c>
      <c r="C34" s="79"/>
      <c r="D34" s="271" t="str">
        <f>IF(Rates!D227='Residential BRT'!$A$23,Rates!E227," ")</f>
        <v>kWh</v>
      </c>
      <c r="E34" s="79"/>
      <c r="F34" s="80">
        <f>IF(Rates!$J$1="BRT 2018",Rates!J227," ")</f>
        <v>0</v>
      </c>
      <c r="G34" s="81">
        <f t="shared" si="2"/>
        <v>750</v>
      </c>
      <c r="H34" s="92">
        <f t="shared" si="3"/>
        <v>0</v>
      </c>
      <c r="I34" s="91"/>
      <c r="J34" s="312">
        <f>IF(Rates!$L$1="E+ 2019",Rates!L227," ")</f>
        <v>0</v>
      </c>
      <c r="K34" s="97">
        <f t="shared" si="4"/>
        <v>750</v>
      </c>
      <c r="L34" s="92">
        <f t="shared" si="0"/>
        <v>0</v>
      </c>
      <c r="M34" s="91"/>
      <c r="N34" s="84">
        <f t="shared" si="5"/>
        <v>0</v>
      </c>
      <c r="O34" s="85" t="str">
        <f t="shared" si="6"/>
        <v/>
      </c>
      <c r="Q34" s="95"/>
      <c r="R34" s="87"/>
      <c r="S34" s="88"/>
      <c r="T34" s="87"/>
      <c r="U34" s="89"/>
      <c r="V34" s="90"/>
      <c r="W34" s="69"/>
      <c r="X34" s="95"/>
      <c r="Y34" s="87"/>
      <c r="Z34" s="88"/>
      <c r="AA34" s="87"/>
      <c r="AB34" s="89"/>
      <c r="AC34" s="90"/>
      <c r="AD34" s="69"/>
      <c r="AE34" s="95"/>
      <c r="AF34" s="87"/>
      <c r="AG34" s="88"/>
      <c r="AH34" s="87"/>
      <c r="AI34" s="89"/>
      <c r="AJ34" s="90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</row>
    <row r="35" spans="1:60" s="94" customFormat="1" x14ac:dyDescent="0.25">
      <c r="A35" s="3"/>
      <c r="B35" s="271" t="str">
        <f>IF(Rates!D228='Residential BRT'!$A$23,Rates!B228," ")</f>
        <v>Rate Rider for gain on Sale of Property</v>
      </c>
      <c r="C35" s="79"/>
      <c r="D35" s="271" t="str">
        <f>IF(Rates!D228='Residential BRT'!$A$23,Rates!E228," ")</f>
        <v>Customer</v>
      </c>
      <c r="E35" s="79"/>
      <c r="F35" s="80">
        <f>IF(Rates!$J$1="BRT 2018",Rates!J228," ")</f>
        <v>0</v>
      </c>
      <c r="G35" s="81">
        <f t="shared" ref="G35" si="7">IF(D35="customer",1,IF(D35="kWh",$F$18,$F$19))</f>
        <v>1</v>
      </c>
      <c r="H35" s="92">
        <f t="shared" ref="H35" si="8">G35*F35</f>
        <v>0</v>
      </c>
      <c r="I35" s="91"/>
      <c r="J35" s="312">
        <f>IF(Rates!$L$1="E+ 2019",Rates!L228," ")</f>
        <v>-0.16323570297172302</v>
      </c>
      <c r="K35" s="97">
        <f t="shared" ref="K35" si="9">IF(D35="customer",1,IF(D35="kWh",$F$18,$F$19))</f>
        <v>1</v>
      </c>
      <c r="L35" s="92">
        <f t="shared" ref="L35" si="10">K35*J35</f>
        <v>-0.16323570297172302</v>
      </c>
      <c r="M35" s="91"/>
      <c r="N35" s="84">
        <f t="shared" ref="N35" si="11">L35-H35</f>
        <v>-0.16323570297172302</v>
      </c>
      <c r="O35" s="85" t="str">
        <f t="shared" ref="O35" si="12">IF(OR(H35=0,L35=0),"",(N35/H35))</f>
        <v/>
      </c>
      <c r="Q35" s="98"/>
      <c r="R35" s="87"/>
      <c r="S35" s="88"/>
      <c r="T35" s="87"/>
      <c r="U35" s="89"/>
      <c r="V35" s="90"/>
      <c r="W35" s="69"/>
      <c r="X35" s="98"/>
      <c r="Y35" s="87"/>
      <c r="Z35" s="88"/>
      <c r="AA35" s="87"/>
      <c r="AB35" s="89"/>
      <c r="AC35" s="90"/>
      <c r="AD35" s="69"/>
      <c r="AE35" s="98"/>
      <c r="AF35" s="87"/>
      <c r="AG35" s="88"/>
      <c r="AH35" s="87"/>
      <c r="AI35" s="89"/>
      <c r="AJ35" s="90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</row>
    <row r="36" spans="1:60" s="94" customFormat="1" x14ac:dyDescent="0.25">
      <c r="A36" s="3"/>
      <c r="B36" s="109" t="s">
        <v>64</v>
      </c>
      <c r="C36" s="110"/>
      <c r="D36" s="110"/>
      <c r="E36" s="110"/>
      <c r="F36" s="111"/>
      <c r="G36" s="112"/>
      <c r="H36" s="113">
        <f>SUM(H23:H35)</f>
        <v>30.025000000000002</v>
      </c>
      <c r="I36" s="91"/>
      <c r="J36" s="313"/>
      <c r="K36" s="116"/>
      <c r="L36" s="113">
        <f>SUM(L23:L35)</f>
        <v>27.260545204847954</v>
      </c>
      <c r="M36" s="91"/>
      <c r="N36" s="117">
        <f t="shared" si="1"/>
        <v>-2.764454795152048</v>
      </c>
      <c r="O36" s="118">
        <f>IF(OR(H36=0, L36=0),"",(N36/H36))</f>
        <v>-9.2071766699485358E-2</v>
      </c>
      <c r="Q36" s="119"/>
      <c r="R36" s="120"/>
      <c r="S36" s="88"/>
      <c r="T36" s="87"/>
      <c r="U36" s="121"/>
      <c r="V36" s="122"/>
      <c r="W36" s="69"/>
      <c r="X36" s="119"/>
      <c r="Y36" s="120"/>
      <c r="Z36" s="88"/>
      <c r="AA36" s="87"/>
      <c r="AB36" s="121"/>
      <c r="AC36" s="122"/>
      <c r="AD36" s="69"/>
      <c r="AE36" s="119"/>
      <c r="AF36" s="120"/>
      <c r="AG36" s="88"/>
      <c r="AH36" s="87"/>
      <c r="AI36" s="121"/>
      <c r="AJ36" s="122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</row>
    <row r="37" spans="1:60" s="94" customFormat="1" x14ac:dyDescent="0.25">
      <c r="A37" s="5" t="s">
        <v>18</v>
      </c>
      <c r="B37" s="271" t="str">
        <f>IF(Rates!D229='Residential BRT'!$A$37,Rates!B229," ")</f>
        <v>Low Voltage Service Rate</v>
      </c>
      <c r="C37" s="79"/>
      <c r="D37" s="271" t="str">
        <f>IF(Rates!D229='Residential BRT'!$A$37,Rates!E229," ")</f>
        <v>kWh</v>
      </c>
      <c r="E37" s="79"/>
      <c r="F37" s="235">
        <f>IF(Rates!$J$1="BRT 2018",Rates!J229," ")</f>
        <v>2.3999999999999998E-3</v>
      </c>
      <c r="G37" s="81">
        <f t="shared" ref="G37" si="13">IF(D37="customer",1,IF(D37="kWh",$F$18,$F$19))</f>
        <v>750</v>
      </c>
      <c r="H37" s="92">
        <f t="shared" ref="H37:H42" si="14">G37*F37</f>
        <v>1.7999999999999998</v>
      </c>
      <c r="I37" s="87"/>
      <c r="J37" s="337">
        <f>IF(Rates!$L$1="E+ 2019",Rates!L229," ")</f>
        <v>4.0000000000000002E-4</v>
      </c>
      <c r="K37" s="97">
        <f t="shared" ref="K37" si="15">IF(D37="customer",1,IF(D37="kWh",$F$18,$F$19))</f>
        <v>750</v>
      </c>
      <c r="L37" s="92">
        <f t="shared" ref="L37:L44" si="16">K37*J37</f>
        <v>0.3</v>
      </c>
      <c r="M37" s="87"/>
      <c r="N37" s="123">
        <f t="shared" si="1"/>
        <v>-1.4999999999999998</v>
      </c>
      <c r="O37" s="93">
        <f t="shared" ref="O37:O44" si="17">IF(OR(H37=0,L37=0),"",(N37/H37))</f>
        <v>-0.83333333333333326</v>
      </c>
      <c r="Q37" s="119"/>
      <c r="R37" s="87"/>
      <c r="S37" s="88"/>
      <c r="T37" s="87"/>
      <c r="U37" s="89"/>
      <c r="V37" s="90"/>
      <c r="W37" s="69"/>
      <c r="X37" s="119"/>
      <c r="Y37" s="87"/>
      <c r="Z37" s="88"/>
      <c r="AA37" s="87"/>
      <c r="AB37" s="89"/>
      <c r="AC37" s="90"/>
      <c r="AD37" s="69"/>
      <c r="AE37" s="119"/>
      <c r="AF37" s="87"/>
      <c r="AG37" s="88"/>
      <c r="AH37" s="87"/>
      <c r="AI37" s="89"/>
      <c r="AJ37" s="90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</row>
    <row r="38" spans="1:60" x14ac:dyDescent="0.25">
      <c r="A38" s="1"/>
      <c r="B38" s="271" t="s">
        <v>5</v>
      </c>
      <c r="C38" s="79"/>
      <c r="D38" s="271" t="s">
        <v>13</v>
      </c>
      <c r="E38" s="79"/>
      <c r="F38" s="275">
        <f>IF(ISBLANK($D16)=TRUE, 0, IF($D16="TOU", 0.65*$F55+0.17*$F56+0.18*$F57, IF(AND($D16="non-TOU", G59&gt;0), $F59,$F58)))</f>
        <v>8.2160000000000011E-2</v>
      </c>
      <c r="G38" s="125">
        <f>$F18*(1+$F68)-$F18</f>
        <v>37.125000000000114</v>
      </c>
      <c r="H38" s="126">
        <f t="shared" si="14"/>
        <v>3.0501900000000099</v>
      </c>
      <c r="I38" s="91"/>
      <c r="J38" s="473">
        <f>IF(ISBLANK($D16)=TRUE, 0, IF($D16="TOU", 0.65*$F55+0.17*$F56+0.18*$F57, IF(AND($D16="non-TOU", K59&gt;0), $F59,$F58)))</f>
        <v>8.2160000000000011E-2</v>
      </c>
      <c r="K38" s="125">
        <f>$F18*(1+$J68)-$F18</f>
        <v>23.013487458020222</v>
      </c>
      <c r="L38" s="126">
        <f t="shared" si="16"/>
        <v>1.8907881295509417</v>
      </c>
      <c r="M38" s="91"/>
      <c r="N38" s="123">
        <f t="shared" si="1"/>
        <v>-1.1594018704490683</v>
      </c>
      <c r="O38" s="93">
        <f t="shared" si="17"/>
        <v>-0.38010808193885121</v>
      </c>
      <c r="Q38" s="128"/>
      <c r="R38" s="129"/>
      <c r="S38" s="88"/>
      <c r="T38" s="87"/>
      <c r="U38" s="89"/>
      <c r="V38" s="90"/>
      <c r="W38" s="69"/>
      <c r="X38" s="128"/>
      <c r="Y38" s="129"/>
      <c r="Z38" s="88"/>
      <c r="AA38" s="87"/>
      <c r="AB38" s="89"/>
      <c r="AC38" s="90"/>
      <c r="AD38" s="69"/>
      <c r="AE38" s="128"/>
      <c r="AF38" s="129"/>
      <c r="AG38" s="88"/>
      <c r="AH38" s="87"/>
      <c r="AI38" s="89"/>
      <c r="AJ38" s="90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</row>
    <row r="39" spans="1:60" s="101" customFormat="1" x14ac:dyDescent="0.25">
      <c r="A39" s="130"/>
      <c r="B39" s="271" t="str">
        <f>IF(Rates!D230='Residential BRT'!$A$37,Rates!B230," ")</f>
        <v>Rate Rider Other Fixed</v>
      </c>
      <c r="C39" s="79"/>
      <c r="D39" s="271" t="str">
        <f>IF(Rates!D230='Residential BRT'!$A$37,Rates!E230," ")</f>
        <v>customer</v>
      </c>
      <c r="E39" s="79"/>
      <c r="F39" s="235">
        <f>IF(Rates!$J$1="BRT 2018",Rates!J230," ")</f>
        <v>0</v>
      </c>
      <c r="G39" s="81">
        <f t="shared" ref="G39:G45" si="18">IF(D39="customer",1,IF(D39="kWh",$F$18,$F$19))</f>
        <v>1</v>
      </c>
      <c r="H39" s="92">
        <f t="shared" si="14"/>
        <v>0</v>
      </c>
      <c r="I39" s="91"/>
      <c r="J39" s="337">
        <f>IF(Rates!$L$1="E+ 2019",Rates!L230," ")</f>
        <v>0</v>
      </c>
      <c r="K39" s="97">
        <f t="shared" ref="K39:K45" si="19">IF(D39="customer",1,IF(D39="kWh",$F$18,$F$19))</f>
        <v>1</v>
      </c>
      <c r="L39" s="126">
        <f t="shared" si="16"/>
        <v>0</v>
      </c>
      <c r="M39" s="91"/>
      <c r="N39" s="123">
        <f t="shared" si="1"/>
        <v>0</v>
      </c>
      <c r="O39" s="93" t="str">
        <f t="shared" si="17"/>
        <v/>
      </c>
      <c r="Q39" s="102"/>
      <c r="R39" s="103"/>
      <c r="S39" s="104"/>
      <c r="T39" s="103"/>
      <c r="U39" s="105"/>
      <c r="V39" s="106"/>
      <c r="W39" s="107"/>
      <c r="X39" s="102"/>
      <c r="Y39" s="103"/>
      <c r="Z39" s="104"/>
      <c r="AA39" s="103"/>
      <c r="AB39" s="105"/>
      <c r="AC39" s="106"/>
      <c r="AD39" s="107"/>
      <c r="AE39" s="102"/>
      <c r="AF39" s="103"/>
      <c r="AG39" s="104"/>
      <c r="AH39" s="103"/>
      <c r="AI39" s="105"/>
      <c r="AJ39" s="106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</row>
    <row r="40" spans="1:60" s="101" customFormat="1" x14ac:dyDescent="0.25">
      <c r="A40" s="130"/>
      <c r="B40" s="271" t="str">
        <f>IF(Rates!D231='Residential BRT'!$A$37,Rates!B231," ")</f>
        <v>Rate Rider for Smart Metering Entity Charge - effective until October 31, 2018</v>
      </c>
      <c r="C40" s="79"/>
      <c r="D40" s="271" t="str">
        <f>IF(Rates!D231='Residential BRT'!$A$37,Rates!E231," ")</f>
        <v>customer</v>
      </c>
      <c r="E40" s="79"/>
      <c r="F40" s="80">
        <f>IF(Rates!$J$1="BRT 2018",Rates!J231," ")</f>
        <v>0.56999999999999995</v>
      </c>
      <c r="G40" s="81">
        <f t="shared" si="18"/>
        <v>1</v>
      </c>
      <c r="H40" s="92">
        <f t="shared" si="14"/>
        <v>0.56999999999999995</v>
      </c>
      <c r="I40" s="91"/>
      <c r="J40" s="337">
        <f>IF(Rates!$L$1="E+ 2019",Rates!L231," ")</f>
        <v>0.56999999999999995</v>
      </c>
      <c r="K40" s="97">
        <f t="shared" si="19"/>
        <v>1</v>
      </c>
      <c r="L40" s="126">
        <f t="shared" si="16"/>
        <v>0.56999999999999995</v>
      </c>
      <c r="M40" s="91"/>
      <c r="N40" s="123">
        <f t="shared" si="1"/>
        <v>0</v>
      </c>
      <c r="O40" s="93">
        <f>IF(OR(H40=0,L40=0),"",(N40/H40))</f>
        <v>0</v>
      </c>
      <c r="Q40" s="102"/>
      <c r="R40" s="103"/>
      <c r="S40" s="104"/>
      <c r="T40" s="103"/>
      <c r="U40" s="105"/>
      <c r="V40" s="106"/>
      <c r="W40" s="107"/>
      <c r="X40" s="102"/>
      <c r="Y40" s="103"/>
      <c r="Z40" s="104"/>
      <c r="AA40" s="103"/>
      <c r="AB40" s="105"/>
      <c r="AC40" s="106"/>
      <c r="AD40" s="107"/>
      <c r="AE40" s="102"/>
      <c r="AF40" s="103"/>
      <c r="AG40" s="104"/>
      <c r="AH40" s="103"/>
      <c r="AI40" s="105"/>
      <c r="AJ40" s="106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</row>
    <row r="41" spans="1:60" s="101" customFormat="1" x14ac:dyDescent="0.25">
      <c r="A41" s="130"/>
      <c r="B41" s="271" t="str">
        <f>IF(Rates!D232='Residential BRT'!$A$37,Rates!B232," ")</f>
        <v>Rate Rider Other Volumetric</v>
      </c>
      <c r="C41" s="79"/>
      <c r="D41" s="271" t="str">
        <f>IF(Rates!D232='Residential BRT'!$A$37,Rates!E232," ")</f>
        <v>Customer</v>
      </c>
      <c r="E41" s="79"/>
      <c r="F41" s="273">
        <f>IF(Rates!$J$1="BRT 2018",Rates!J232," ")</f>
        <v>0</v>
      </c>
      <c r="G41" s="81">
        <f t="shared" si="18"/>
        <v>1</v>
      </c>
      <c r="H41" s="92">
        <f t="shared" si="14"/>
        <v>0</v>
      </c>
      <c r="I41" s="91"/>
      <c r="J41" s="337">
        <f>IF(Rates!$L$1="E+ 2019",Rates!L232," ")</f>
        <v>0.69826111473472707</v>
      </c>
      <c r="K41" s="97">
        <f t="shared" si="19"/>
        <v>1</v>
      </c>
      <c r="L41" s="126">
        <f t="shared" si="16"/>
        <v>0.69826111473472707</v>
      </c>
      <c r="M41" s="91"/>
      <c r="N41" s="123">
        <f t="shared" si="1"/>
        <v>0.69826111473472707</v>
      </c>
      <c r="O41" s="93" t="str">
        <f t="shared" si="17"/>
        <v/>
      </c>
      <c r="Q41" s="102"/>
      <c r="R41" s="103"/>
      <c r="S41" s="104"/>
      <c r="T41" s="103"/>
      <c r="U41" s="105"/>
      <c r="V41" s="106"/>
      <c r="W41" s="107"/>
      <c r="X41" s="102"/>
      <c r="Y41" s="103"/>
      <c r="Z41" s="104"/>
      <c r="AA41" s="103"/>
      <c r="AB41" s="105"/>
      <c r="AC41" s="106"/>
      <c r="AD41" s="107"/>
      <c r="AE41" s="102"/>
      <c r="AF41" s="103"/>
      <c r="AG41" s="104"/>
      <c r="AH41" s="103"/>
      <c r="AI41" s="105"/>
      <c r="AJ41" s="106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</row>
    <row r="42" spans="1:60" s="101" customFormat="1" x14ac:dyDescent="0.25">
      <c r="A42" s="130"/>
      <c r="B42" s="271" t="str">
        <f>IF(Rates!D233='Residential BRT'!$A$37,Rates!B233," ")</f>
        <v xml:space="preserve">Rate Rider for Disposition of Deferral/Variance Accounts </v>
      </c>
      <c r="C42" s="79"/>
      <c r="D42" s="271" t="str">
        <f>IF(Rates!D233='Residential BRT'!$A$37,Rates!E233," ")</f>
        <v>kWh</v>
      </c>
      <c r="E42" s="79"/>
      <c r="F42" s="337">
        <f>IF(Rates!$J$1="BRT 2018",Rates!J233," ")</f>
        <v>-6.4739169462600422E-3</v>
      </c>
      <c r="G42" s="81">
        <f t="shared" si="18"/>
        <v>750</v>
      </c>
      <c r="H42" s="92">
        <f t="shared" si="14"/>
        <v>-4.8554377096950319</v>
      </c>
      <c r="I42" s="91"/>
      <c r="J42" s="337">
        <f>IF(Rates!$L$1="E+ 2019",Rates!L233," ")</f>
        <v>-1.7004562090666019E-3</v>
      </c>
      <c r="K42" s="97">
        <f t="shared" si="19"/>
        <v>750</v>
      </c>
      <c r="L42" s="92">
        <f t="shared" si="16"/>
        <v>-1.2753421567999514</v>
      </c>
      <c r="M42" s="91"/>
      <c r="N42" s="123">
        <f t="shared" si="1"/>
        <v>3.5800955528950804</v>
      </c>
      <c r="O42" s="93">
        <f t="shared" si="17"/>
        <v>-0.73733734566228115</v>
      </c>
      <c r="Q42" s="102"/>
      <c r="R42" s="103"/>
      <c r="S42" s="104"/>
      <c r="T42" s="103"/>
      <c r="U42" s="105"/>
      <c r="V42" s="106"/>
      <c r="W42" s="107"/>
      <c r="X42" s="102"/>
      <c r="Y42" s="103"/>
      <c r="Z42" s="104"/>
      <c r="AA42" s="103"/>
      <c r="AB42" s="105"/>
      <c r="AC42" s="106"/>
      <c r="AD42" s="107"/>
      <c r="AE42" s="102"/>
      <c r="AF42" s="103"/>
      <c r="AG42" s="104"/>
      <c r="AH42" s="103"/>
      <c r="AI42" s="105"/>
      <c r="AJ42" s="106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</row>
    <row r="43" spans="1:60" s="101" customFormat="1" x14ac:dyDescent="0.25">
      <c r="A43" s="130"/>
      <c r="B43" s="271" t="str">
        <f>IF(Rates!D234='Residential BRT'!$A$37,Rates!B234," ")</f>
        <v>Rate Rider for Disposition of Deferral/Variance Accounts Non-WMP Customers</v>
      </c>
      <c r="C43" s="79"/>
      <c r="D43" s="271" t="str">
        <f>IF(Rates!D234='Residential BRT'!$A$37,Rates!E234," ")</f>
        <v>kWh</v>
      </c>
      <c r="E43" s="79"/>
      <c r="F43" s="235">
        <f>IF(Rates!$J$1="BRT 2018",Rates!J234," ")</f>
        <v>0</v>
      </c>
      <c r="G43" s="81">
        <f t="shared" si="18"/>
        <v>750</v>
      </c>
      <c r="H43" s="92"/>
      <c r="I43" s="91"/>
      <c r="J43" s="337">
        <f>IF(Rates!$L$1="E+ 2019",Rates!L234," ")</f>
        <v>0</v>
      </c>
      <c r="K43" s="97">
        <f t="shared" si="19"/>
        <v>750</v>
      </c>
      <c r="L43" s="92">
        <f t="shared" si="16"/>
        <v>0</v>
      </c>
      <c r="M43" s="91"/>
      <c r="N43" s="123">
        <f t="shared" si="1"/>
        <v>0</v>
      </c>
      <c r="O43" s="93" t="str">
        <f t="shared" si="17"/>
        <v/>
      </c>
      <c r="Q43" s="102"/>
      <c r="R43" s="103"/>
      <c r="S43" s="104"/>
      <c r="T43" s="103"/>
      <c r="U43" s="105"/>
      <c r="V43" s="106"/>
      <c r="W43" s="107"/>
      <c r="X43" s="102"/>
      <c r="Y43" s="103"/>
      <c r="Z43" s="104"/>
      <c r="AA43" s="103"/>
      <c r="AB43" s="105"/>
      <c r="AC43" s="106"/>
      <c r="AD43" s="107"/>
      <c r="AE43" s="102"/>
      <c r="AF43" s="103"/>
      <c r="AG43" s="104"/>
      <c r="AH43" s="103"/>
      <c r="AI43" s="105"/>
      <c r="AJ43" s="106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</row>
    <row r="44" spans="1:60" x14ac:dyDescent="0.25">
      <c r="A44" s="1"/>
      <c r="B44" s="271" t="str">
        <f>IF(Rates!D235='Residential BRT'!$A$37,Rates!B235," ")</f>
        <v>Rate Rider for Disposition of GA DV</v>
      </c>
      <c r="C44" s="79"/>
      <c r="D44" s="271" t="str">
        <f>IF(Rates!D235='Residential BRT'!$A$37,Rates!E235," ")</f>
        <v>kWh</v>
      </c>
      <c r="E44" s="79"/>
      <c r="F44" s="235">
        <f>IF(Rates!$J$1="BRT 2018",Rates!J235," ")</f>
        <v>1.4200000000000001E-2</v>
      </c>
      <c r="G44" s="81">
        <f t="shared" si="18"/>
        <v>750</v>
      </c>
      <c r="H44" s="126">
        <f>G44*F44</f>
        <v>10.65</v>
      </c>
      <c r="I44" s="91"/>
      <c r="J44" s="337">
        <f>IF(Rates!$L$1="E+ 2019",Rates!L235," ")</f>
        <v>3.8449181889326281E-4</v>
      </c>
      <c r="K44" s="97">
        <f t="shared" si="19"/>
        <v>750</v>
      </c>
      <c r="L44" s="126">
        <f t="shared" si="16"/>
        <v>0.28836886416994711</v>
      </c>
      <c r="M44" s="91"/>
      <c r="N44" s="123">
        <f t="shared" si="1"/>
        <v>-10.361631135830054</v>
      </c>
      <c r="O44" s="93">
        <f t="shared" si="17"/>
        <v>-0.97292311134554499</v>
      </c>
      <c r="Q44" s="131"/>
      <c r="R44" s="87"/>
      <c r="S44" s="88"/>
      <c r="T44" s="87"/>
      <c r="U44" s="89"/>
      <c r="V44" s="90"/>
      <c r="W44" s="69"/>
      <c r="X44" s="131"/>
      <c r="Y44" s="87"/>
      <c r="Z44" s="88"/>
      <c r="AA44" s="87"/>
      <c r="AB44" s="89"/>
      <c r="AC44" s="90"/>
      <c r="AD44" s="69"/>
      <c r="AE44" s="131"/>
      <c r="AF44" s="87"/>
      <c r="AG44" s="88"/>
      <c r="AH44" s="87"/>
      <c r="AI44" s="89"/>
      <c r="AJ44" s="90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</row>
    <row r="45" spans="1:60" x14ac:dyDescent="0.25">
      <c r="A45" s="1"/>
      <c r="B45" s="271" t="str">
        <f>IF(Rates!D236='Residential BRT'!$A$37,Rates!B236," ")</f>
        <v>Rate Rider for Disposition of Capacity Based Recovery Account (2018) - Applicable only for Class B Customers</v>
      </c>
      <c r="C45" s="79"/>
      <c r="D45" s="271" t="str">
        <f>IF(Rates!D236='Residential BRT'!$A$37,Rates!E236," ")</f>
        <v>kWh</v>
      </c>
      <c r="E45" s="79"/>
      <c r="F45" s="273">
        <f>IF(Rates!$J$1="BRT 2018",Rates!J236," ")</f>
        <v>0</v>
      </c>
      <c r="G45" s="81">
        <f t="shared" si="18"/>
        <v>750</v>
      </c>
      <c r="H45" s="126">
        <f>G45*F45</f>
        <v>0</v>
      </c>
      <c r="I45" s="91"/>
      <c r="J45" s="337">
        <f>IF(Rates!$L$1="E+ 2019",Rates!L236," ")</f>
        <v>4.9568533837617714E-6</v>
      </c>
      <c r="K45" s="97">
        <f t="shared" si="19"/>
        <v>750</v>
      </c>
      <c r="L45" s="126">
        <f t="shared" ref="L45" si="20">K45*J45</f>
        <v>3.7176400378213285E-3</v>
      </c>
      <c r="M45" s="91"/>
      <c r="N45" s="123">
        <f t="shared" ref="N45" si="21">L45-H45</f>
        <v>3.7176400378213285E-3</v>
      </c>
      <c r="O45" s="93" t="str">
        <f t="shared" ref="O45" si="22">IF(OR(H45=0,L45=0),"",(N45/H45))</f>
        <v/>
      </c>
      <c r="Q45" s="131"/>
      <c r="R45" s="87"/>
      <c r="S45" s="88"/>
      <c r="T45" s="87"/>
      <c r="U45" s="89"/>
      <c r="V45" s="90"/>
      <c r="W45" s="69"/>
      <c r="X45" s="131"/>
      <c r="Y45" s="87"/>
      <c r="Z45" s="88"/>
      <c r="AA45" s="87"/>
      <c r="AB45" s="89"/>
      <c r="AC45" s="90"/>
      <c r="AD45" s="69"/>
      <c r="AE45" s="131"/>
      <c r="AF45" s="87"/>
      <c r="AG45" s="88"/>
      <c r="AH45" s="87"/>
      <c r="AI45" s="89"/>
      <c r="AJ45" s="90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</row>
    <row r="46" spans="1:60" hidden="1" x14ac:dyDescent="0.25">
      <c r="A46" s="1"/>
      <c r="B46" s="271"/>
      <c r="C46" s="79"/>
      <c r="D46" s="271"/>
      <c r="E46" s="79"/>
      <c r="F46" s="273"/>
      <c r="G46" s="81"/>
      <c r="H46" s="126"/>
      <c r="I46" s="91"/>
      <c r="J46" s="337"/>
      <c r="K46" s="97"/>
      <c r="L46" s="126"/>
      <c r="M46" s="91"/>
      <c r="N46" s="123"/>
      <c r="O46" s="93"/>
      <c r="Q46" s="131"/>
      <c r="R46" s="87"/>
      <c r="S46" s="88"/>
      <c r="T46" s="87"/>
      <c r="U46" s="89"/>
      <c r="V46" s="90"/>
      <c r="W46" s="69"/>
      <c r="X46" s="131"/>
      <c r="Y46" s="87"/>
      <c r="Z46" s="88"/>
      <c r="AA46" s="87"/>
      <c r="AB46" s="89"/>
      <c r="AC46" s="90"/>
      <c r="AD46" s="69"/>
      <c r="AE46" s="131"/>
      <c r="AF46" s="87"/>
      <c r="AG46" s="88"/>
      <c r="AH46" s="87"/>
      <c r="AI46" s="89"/>
      <c r="AJ46" s="90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</row>
    <row r="47" spans="1:60" x14ac:dyDescent="0.25">
      <c r="A47" s="1"/>
      <c r="B47" s="132" t="s">
        <v>80</v>
      </c>
      <c r="C47" s="133"/>
      <c r="D47" s="133"/>
      <c r="E47" s="133"/>
      <c r="F47" s="134"/>
      <c r="G47" s="135"/>
      <c r="H47" s="136">
        <f>SUM(H37:H43)+H36+H45+H46</f>
        <v>30.589752290304979</v>
      </c>
      <c r="I47" s="91"/>
      <c r="J47" s="135"/>
      <c r="K47" s="137"/>
      <c r="L47" s="136">
        <f>SUM(L37:L43)+L36+L45+L46</f>
        <v>29.447969932371493</v>
      </c>
      <c r="M47" s="91"/>
      <c r="N47" s="117">
        <f>L47-H47</f>
        <v>-1.1417823579334865</v>
      </c>
      <c r="O47" s="138">
        <f>IF(OR(H47=0,L47=0),"",(N47/H47))</f>
        <v>-3.7325649031010932E-2</v>
      </c>
      <c r="Q47" s="87"/>
      <c r="R47" s="87"/>
      <c r="S47" s="121"/>
      <c r="T47" s="87"/>
      <c r="U47" s="121"/>
      <c r="V47" s="139"/>
      <c r="W47" s="69"/>
      <c r="X47" s="87"/>
      <c r="Y47" s="87"/>
      <c r="Z47" s="121"/>
      <c r="AA47" s="87"/>
      <c r="AB47" s="121"/>
      <c r="AC47" s="139"/>
      <c r="AD47" s="69"/>
      <c r="AE47" s="87"/>
      <c r="AF47" s="87"/>
      <c r="AG47" s="121"/>
      <c r="AH47" s="87"/>
      <c r="AI47" s="121"/>
      <c r="AJ47" s="13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</row>
    <row r="48" spans="1:60" x14ac:dyDescent="0.25">
      <c r="A48" s="38" t="s">
        <v>16</v>
      </c>
      <c r="B48" s="271" t="str">
        <f>IF(Rates!D237='Residential BRT'!$A$48,Rates!B237," ")</f>
        <v>Retail Transmission Rate – Network Service Rate</v>
      </c>
      <c r="C48" s="79"/>
      <c r="D48" s="271" t="str">
        <f>IF(Rates!D237='Residential BRT'!$A$48,Rates!E237," ")</f>
        <v>kWh</v>
      </c>
      <c r="E48" s="91"/>
      <c r="F48" s="235">
        <f>IF(Rates!$J$1="BRT 2018",Rates!J237," ")</f>
        <v>6.1000000000000004E-3</v>
      </c>
      <c r="G48" s="140">
        <f>$F18*(1+$F68)</f>
        <v>787.12500000000011</v>
      </c>
      <c r="H48" s="82">
        <f>G48*F48</f>
        <v>4.8014625000000013</v>
      </c>
      <c r="I48" s="91"/>
      <c r="J48" s="235">
        <f>IF(Rates!$L$1="E+ 2019",Rates!L237," ")</f>
        <v>5.5481168316355673E-3</v>
      </c>
      <c r="K48" s="140">
        <f>$F18*(1+$J$68)</f>
        <v>773.01348745802022</v>
      </c>
      <c r="L48" s="82">
        <f>K48*J48</f>
        <v>4.2887691408471511</v>
      </c>
      <c r="M48" s="91"/>
      <c r="N48" s="84">
        <f t="shared" si="1"/>
        <v>-0.51269335915285019</v>
      </c>
      <c r="O48" s="85">
        <f>IF(OR(H48=0,L48=0),"",(N48/H48))</f>
        <v>-0.10677858239085489</v>
      </c>
      <c r="Q48" s="98"/>
      <c r="R48" s="141"/>
      <c r="S48" s="294">
        <f>F48*K48</f>
        <v>4.7153822734939235</v>
      </c>
      <c r="T48" s="87"/>
      <c r="U48" s="89"/>
      <c r="V48" s="90"/>
      <c r="W48" s="69"/>
      <c r="X48" s="98"/>
      <c r="Y48" s="141"/>
      <c r="Z48" s="88"/>
      <c r="AA48" s="87"/>
      <c r="AB48" s="89"/>
      <c r="AC48" s="90"/>
      <c r="AD48" s="69"/>
      <c r="AE48" s="98"/>
      <c r="AF48" s="141"/>
      <c r="AG48" s="88"/>
      <c r="AH48" s="87"/>
      <c r="AI48" s="89"/>
      <c r="AJ48" s="90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</row>
    <row r="49" spans="1:60" x14ac:dyDescent="0.25">
      <c r="A49" s="1"/>
      <c r="B49" s="271" t="str">
        <f>IF(Rates!D238='Residential BRT'!$A$48,Rates!B238," ")</f>
        <v>Retail Transmission Rate – Line and Transformation Connection Service Rate</v>
      </c>
      <c r="C49" s="79"/>
      <c r="D49" s="271" t="str">
        <f>IF(Rates!D238='Residential BRT'!$A$48,Rates!E238," ")</f>
        <v>kWh</v>
      </c>
      <c r="E49" s="91"/>
      <c r="F49" s="235">
        <f>IF(Rates!$J$1="BRT 2018",Rates!J238," ")</f>
        <v>3.3E-3</v>
      </c>
      <c r="G49" s="140">
        <f>$G48</f>
        <v>787.12500000000011</v>
      </c>
      <c r="H49" s="82">
        <f>G49*F49</f>
        <v>2.5975125000000006</v>
      </c>
      <c r="I49" s="91"/>
      <c r="J49" s="235">
        <f>IF(Rates!$L$1="E+ 2019",Rates!L238," ")</f>
        <v>4.137812914852752E-3</v>
      </c>
      <c r="K49" s="140">
        <f>$F$18*(1+$J$68)</f>
        <v>773.01348745802022</v>
      </c>
      <c r="L49" s="82">
        <f>K49*J49</f>
        <v>3.1985851917591619</v>
      </c>
      <c r="M49" s="91"/>
      <c r="N49" s="84">
        <f t="shared" si="1"/>
        <v>0.60107269175916134</v>
      </c>
      <c r="O49" s="85">
        <f>IF(OR(H49=0,L49=0),"",(N49/H49))</f>
        <v>0.23140319507958526</v>
      </c>
      <c r="Q49" s="98"/>
      <c r="R49" s="141"/>
      <c r="S49" s="295">
        <f>F49*K49</f>
        <v>2.5509445086114666</v>
      </c>
      <c r="T49" s="87"/>
      <c r="U49" s="89"/>
      <c r="V49" s="90"/>
      <c r="W49" s="69"/>
      <c r="X49" s="98"/>
      <c r="Y49" s="141"/>
      <c r="Z49" s="88"/>
      <c r="AA49" s="87"/>
      <c r="AB49" s="89"/>
      <c r="AC49" s="90"/>
      <c r="AD49" s="69"/>
      <c r="AE49" s="98"/>
      <c r="AF49" s="141"/>
      <c r="AG49" s="88"/>
      <c r="AH49" s="87"/>
      <c r="AI49" s="89"/>
      <c r="AJ49" s="90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</row>
    <row r="50" spans="1:60" x14ac:dyDescent="0.25">
      <c r="A50" s="1"/>
      <c r="B50" s="132" t="s">
        <v>81</v>
      </c>
      <c r="C50" s="110"/>
      <c r="D50" s="110"/>
      <c r="E50" s="110"/>
      <c r="F50" s="142"/>
      <c r="G50" s="135"/>
      <c r="H50" s="136">
        <f>SUM(H47:H49)</f>
        <v>37.988727290304979</v>
      </c>
      <c r="I50" s="277"/>
      <c r="J50" s="144"/>
      <c r="K50" s="145"/>
      <c r="L50" s="136">
        <f>SUM(L47:L49)</f>
        <v>36.935324264977808</v>
      </c>
      <c r="M50" s="277"/>
      <c r="N50" s="117">
        <f>L50-H50</f>
        <v>-1.0534030253271709</v>
      </c>
      <c r="O50" s="138">
        <f>IF(OR(H50=0,L50=0),"",(N50/H50))</f>
        <v>-2.7729358166626646E-2</v>
      </c>
      <c r="Q50" s="146"/>
      <c r="R50" s="146"/>
      <c r="S50" s="296">
        <f>S48+S49</f>
        <v>7.2663267821053896</v>
      </c>
      <c r="T50" s="146"/>
      <c r="U50" s="121"/>
      <c r="V50" s="139"/>
      <c r="W50" s="69"/>
      <c r="X50" s="146"/>
      <c r="Y50" s="146"/>
      <c r="Z50" s="121"/>
      <c r="AA50" s="146"/>
      <c r="AB50" s="121"/>
      <c r="AC50" s="139"/>
      <c r="AD50" s="69"/>
      <c r="AE50" s="146"/>
      <c r="AF50" s="146"/>
      <c r="AG50" s="121"/>
      <c r="AH50" s="146"/>
      <c r="AI50" s="121"/>
      <c r="AJ50" s="13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</row>
    <row r="51" spans="1:60" x14ac:dyDescent="0.25">
      <c r="A51" s="4" t="s">
        <v>17</v>
      </c>
      <c r="B51" s="271" t="str">
        <f>IF(Rates!D8='Residential BRT'!$A$51,Rates!B8," ")</f>
        <v>Standard Supply Service – Administrative Charge (if applicable)</v>
      </c>
      <c r="C51" s="79"/>
      <c r="D51" s="271" t="str">
        <f>IF(Rates!D8='Residential BRT'!$A$51,Rates!E8," ")</f>
        <v>customer</v>
      </c>
      <c r="E51" s="79"/>
      <c r="F51" s="235">
        <f>IF(Rates!$J$1="BRT 2018",Rates!J8," ")</f>
        <v>0.25</v>
      </c>
      <c r="G51" s="81">
        <f t="shared" ref="G51" si="23">IF(D51="customer",1,IF(D51="kWh",$F$18,$F$19))</f>
        <v>1</v>
      </c>
      <c r="H51" s="148">
        <f t="shared" ref="H51:H59" si="24">G51*F51</f>
        <v>0.25</v>
      </c>
      <c r="I51" s="91"/>
      <c r="J51" s="80">
        <f>IF(Rates!$L$1="E+ 2019",Rates!L8," ")</f>
        <v>0.25</v>
      </c>
      <c r="K51" s="97">
        <f t="shared" ref="K51" si="25">IF(D51="customer",1,IF(D51="kWh",$F$18,$F$19))</f>
        <v>1</v>
      </c>
      <c r="L51" s="148">
        <f t="shared" ref="L51:L59" si="26">K51*J51</f>
        <v>0.25</v>
      </c>
      <c r="M51" s="91"/>
      <c r="N51" s="149">
        <f t="shared" si="1"/>
        <v>0</v>
      </c>
      <c r="O51" s="85">
        <f>IF(OR(H51=0,L51=0),"",(N51/H51))</f>
        <v>0</v>
      </c>
      <c r="Q51" s="150"/>
      <c r="R51" s="141"/>
      <c r="S51" s="151"/>
      <c r="T51" s="87"/>
      <c r="U51" s="89"/>
      <c r="V51" s="90"/>
      <c r="W51" s="69"/>
      <c r="X51" s="150"/>
      <c r="Y51" s="141"/>
      <c r="Z51" s="151"/>
      <c r="AA51" s="87"/>
      <c r="AB51" s="89"/>
      <c r="AC51" s="90"/>
      <c r="AD51" s="69"/>
      <c r="AE51" s="150"/>
      <c r="AF51" s="141"/>
      <c r="AG51" s="151"/>
      <c r="AH51" s="87"/>
      <c r="AI51" s="89"/>
      <c r="AJ51" s="90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</row>
    <row r="52" spans="1:60" x14ac:dyDescent="0.25">
      <c r="A52" s="1"/>
      <c r="B52" s="271" t="str">
        <f>IF(Rates!D9='Residential BRT'!$A$51,Rates!B9," ")</f>
        <v xml:space="preserve">Wholesale Market Service Rate </v>
      </c>
      <c r="C52" s="79"/>
      <c r="D52" s="271" t="str">
        <f>IF(Rates!D9='Residential BRT'!$A$51,Rates!E9," ")</f>
        <v>kWh</v>
      </c>
      <c r="E52" s="79"/>
      <c r="F52" s="235">
        <f>IF(Rates!$J$1="BRT 2018",Rates!J9," ")</f>
        <v>3.2000000000000002E-3</v>
      </c>
      <c r="G52" s="140">
        <f>G48</f>
        <v>787.12500000000011</v>
      </c>
      <c r="H52" s="148">
        <f t="shared" si="24"/>
        <v>2.5188000000000006</v>
      </c>
      <c r="I52" s="91"/>
      <c r="J52" s="235">
        <f>IF(Rates!$L$1="E+ 2019",Rates!L9," ")</f>
        <v>3.2000000000000002E-3</v>
      </c>
      <c r="K52" s="140">
        <f t="shared" ref="K52:K54" si="27">$F$18*(1+$J$68)</f>
        <v>773.01348745802022</v>
      </c>
      <c r="L52" s="148">
        <f t="shared" si="26"/>
        <v>2.4736431598656647</v>
      </c>
      <c r="M52" s="91"/>
      <c r="N52" s="84">
        <f t="shared" si="1"/>
        <v>-4.5156840134335852E-2</v>
      </c>
      <c r="O52" s="85">
        <f t="shared" ref="O52:O65" si="28">IF(OR(H52=0,L52=0),"",(N52/H52))</f>
        <v>-1.7927918109550516E-2</v>
      </c>
      <c r="Q52" s="150"/>
      <c r="R52" s="141"/>
      <c r="S52" s="151"/>
      <c r="T52" s="87"/>
      <c r="U52" s="89"/>
      <c r="V52" s="90"/>
      <c r="W52" s="69"/>
      <c r="X52" s="150"/>
      <c r="Y52" s="141"/>
      <c r="Z52" s="151"/>
      <c r="AA52" s="87"/>
      <c r="AB52" s="89"/>
      <c r="AC52" s="90"/>
      <c r="AD52" s="69"/>
      <c r="AE52" s="150"/>
      <c r="AF52" s="141"/>
      <c r="AG52" s="151"/>
      <c r="AH52" s="87"/>
      <c r="AI52" s="89"/>
      <c r="AJ52" s="90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</row>
    <row r="53" spans="1:60" x14ac:dyDescent="0.25">
      <c r="A53" s="1"/>
      <c r="B53" s="271" t="str">
        <f>IF(Rates!D10='Residential BRT'!$A$51,Rates!B10," ")</f>
        <v>Capacity Based Rcovery(CBR) - Class B Customers</v>
      </c>
      <c r="C53" s="79"/>
      <c r="D53" s="271" t="str">
        <f>IF(Rates!D10='Residential BRT'!$A$51,Rates!E10," ")</f>
        <v>kWh</v>
      </c>
      <c r="E53" s="79"/>
      <c r="F53" s="235">
        <f>IF(Rates!$J$1="BRT 2018",Rates!J10," ")</f>
        <v>4.0000000000000002E-4</v>
      </c>
      <c r="G53" s="140">
        <f>G48</f>
        <v>787.12500000000011</v>
      </c>
      <c r="H53" s="148">
        <f t="shared" si="24"/>
        <v>0.31485000000000007</v>
      </c>
      <c r="I53" s="91"/>
      <c r="J53" s="235">
        <f>IF(Rates!$L$1="E+ 2019",Rates!L10," ")</f>
        <v>4.0000000000000002E-4</v>
      </c>
      <c r="K53" s="140">
        <f t="shared" si="27"/>
        <v>773.01348745802022</v>
      </c>
      <c r="L53" s="148">
        <f t="shared" si="26"/>
        <v>0.30920539498320809</v>
      </c>
      <c r="M53" s="91"/>
      <c r="N53" s="84">
        <f t="shared" si="1"/>
        <v>-5.6446050167919815E-3</v>
      </c>
      <c r="O53" s="85">
        <f t="shared" si="28"/>
        <v>-1.7927918109550516E-2</v>
      </c>
      <c r="Q53" s="150"/>
      <c r="R53" s="141"/>
      <c r="S53" s="151"/>
      <c r="T53" s="87"/>
      <c r="U53" s="89"/>
      <c r="V53" s="90"/>
      <c r="W53" s="69"/>
      <c r="X53" s="150"/>
      <c r="Y53" s="141"/>
      <c r="Z53" s="151"/>
      <c r="AA53" s="87"/>
      <c r="AB53" s="89"/>
      <c r="AC53" s="90"/>
      <c r="AD53" s="69"/>
      <c r="AE53" s="150"/>
      <c r="AF53" s="141"/>
      <c r="AG53" s="151"/>
      <c r="AH53" s="87"/>
      <c r="AI53" s="89"/>
      <c r="AJ53" s="90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</row>
    <row r="54" spans="1:60" x14ac:dyDescent="0.25">
      <c r="A54" s="1"/>
      <c r="B54" s="271" t="str">
        <f>IF(Rates!D11='Residential BRT'!$A$51,Rates!B11," ")</f>
        <v xml:space="preserve">Rural Rate Protection Charge </v>
      </c>
      <c r="C54" s="79"/>
      <c r="D54" s="271" t="str">
        <f>IF(Rates!D11='Residential BRT'!$A$51,Rates!E11," ")</f>
        <v>kWh</v>
      </c>
      <c r="E54" s="79"/>
      <c r="F54" s="235">
        <f>IF(Rates!$J$1="BRT 2018",Rates!J11," ")</f>
        <v>2.9999999999999997E-4</v>
      </c>
      <c r="G54" s="140">
        <f>G49</f>
        <v>787.12500000000011</v>
      </c>
      <c r="H54" s="148">
        <f t="shared" si="24"/>
        <v>0.2361375</v>
      </c>
      <c r="I54" s="91"/>
      <c r="J54" s="235">
        <f>IF(Rates!$L$1="E+ 2019",Rates!L11," ")</f>
        <v>2.9999999999999997E-4</v>
      </c>
      <c r="K54" s="140">
        <f t="shared" si="27"/>
        <v>773.01348745802022</v>
      </c>
      <c r="L54" s="148">
        <f t="shared" si="26"/>
        <v>0.23190404623740604</v>
      </c>
      <c r="M54" s="91"/>
      <c r="N54" s="84">
        <f t="shared" si="1"/>
        <v>-4.2334537625939583E-3</v>
      </c>
      <c r="O54" s="85">
        <f t="shared" si="28"/>
        <v>-1.7927918109550404E-2</v>
      </c>
      <c r="Q54" s="153"/>
      <c r="R54" s="87"/>
      <c r="S54" s="151"/>
      <c r="T54" s="87"/>
      <c r="U54" s="89"/>
      <c r="V54" s="90"/>
      <c r="W54" s="69"/>
      <c r="X54" s="153"/>
      <c r="Y54" s="87"/>
      <c r="Z54" s="151"/>
      <c r="AA54" s="87"/>
      <c r="AB54" s="89"/>
      <c r="AC54" s="90"/>
      <c r="AD54" s="69"/>
      <c r="AE54" s="153"/>
      <c r="AF54" s="87"/>
      <c r="AG54" s="151"/>
      <c r="AH54" s="87"/>
      <c r="AI54" s="89"/>
      <c r="AJ54" s="90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</row>
    <row r="55" spans="1:60" x14ac:dyDescent="0.25">
      <c r="A55" s="6" t="s">
        <v>14</v>
      </c>
      <c r="B55" s="271" t="str">
        <f>IF(Rates!D2='Residential BRT'!$A$55,Rates!B2," ")</f>
        <v>TOU - Off Peak</v>
      </c>
      <c r="C55" s="79"/>
      <c r="D55" s="271" t="str">
        <f>IF(Rates!D2='Residential BRT'!$A$55,Rates!E2," ")</f>
        <v>kWh</v>
      </c>
      <c r="E55" s="79"/>
      <c r="F55" s="235">
        <f>IF(Rates!$J$1="BRT 2018",Rates!J2," ")</f>
        <v>6.5000000000000002E-2</v>
      </c>
      <c r="G55" s="154">
        <f>IF($D$16="TOU",0.65*$F$18,0)</f>
        <v>487.5</v>
      </c>
      <c r="H55" s="148">
        <f t="shared" si="24"/>
        <v>31.6875</v>
      </c>
      <c r="I55" s="91"/>
      <c r="J55" s="235">
        <f>IF(Rates!$L$1="E+ 2019",Rates!L2," ")</f>
        <v>6.5000000000000002E-2</v>
      </c>
      <c r="K55" s="154">
        <f>$G55</f>
        <v>487.5</v>
      </c>
      <c r="L55" s="155">
        <f t="shared" si="26"/>
        <v>31.6875</v>
      </c>
      <c r="M55" s="91"/>
      <c r="N55" s="84">
        <f t="shared" si="1"/>
        <v>0</v>
      </c>
      <c r="O55" s="156">
        <f t="shared" si="28"/>
        <v>0</v>
      </c>
      <c r="Q55" s="157"/>
      <c r="R55" s="158"/>
      <c r="S55" s="151"/>
      <c r="T55" s="87"/>
      <c r="U55" s="89"/>
      <c r="V55" s="90"/>
      <c r="W55" s="69"/>
      <c r="X55" s="157"/>
      <c r="Y55" s="158"/>
      <c r="Z55" s="151"/>
      <c r="AA55" s="87"/>
      <c r="AB55" s="89"/>
      <c r="AC55" s="90"/>
      <c r="AD55" s="69"/>
      <c r="AE55" s="157"/>
      <c r="AF55" s="158"/>
      <c r="AG55" s="151"/>
      <c r="AH55" s="87"/>
      <c r="AI55" s="89"/>
      <c r="AJ55" s="90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</row>
    <row r="56" spans="1:60" x14ac:dyDescent="0.25">
      <c r="A56" s="1"/>
      <c r="B56" s="271" t="str">
        <f>IF(Rates!D3='Residential BRT'!$A$55,Rates!B3," ")</f>
        <v>TOU - Mid Peak</v>
      </c>
      <c r="C56" s="79"/>
      <c r="D56" s="271" t="str">
        <f>IF(Rates!D3='Residential BRT'!$A$55,Rates!E3," ")</f>
        <v>kWh</v>
      </c>
      <c r="E56" s="79"/>
      <c r="F56" s="235">
        <f>IF(Rates!$J$1="BRT 2018",Rates!J3," ")</f>
        <v>9.5000000000000001E-2</v>
      </c>
      <c r="G56" s="154">
        <f>IF($D$16="TOU",0.17*$F$18,0)</f>
        <v>127.50000000000001</v>
      </c>
      <c r="H56" s="155">
        <f t="shared" si="24"/>
        <v>12.112500000000001</v>
      </c>
      <c r="I56" s="91"/>
      <c r="J56" s="235">
        <f>IF(Rates!$L$1="E+ 2019",Rates!L3," ")</f>
        <v>9.5000000000000001E-2</v>
      </c>
      <c r="K56" s="154">
        <f>$G56</f>
        <v>127.50000000000001</v>
      </c>
      <c r="L56" s="155">
        <f t="shared" si="26"/>
        <v>12.112500000000001</v>
      </c>
      <c r="M56" s="91"/>
      <c r="N56" s="84">
        <f t="shared" si="1"/>
        <v>0</v>
      </c>
      <c r="O56" s="156">
        <f t="shared" si="28"/>
        <v>0</v>
      </c>
      <c r="Q56" s="157"/>
      <c r="R56" s="158"/>
      <c r="S56" s="151"/>
      <c r="T56" s="87"/>
      <c r="U56" s="89"/>
      <c r="V56" s="90"/>
      <c r="W56" s="69"/>
      <c r="X56" s="157"/>
      <c r="Y56" s="158"/>
      <c r="Z56" s="151"/>
      <c r="AA56" s="87"/>
      <c r="AB56" s="89"/>
      <c r="AC56" s="90"/>
      <c r="AD56" s="69"/>
      <c r="AE56" s="157"/>
      <c r="AF56" s="158"/>
      <c r="AG56" s="151"/>
      <c r="AH56" s="87"/>
      <c r="AI56" s="89"/>
      <c r="AJ56" s="90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</row>
    <row r="57" spans="1:60" x14ac:dyDescent="0.25">
      <c r="A57" s="1"/>
      <c r="B57" s="271" t="str">
        <f>IF(Rates!D4='Residential BRT'!$A$55,Rates!B4," ")</f>
        <v>TOU - On Peak</v>
      </c>
      <c r="C57" s="79"/>
      <c r="D57" s="271" t="str">
        <f>IF(Rates!D4='Residential BRT'!$A$55,Rates!E4," ")</f>
        <v>kWh</v>
      </c>
      <c r="E57" s="79"/>
      <c r="F57" s="235">
        <f>IF(Rates!$J$1="BRT 2018",Rates!J4," ")</f>
        <v>0.13200000000000001</v>
      </c>
      <c r="G57" s="154">
        <f>IF($D$16="TOU",0.18*$F$18,0)</f>
        <v>135</v>
      </c>
      <c r="H57" s="155">
        <f t="shared" si="24"/>
        <v>17.82</v>
      </c>
      <c r="I57" s="91"/>
      <c r="J57" s="235">
        <f>IF(Rates!$L$1="E+ 2019",Rates!L4," ")</f>
        <v>0.13200000000000001</v>
      </c>
      <c r="K57" s="154">
        <f>$G57</f>
        <v>135</v>
      </c>
      <c r="L57" s="155">
        <f t="shared" si="26"/>
        <v>17.82</v>
      </c>
      <c r="M57" s="91"/>
      <c r="N57" s="84">
        <f t="shared" si="1"/>
        <v>0</v>
      </c>
      <c r="O57" s="156">
        <f t="shared" si="28"/>
        <v>0</v>
      </c>
      <c r="Q57" s="157"/>
      <c r="R57" s="158"/>
      <c r="S57" s="151"/>
      <c r="T57" s="87"/>
      <c r="U57" s="89"/>
      <c r="V57" s="90"/>
      <c r="W57" s="69"/>
      <c r="X57" s="157"/>
      <c r="Y57" s="158"/>
      <c r="Z57" s="151"/>
      <c r="AA57" s="87"/>
      <c r="AB57" s="89"/>
      <c r="AC57" s="90"/>
      <c r="AD57" s="69"/>
      <c r="AE57" s="157"/>
      <c r="AF57" s="158"/>
      <c r="AG57" s="151"/>
      <c r="AH57" s="87"/>
      <c r="AI57" s="89"/>
      <c r="AJ57" s="90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</row>
    <row r="58" spans="1:60" x14ac:dyDescent="0.25">
      <c r="A58" s="159"/>
      <c r="B58" s="271" t="str">
        <f>IF(Rates!D5='Residential BRT'!$A$55,Rates!B5," ")</f>
        <v>Commodity</v>
      </c>
      <c r="C58" s="79"/>
      <c r="D58" s="271" t="str">
        <f>IF(Rates!D5='Residential BRT'!$A$55,Rates!E5," ")</f>
        <v>kWh</v>
      </c>
      <c r="E58" s="161"/>
      <c r="F58" s="235">
        <f>IF(Rates!$J$1="BRT 2018",Rates!J5," ")</f>
        <v>1.8855833333333332E-2</v>
      </c>
      <c r="G58" s="162">
        <f>IF($D$16="TOU", 0,$F$18)</f>
        <v>0</v>
      </c>
      <c r="H58" s="155">
        <f t="shared" si="24"/>
        <v>0</v>
      </c>
      <c r="I58" s="278"/>
      <c r="J58" s="235">
        <f>IF(Rates!$L$1="E+ 2019",Rates!L5," ")</f>
        <v>1.8855833333333332E-2</v>
      </c>
      <c r="K58" s="162">
        <f>G58</f>
        <v>0</v>
      </c>
      <c r="L58" s="155">
        <f t="shared" si="26"/>
        <v>0</v>
      </c>
      <c r="M58" s="278"/>
      <c r="N58" s="164">
        <f t="shared" si="1"/>
        <v>0</v>
      </c>
      <c r="O58" s="156" t="str">
        <f t="shared" si="28"/>
        <v/>
      </c>
      <c r="Q58" s="157"/>
      <c r="R58" s="165"/>
      <c r="S58" s="151"/>
      <c r="T58" s="166"/>
      <c r="U58" s="89"/>
      <c r="V58" s="90"/>
      <c r="W58" s="69"/>
      <c r="X58" s="157"/>
      <c r="Y58" s="165"/>
      <c r="Z58" s="151"/>
      <c r="AA58" s="166"/>
      <c r="AB58" s="89"/>
      <c r="AC58" s="90"/>
      <c r="AD58" s="69"/>
      <c r="AE58" s="157"/>
      <c r="AF58" s="165"/>
      <c r="AG58" s="151"/>
      <c r="AH58" s="166"/>
      <c r="AI58" s="89"/>
      <c r="AJ58" s="90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</row>
    <row r="59" spans="1:60" x14ac:dyDescent="0.25">
      <c r="A59" s="159"/>
      <c r="B59" s="271" t="str">
        <f>IF(Rates!D6='Residential BRT'!$A$55,Rates!B6," ")</f>
        <v>Global Adjustment</v>
      </c>
      <c r="C59" s="79"/>
      <c r="D59" s="271" t="str">
        <f>IF(Rates!D6='Residential BRT'!$A$55,Rates!E6," ")</f>
        <v>kWh</v>
      </c>
      <c r="E59" s="161"/>
      <c r="F59" s="235">
        <f>IF(Rates!$J$1="BRT 2018",Rates!J6," ")</f>
        <v>0.10303000000000001</v>
      </c>
      <c r="G59" s="162">
        <f>IF($D$16="TOU", 0,$F$18)</f>
        <v>0</v>
      </c>
      <c r="H59" s="155">
        <f t="shared" si="24"/>
        <v>0</v>
      </c>
      <c r="I59" s="278"/>
      <c r="J59" s="235">
        <f>IF(Rates!$L$1="E+ 2019",Rates!L6," ")</f>
        <v>0.10303000000000001</v>
      </c>
      <c r="K59" s="162">
        <f>$G59</f>
        <v>0</v>
      </c>
      <c r="L59" s="155">
        <f t="shared" si="26"/>
        <v>0</v>
      </c>
      <c r="M59" s="278"/>
      <c r="N59" s="164">
        <f t="shared" si="1"/>
        <v>0</v>
      </c>
      <c r="O59" s="156" t="str">
        <f t="shared" si="28"/>
        <v/>
      </c>
      <c r="Q59" s="157"/>
      <c r="R59" s="165"/>
      <c r="S59" s="151"/>
      <c r="T59" s="166"/>
      <c r="U59" s="89"/>
      <c r="V59" s="90"/>
      <c r="W59" s="69"/>
      <c r="X59" s="157"/>
      <c r="Y59" s="165"/>
      <c r="Z59" s="151"/>
      <c r="AA59" s="166"/>
      <c r="AB59" s="89"/>
      <c r="AC59" s="90"/>
      <c r="AD59" s="69"/>
      <c r="AE59" s="157"/>
      <c r="AF59" s="165"/>
      <c r="AG59" s="151"/>
      <c r="AH59" s="166"/>
      <c r="AI59" s="89"/>
      <c r="AJ59" s="90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</row>
    <row r="60" spans="1:60" hidden="1" x14ac:dyDescent="0.25">
      <c r="A60" s="159"/>
      <c r="B60" s="167"/>
      <c r="C60" s="160"/>
      <c r="D60" s="160"/>
      <c r="E60" s="161"/>
      <c r="F60" s="147"/>
      <c r="G60" s="162"/>
      <c r="H60" s="155"/>
      <c r="I60" s="278"/>
      <c r="J60" s="169">
        <f t="shared" ref="J60" si="29">+F60</f>
        <v>0</v>
      </c>
      <c r="K60" s="168"/>
      <c r="L60" s="155"/>
      <c r="M60" s="278"/>
      <c r="N60" s="164">
        <f t="shared" si="1"/>
        <v>0</v>
      </c>
      <c r="O60" s="156" t="str">
        <f t="shared" si="28"/>
        <v/>
      </c>
      <c r="Q60" s="157"/>
      <c r="R60" s="165"/>
      <c r="S60" s="151"/>
      <c r="T60" s="166"/>
      <c r="U60" s="89"/>
      <c r="V60" s="90"/>
      <c r="W60" s="69"/>
      <c r="X60" s="157"/>
      <c r="Y60" s="165"/>
      <c r="Z60" s="151"/>
      <c r="AA60" s="166"/>
      <c r="AB60" s="89"/>
      <c r="AC60" s="90"/>
      <c r="AD60" s="69"/>
      <c r="AE60" s="157"/>
      <c r="AF60" s="165"/>
      <c r="AG60" s="151"/>
      <c r="AH60" s="166"/>
      <c r="AI60" s="89"/>
      <c r="AJ60" s="90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</row>
    <row r="61" spans="1:60" x14ac:dyDescent="0.25">
      <c r="A61" s="1"/>
      <c r="B61" s="170"/>
      <c r="C61" s="171"/>
      <c r="D61" s="171"/>
      <c r="E61" s="171"/>
      <c r="F61" s="387"/>
      <c r="G61" s="172"/>
      <c r="H61" s="388"/>
      <c r="I61" s="87"/>
      <c r="J61" s="387"/>
      <c r="K61" s="173"/>
      <c r="L61" s="388"/>
      <c r="M61" s="87"/>
      <c r="N61" s="394"/>
      <c r="O61" s="395"/>
      <c r="Q61" s="157"/>
      <c r="R61" s="120"/>
      <c r="S61" s="151"/>
      <c r="T61" s="87"/>
      <c r="U61" s="89"/>
      <c r="V61" s="174"/>
      <c r="W61" s="69"/>
      <c r="X61" s="157"/>
      <c r="Y61" s="120"/>
      <c r="Z61" s="151"/>
      <c r="AA61" s="87"/>
      <c r="AB61" s="89"/>
      <c r="AC61" s="174"/>
      <c r="AD61" s="69"/>
      <c r="AE61" s="157"/>
      <c r="AF61" s="120"/>
      <c r="AG61" s="151"/>
      <c r="AH61" s="87"/>
      <c r="AI61" s="89"/>
      <c r="AJ61" s="174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</row>
    <row r="62" spans="1:60" x14ac:dyDescent="0.25">
      <c r="A62" s="1"/>
      <c r="B62" s="175" t="s">
        <v>82</v>
      </c>
      <c r="C62" s="78"/>
      <c r="D62" s="78"/>
      <c r="E62" s="78"/>
      <c r="F62" s="176"/>
      <c r="G62" s="177"/>
      <c r="H62" s="179">
        <f>SUM(H51:H57,H50)</f>
        <v>102.92851479030497</v>
      </c>
      <c r="I62" s="146"/>
      <c r="J62" s="178"/>
      <c r="K62" s="178"/>
      <c r="L62" s="179">
        <f>SUM(L51:L57,L50)</f>
        <v>101.8200768660641</v>
      </c>
      <c r="M62" s="146"/>
      <c r="N62" s="179">
        <f>L62-H62</f>
        <v>-1.1084379242408744</v>
      </c>
      <c r="O62" s="180">
        <f t="shared" si="28"/>
        <v>-1.0769007271688334E-2</v>
      </c>
      <c r="Q62" s="181"/>
      <c r="R62" s="181"/>
      <c r="S62" s="121"/>
      <c r="T62" s="146"/>
      <c r="U62" s="89"/>
      <c r="V62" s="90"/>
      <c r="W62" s="69"/>
      <c r="X62" s="181"/>
      <c r="Y62" s="181"/>
      <c r="Z62" s="121"/>
      <c r="AA62" s="146"/>
      <c r="AB62" s="89"/>
      <c r="AC62" s="90"/>
      <c r="AD62" s="69"/>
      <c r="AE62" s="181"/>
      <c r="AF62" s="181"/>
      <c r="AG62" s="121"/>
      <c r="AH62" s="146"/>
      <c r="AI62" s="89"/>
      <c r="AJ62" s="90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</row>
    <row r="63" spans="1:60" x14ac:dyDescent="0.25">
      <c r="A63" s="1"/>
      <c r="B63" s="182" t="s">
        <v>9</v>
      </c>
      <c r="C63" s="78"/>
      <c r="D63" s="78"/>
      <c r="E63" s="78"/>
      <c r="F63" s="183">
        <v>0.13</v>
      </c>
      <c r="G63" s="87"/>
      <c r="H63" s="188">
        <f>$H$62*F63</f>
        <v>13.380706922739646</v>
      </c>
      <c r="I63" s="187"/>
      <c r="J63" s="185">
        <v>0.13</v>
      </c>
      <c r="K63" s="184"/>
      <c r="L63" s="186">
        <f>$L$62*J63</f>
        <v>13.236609992588333</v>
      </c>
      <c r="M63" s="187"/>
      <c r="N63" s="188">
        <f>L63-H63</f>
        <v>-0.14409693015131353</v>
      </c>
      <c r="O63" s="85">
        <f t="shared" si="28"/>
        <v>-1.0769007271688322E-2</v>
      </c>
      <c r="Q63" s="189"/>
      <c r="R63" s="187"/>
      <c r="S63" s="190"/>
      <c r="T63" s="187"/>
      <c r="U63" s="89"/>
      <c r="V63" s="90"/>
      <c r="W63" s="69"/>
      <c r="X63" s="189"/>
      <c r="Y63" s="187"/>
      <c r="Z63" s="190"/>
      <c r="AA63" s="187"/>
      <c r="AB63" s="89"/>
      <c r="AC63" s="90"/>
      <c r="AD63" s="69"/>
      <c r="AE63" s="189"/>
      <c r="AF63" s="187"/>
      <c r="AG63" s="190"/>
      <c r="AH63" s="187"/>
      <c r="AI63" s="89"/>
      <c r="AJ63" s="90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</row>
    <row r="64" spans="1:60" x14ac:dyDescent="0.25">
      <c r="A64" s="1"/>
      <c r="B64" s="182" t="s">
        <v>106</v>
      </c>
      <c r="C64" s="78"/>
      <c r="D64" s="78"/>
      <c r="E64" s="78"/>
      <c r="F64" s="183">
        <v>-0.05</v>
      </c>
      <c r="G64" s="87"/>
      <c r="H64" s="188">
        <f>$H$62*F64</f>
        <v>-5.1464257395152488</v>
      </c>
      <c r="I64" s="187"/>
      <c r="J64" s="183">
        <v>-0.05</v>
      </c>
      <c r="K64" s="184"/>
      <c r="L64" s="186">
        <f>$L$62*J64</f>
        <v>-5.0910038433032057</v>
      </c>
      <c r="M64" s="187"/>
      <c r="N64" s="188">
        <f>L64-H64</f>
        <v>5.5421896212043187E-2</v>
      </c>
      <c r="O64" s="85">
        <f t="shared" si="28"/>
        <v>-1.076900727168823E-2</v>
      </c>
      <c r="Q64" s="189"/>
      <c r="R64" s="187"/>
      <c r="S64" s="190"/>
      <c r="T64" s="187"/>
      <c r="U64" s="89"/>
      <c r="V64" s="90"/>
      <c r="W64" s="69"/>
      <c r="X64" s="189"/>
      <c r="Y64" s="187"/>
      <c r="Z64" s="190"/>
      <c r="AA64" s="187"/>
      <c r="AB64" s="89"/>
      <c r="AC64" s="90"/>
      <c r="AD64" s="69"/>
      <c r="AE64" s="189"/>
      <c r="AF64" s="187"/>
      <c r="AG64" s="190"/>
      <c r="AH64" s="187"/>
      <c r="AI64" s="89"/>
      <c r="AJ64" s="90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</row>
    <row r="65" spans="1:60" ht="15.75" thickBot="1" x14ac:dyDescent="0.3">
      <c r="A65" s="1"/>
      <c r="B65" s="191" t="s">
        <v>83</v>
      </c>
      <c r="C65" s="192"/>
      <c r="D65" s="192"/>
      <c r="E65" s="192"/>
      <c r="F65" s="193"/>
      <c r="G65" s="194"/>
      <c r="H65" s="389">
        <f>SUM(H62:H64)</f>
        <v>111.16279597352937</v>
      </c>
      <c r="I65" s="187"/>
      <c r="J65" s="195"/>
      <c r="K65" s="195"/>
      <c r="L65" s="389">
        <f>SUM(L62:L64)</f>
        <v>109.96568301534921</v>
      </c>
      <c r="M65" s="187"/>
      <c r="N65" s="196">
        <f>L65-H65</f>
        <v>-1.1971129581801563</v>
      </c>
      <c r="O65" s="197">
        <f t="shared" si="28"/>
        <v>-1.076900727168844E-2</v>
      </c>
      <c r="Q65" s="187"/>
      <c r="R65" s="187"/>
      <c r="S65" s="190"/>
      <c r="T65" s="187"/>
      <c r="U65" s="89"/>
      <c r="V65" s="90"/>
      <c r="W65" s="69"/>
      <c r="X65" s="187"/>
      <c r="Y65" s="187"/>
      <c r="Z65" s="190"/>
      <c r="AA65" s="187"/>
      <c r="AB65" s="89"/>
      <c r="AC65" s="90"/>
      <c r="AD65" s="69"/>
      <c r="AE65" s="187"/>
      <c r="AF65" s="187"/>
      <c r="AG65" s="190"/>
      <c r="AH65" s="187"/>
      <c r="AI65" s="89"/>
      <c r="AJ65" s="90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</row>
    <row r="66" spans="1:60" ht="15.75" thickBot="1" x14ac:dyDescent="0.3">
      <c r="A66" s="159"/>
      <c r="B66" s="198" t="s">
        <v>67</v>
      </c>
      <c r="C66" s="199"/>
      <c r="D66" s="199"/>
      <c r="E66" s="199"/>
      <c r="F66" s="390"/>
      <c r="G66" s="391"/>
      <c r="H66" s="392"/>
      <c r="I66" s="166"/>
      <c r="J66" s="390"/>
      <c r="K66" s="393"/>
      <c r="L66" s="392"/>
      <c r="M66" s="166"/>
      <c r="N66" s="396"/>
      <c r="O66" s="397"/>
      <c r="Q66" s="157"/>
      <c r="R66" s="206"/>
      <c r="S66" s="151"/>
      <c r="T66" s="166"/>
      <c r="U66" s="207"/>
      <c r="V66" s="174"/>
      <c r="W66" s="69"/>
      <c r="X66" s="157"/>
      <c r="Y66" s="206"/>
      <c r="Z66" s="151"/>
      <c r="AA66" s="166"/>
      <c r="AB66" s="207"/>
      <c r="AC66" s="174"/>
      <c r="AD66" s="69"/>
      <c r="AE66" s="157"/>
      <c r="AF66" s="206"/>
      <c r="AG66" s="151"/>
      <c r="AH66" s="166"/>
      <c r="AI66" s="207"/>
      <c r="AJ66" s="174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</row>
    <row r="67" spans="1:60" x14ac:dyDescent="0.25">
      <c r="A67" s="1"/>
      <c r="B67" s="1"/>
      <c r="C67" s="1"/>
      <c r="D67" s="1"/>
      <c r="E67" s="1"/>
      <c r="F67" s="1"/>
      <c r="G67" s="1"/>
      <c r="H67" s="1"/>
      <c r="I67" s="3"/>
      <c r="J67" s="1"/>
      <c r="K67" s="1"/>
      <c r="L67" s="67"/>
      <c r="M67" s="3"/>
      <c r="N67" s="1"/>
      <c r="O67" s="1"/>
      <c r="Q67" s="2"/>
      <c r="R67" s="2"/>
      <c r="S67" s="208"/>
      <c r="T67" s="2"/>
      <c r="U67" s="2"/>
      <c r="V67" s="2"/>
      <c r="W67" s="69"/>
      <c r="X67" s="2"/>
      <c r="Y67" s="2"/>
      <c r="Z67" s="208"/>
      <c r="AA67" s="2"/>
      <c r="AB67" s="2"/>
      <c r="AC67" s="2"/>
      <c r="AD67" s="69"/>
      <c r="AE67" s="2"/>
      <c r="AF67" s="2"/>
      <c r="AG67" s="208"/>
      <c r="AH67" s="2"/>
      <c r="AI67" s="2"/>
      <c r="AJ67" s="2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</row>
    <row r="68" spans="1:60" x14ac:dyDescent="0.25">
      <c r="A68" s="1"/>
      <c r="B68" s="65" t="s">
        <v>10</v>
      </c>
      <c r="C68" s="1"/>
      <c r="D68" s="1"/>
      <c r="E68" s="1"/>
      <c r="F68" s="209">
        <f>Rates!$S$2-1</f>
        <v>4.9500000000000099E-2</v>
      </c>
      <c r="G68" s="1"/>
      <c r="H68" s="1"/>
      <c r="I68" s="1"/>
      <c r="J68" s="209">
        <f>Rates!$T$2-1</f>
        <v>3.0684649944026976E-2</v>
      </c>
      <c r="K68" s="1"/>
      <c r="L68" s="1"/>
      <c r="M68" s="3"/>
      <c r="N68" s="1"/>
      <c r="O68" s="1"/>
      <c r="Q68" s="210"/>
      <c r="R68" s="2"/>
      <c r="S68" s="2"/>
      <c r="T68" s="2"/>
      <c r="U68" s="2"/>
      <c r="V68" s="2"/>
      <c r="W68" s="69"/>
      <c r="X68" s="210"/>
      <c r="Y68" s="2"/>
      <c r="Z68" s="2"/>
      <c r="AA68" s="2"/>
      <c r="AB68" s="2"/>
      <c r="AC68" s="2"/>
      <c r="AD68" s="69"/>
      <c r="AE68" s="210"/>
      <c r="AF68" s="2"/>
      <c r="AG68" s="2"/>
      <c r="AH68" s="2"/>
      <c r="AI68" s="2"/>
      <c r="AJ68" s="2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</row>
    <row r="69" spans="1:60" x14ac:dyDescent="0.25">
      <c r="A69" s="1"/>
      <c r="B69" s="1"/>
      <c r="C69" s="1"/>
      <c r="D69" s="1"/>
      <c r="E69" s="1"/>
      <c r="F69" s="1"/>
      <c r="G69" s="1"/>
      <c r="H69" s="1"/>
      <c r="I69" s="3"/>
      <c r="J69" s="1"/>
      <c r="K69" s="1"/>
      <c r="L69" s="1"/>
      <c r="M69" s="3"/>
      <c r="N69" s="1"/>
      <c r="O69" s="1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</row>
    <row r="70" spans="1:60" x14ac:dyDescent="0.25">
      <c r="A70" s="1" t="s">
        <v>84</v>
      </c>
      <c r="B70" s="1"/>
      <c r="C70" s="1"/>
      <c r="D70" s="1"/>
      <c r="E70" s="1"/>
      <c r="F70" s="1"/>
      <c r="G70" s="1"/>
      <c r="H70" s="1"/>
      <c r="I70" s="3"/>
      <c r="J70" s="1"/>
      <c r="K70" s="1"/>
      <c r="L70" s="1"/>
      <c r="M70" s="3"/>
      <c r="N70" s="1"/>
      <c r="O70" s="1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</row>
    <row r="71" spans="1:60" x14ac:dyDescent="0.25">
      <c r="A71" s="1" t="s">
        <v>85</v>
      </c>
      <c r="B71" s="1"/>
      <c r="C71" s="1"/>
      <c r="D71" s="1"/>
      <c r="E71" s="1"/>
      <c r="F71" s="1"/>
      <c r="G71" s="1"/>
      <c r="H71" s="1"/>
      <c r="I71" s="3"/>
      <c r="J71" s="1"/>
      <c r="K71" s="1"/>
      <c r="L71" s="1"/>
      <c r="M71" s="3"/>
      <c r="N71" s="1"/>
      <c r="O71" s="1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</row>
    <row r="72" spans="1:60" x14ac:dyDescent="0.25">
      <c r="A72" s="1"/>
      <c r="B72" s="1"/>
      <c r="C72" s="1"/>
      <c r="D72" s="1"/>
      <c r="E72" s="1"/>
      <c r="F72" s="1"/>
      <c r="G72" s="1"/>
      <c r="H72" s="1"/>
      <c r="I72" s="3"/>
      <c r="J72" s="1"/>
      <c r="K72" s="1"/>
      <c r="L72" s="1"/>
      <c r="M72" s="3"/>
      <c r="N72" s="1"/>
      <c r="O72" s="1"/>
    </row>
    <row r="73" spans="1:60" x14ac:dyDescent="0.25">
      <c r="A73" s="64" t="s">
        <v>86</v>
      </c>
      <c r="B73" s="1"/>
      <c r="C73" s="1"/>
      <c r="D73" s="1"/>
      <c r="E73" s="1"/>
      <c r="F73" s="1"/>
      <c r="G73" s="1"/>
      <c r="H73" s="1"/>
      <c r="I73" s="3"/>
      <c r="J73" s="1"/>
      <c r="K73" s="1"/>
      <c r="L73" s="1"/>
      <c r="M73" s="3"/>
      <c r="N73" s="1"/>
      <c r="O73" s="1"/>
    </row>
    <row r="74" spans="1:60" x14ac:dyDescent="0.25">
      <c r="A74" s="64" t="s">
        <v>87</v>
      </c>
      <c r="B74" s="1"/>
      <c r="C74" s="1"/>
      <c r="D74" s="1"/>
      <c r="E74" s="1"/>
      <c r="F74" s="1"/>
      <c r="G74" s="1"/>
      <c r="H74" s="1"/>
      <c r="I74" s="3"/>
      <c r="J74" s="1"/>
      <c r="K74" s="1"/>
      <c r="L74" s="1"/>
      <c r="M74" s="3"/>
      <c r="N74" s="1"/>
      <c r="O74" s="1"/>
    </row>
    <row r="75" spans="1:60" x14ac:dyDescent="0.25">
      <c r="A75" s="1"/>
      <c r="B75" s="1"/>
      <c r="C75" s="1"/>
      <c r="D75" s="1"/>
      <c r="E75" s="1"/>
      <c r="F75" s="1"/>
      <c r="G75" s="1"/>
      <c r="H75" s="1"/>
      <c r="I75" s="3"/>
      <c r="J75" s="1"/>
      <c r="K75" s="1"/>
      <c r="L75" s="1"/>
      <c r="M75" s="3"/>
      <c r="N75" s="1"/>
      <c r="O75" s="1"/>
    </row>
    <row r="76" spans="1:60" x14ac:dyDescent="0.25">
      <c r="A76" s="1" t="s">
        <v>88</v>
      </c>
      <c r="B76" s="1"/>
      <c r="C76" s="1"/>
      <c r="D76" s="1"/>
      <c r="E76" s="1"/>
      <c r="F76" s="1"/>
      <c r="G76" s="1"/>
      <c r="H76" s="1"/>
      <c r="I76" s="3"/>
      <c r="J76" s="1"/>
      <c r="K76" s="1"/>
      <c r="L76" s="1"/>
      <c r="M76" s="3"/>
      <c r="N76" s="1"/>
      <c r="O76" s="1"/>
    </row>
    <row r="77" spans="1:60" x14ac:dyDescent="0.25">
      <c r="A77" s="1" t="s">
        <v>89</v>
      </c>
      <c r="B77" s="1"/>
      <c r="C77" s="1"/>
      <c r="D77" s="1"/>
      <c r="E77" s="1"/>
      <c r="F77" s="1"/>
      <c r="G77" s="1"/>
      <c r="H77" s="1"/>
      <c r="I77" s="3"/>
      <c r="J77" s="1"/>
      <c r="K77" s="1"/>
      <c r="L77" s="1"/>
      <c r="M77" s="3"/>
      <c r="N77" s="1"/>
      <c r="O77" s="1"/>
    </row>
    <row r="78" spans="1:60" x14ac:dyDescent="0.25">
      <c r="A78" s="1" t="s">
        <v>90</v>
      </c>
      <c r="B78" s="1"/>
      <c r="C78" s="1"/>
      <c r="D78" s="1"/>
      <c r="E78" s="1"/>
      <c r="F78" s="1"/>
      <c r="G78" s="1"/>
      <c r="H78" s="1"/>
      <c r="I78" s="3"/>
      <c r="J78" s="1"/>
      <c r="K78" s="1"/>
      <c r="L78" s="1"/>
      <c r="M78" s="3"/>
      <c r="N78" s="1"/>
      <c r="O78" s="1"/>
    </row>
    <row r="79" spans="1:60" x14ac:dyDescent="0.25">
      <c r="A79" s="1" t="s">
        <v>91</v>
      </c>
      <c r="B79" s="1"/>
      <c r="C79" s="1"/>
      <c r="D79" s="1"/>
      <c r="E79" s="1"/>
      <c r="F79" s="1"/>
      <c r="G79" s="1"/>
      <c r="H79" s="1"/>
      <c r="I79" s="3"/>
      <c r="J79" s="1"/>
      <c r="K79" s="1"/>
      <c r="L79" s="1"/>
      <c r="M79" s="3"/>
      <c r="N79" s="1"/>
      <c r="O79" s="1"/>
    </row>
    <row r="80" spans="1:60" x14ac:dyDescent="0.25">
      <c r="A80" s="1" t="s">
        <v>92</v>
      </c>
      <c r="B80" s="1"/>
      <c r="C80" s="1"/>
      <c r="D80" s="1"/>
      <c r="E80" s="1"/>
      <c r="F80" s="1"/>
      <c r="G80" s="1"/>
      <c r="H80" s="1"/>
      <c r="I80" s="3"/>
      <c r="J80" s="1"/>
      <c r="K80" s="1"/>
      <c r="L80" s="1"/>
      <c r="M80" s="3"/>
      <c r="N80" s="1"/>
      <c r="O80" s="1"/>
    </row>
  </sheetData>
  <sheetProtection selectLockedCells="1"/>
  <mergeCells count="21">
    <mergeCell ref="AC21:AC22"/>
    <mergeCell ref="AI21:AI22"/>
    <mergeCell ref="AJ21:AJ22"/>
    <mergeCell ref="N21:N22"/>
    <mergeCell ref="O21:O22"/>
    <mergeCell ref="U21:U22"/>
    <mergeCell ref="V21:V22"/>
    <mergeCell ref="AB21:AB22"/>
    <mergeCell ref="AI20:AJ20"/>
    <mergeCell ref="A3:K3"/>
    <mergeCell ref="B10:O10"/>
    <mergeCell ref="B11:O11"/>
    <mergeCell ref="D14:O14"/>
    <mergeCell ref="F20:H20"/>
    <mergeCell ref="J20:L20"/>
    <mergeCell ref="N20:O20"/>
    <mergeCell ref="Q20:S20"/>
    <mergeCell ref="U20:V20"/>
    <mergeCell ref="X20:Z20"/>
    <mergeCell ref="AB20:AC20"/>
    <mergeCell ref="AE20:AG20"/>
  </mergeCells>
  <dataValidations count="2">
    <dataValidation type="list" allowBlank="1" showInputMessage="1" showErrorMessage="1" sqref="D16">
      <formula1>"TOU, non-TOU"</formula1>
    </dataValidation>
    <dataValidation type="list" allowBlank="1" showInputMessage="1" showErrorMessage="1" sqref="E48:E49 E51:E61 E37:E46 E66 E23:E35">
      <formula1>#REF!</formula1>
    </dataValidation>
  </dataValidations>
  <printOptions horizontalCentered="1"/>
  <pageMargins left="0.3" right="0.35" top="0.92" bottom="0.7" header="0.56999999999999995" footer="0.41"/>
  <pageSetup paperSize="256" scale="60" fitToHeight="0" orientation="landscape" r:id="rId1"/>
  <headerFooter>
    <oddHeader>&amp;REnergy+ Inc.
EB-2018-0xxx
Tab x
Schedule x
 2018 Apr 30
Page &amp;P of &amp;N</oddHeader>
    <oddFooter>&amp;C&amp;A</oddFooter>
  </headerFooter>
  <ignoredErrors>
    <ignoredError sqref="F24:F25 F36:J36 F26 F27 F28 F29 F30 F31 F32 F33 F34 F38:J38 F37 F48:J49 F39 F40 F41 F42 F43 F44 F45 F47:G47 I47:J47 F23 H23:J23 H24:J25 H26:I26 H27:I27 H28:I28 H29:I29 H30:I30 H31:I31 H32:I32 H33:I33 H34:I34 H37:I37 H39:I39 H40:I40 H41:I41 H42:I42 H43:I43 H44:I44 H45:I45 F52:J53 F51 H51:J51 F56:J61 F54 H54:J54 F50:G50 I50:J50 F55:I55 F63:J67 F62:G62 I62:J6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1379" r:id="rId4" name="Option Button 3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80" r:id="rId5" name="Option Button 4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628650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81" r:id="rId6" name="Option Button 5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82" r:id="rId7" name="Option Button 6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628650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83" r:id="rId8" name="Option Button 7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84" r:id="rId9" name="Option Button 8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628650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85" r:id="rId10" name="Option Button 9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86" r:id="rId11" name="Option Button 10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628650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87" r:id="rId12" name="Option Button 11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88" r:id="rId13" name="Option Button 12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628650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89" r:id="rId14" name="Option Button 13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90" r:id="rId15" name="Option Button 14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628650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91" r:id="rId16" name="Option Button 15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92" r:id="rId17" name="Option Button 16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628650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93" r:id="rId18" name="Option Button 17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94" r:id="rId19" name="Option Button 18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628650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95" r:id="rId20" name="Option Button 19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96" r:id="rId21" name="Option Button 20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628650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97" r:id="rId22" name="Option Button 21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98" r:id="rId23" name="Option Button 22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628650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99" r:id="rId24" name="Option Button 23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00" r:id="rId25" name="Option Button 24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628650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01" r:id="rId26" name="Option Button 25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02" r:id="rId27" name="Option Button 26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628650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03" r:id="rId28" name="Option Button 27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04" r:id="rId29" name="Option Button 28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628650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05" r:id="rId30" name="Option Button 29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06" r:id="rId31" name="Option Button 30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628650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07" r:id="rId32" name="Option Button 31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08" r:id="rId33" name="Option Button 32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628650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09" r:id="rId34" name="Option Button 33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10" r:id="rId35" name="Option Button 34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628650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11" r:id="rId36" name="Option Button 35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12" r:id="rId37" name="Option Button 36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628650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13" r:id="rId38" name="Option Button 37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14" r:id="rId39" name="Option Button 38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628650</xdr:colOff>
                    <xdr:row>81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8168889431442"/>
  </sheetPr>
  <dimension ref="A1:BH80"/>
  <sheetViews>
    <sheetView showGridLines="0" topLeftCell="A25" zoomScale="80" zoomScaleNormal="80" workbookViewId="0">
      <selection activeCell="F55" sqref="F55"/>
    </sheetView>
  </sheetViews>
  <sheetFormatPr defaultRowHeight="15" x14ac:dyDescent="0.25"/>
  <cols>
    <col min="1" max="1" width="26.28515625" customWidth="1"/>
    <col min="2" max="2" width="121.85546875" customWidth="1"/>
    <col min="3" max="3" width="1.140625" customWidth="1"/>
    <col min="4" max="4" width="12.28515625" customWidth="1"/>
    <col min="5" max="5" width="1.7109375" customWidth="1"/>
    <col min="6" max="6" width="11" customWidth="1"/>
    <col min="7" max="7" width="10.140625" bestFit="1" customWidth="1"/>
    <col min="8" max="8" width="10.5703125" customWidth="1"/>
    <col min="9" max="9" width="0.85546875" style="94" customWidth="1"/>
    <col min="10" max="10" width="12.140625" customWidth="1"/>
    <col min="11" max="11" width="10.140625" bestFit="1" customWidth="1"/>
    <col min="12" max="12" width="10.5703125" customWidth="1"/>
    <col min="13" max="13" width="0.85546875" style="94" customWidth="1"/>
    <col min="14" max="14" width="11.140625" customWidth="1"/>
    <col min="15" max="15" width="9.140625" customWidth="1"/>
    <col min="16" max="16" width="1.42578125" customWidth="1"/>
    <col min="17" max="17" width="6" customWidth="1"/>
    <col min="18" max="18" width="10.140625" bestFit="1" customWidth="1"/>
    <col min="19" max="19" width="9.5703125" customWidth="1"/>
    <col min="20" max="20" width="2" bestFit="1" customWidth="1"/>
    <col min="21" max="21" width="9.140625" customWidth="1"/>
    <col min="22" max="22" width="10.140625" customWidth="1"/>
    <col min="23" max="23" width="1.28515625" customWidth="1"/>
    <col min="24" max="24" width="11" customWidth="1"/>
    <col min="25" max="25" width="10.140625" bestFit="1" customWidth="1"/>
    <col min="26" max="26" width="9.85546875" customWidth="1"/>
    <col min="27" max="27" width="1.28515625" customWidth="1"/>
    <col min="30" max="30" width="0.85546875" customWidth="1"/>
    <col min="31" max="31" width="11.140625" customWidth="1"/>
    <col min="32" max="32" width="10.140625" bestFit="1" customWidth="1"/>
    <col min="33" max="33" width="9.28515625" customWidth="1"/>
    <col min="34" max="34" width="1.140625" customWidth="1"/>
    <col min="37" max="37" width="0.85546875" customWidth="1"/>
  </cols>
  <sheetData>
    <row r="1" spans="1:21" ht="21.75" x14ac:dyDescent="0.25">
      <c r="A1" s="50"/>
      <c r="B1" s="51"/>
      <c r="C1" s="51"/>
      <c r="D1" s="51"/>
      <c r="E1" s="51"/>
      <c r="F1" s="51"/>
      <c r="G1" s="51"/>
      <c r="H1" s="51"/>
      <c r="I1" s="384"/>
      <c r="J1" s="51"/>
      <c r="K1" s="51"/>
      <c r="L1" s="50"/>
      <c r="M1" s="2"/>
      <c r="N1" s="52" t="s">
        <v>68</v>
      </c>
      <c r="O1" s="53">
        <v>0</v>
      </c>
      <c r="T1">
        <v>2</v>
      </c>
      <c r="U1">
        <v>1</v>
      </c>
    </row>
    <row r="2" spans="1:21" ht="18" x14ac:dyDescent="0.25">
      <c r="A2" s="54"/>
      <c r="B2" s="54"/>
      <c r="C2" s="54"/>
      <c r="D2" s="54"/>
      <c r="E2" s="54"/>
      <c r="F2" s="54"/>
      <c r="G2" s="54"/>
      <c r="H2" s="54"/>
      <c r="I2" s="385"/>
      <c r="J2" s="54"/>
      <c r="K2" s="54"/>
      <c r="L2" s="50"/>
      <c r="M2" s="2"/>
      <c r="N2" s="52" t="s">
        <v>69</v>
      </c>
      <c r="O2" s="55"/>
    </row>
    <row r="3" spans="1:21" ht="18" x14ac:dyDescent="0.25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"/>
      <c r="M3" s="2"/>
      <c r="N3" s="52" t="s">
        <v>70</v>
      </c>
      <c r="O3" s="55"/>
    </row>
    <row r="4" spans="1:21" ht="18" x14ac:dyDescent="0.25">
      <c r="A4" s="54"/>
      <c r="B4" s="54"/>
      <c r="C4" s="54"/>
      <c r="D4" s="54"/>
      <c r="E4" s="54"/>
      <c r="F4" s="54"/>
      <c r="G4" s="54"/>
      <c r="H4" s="54"/>
      <c r="I4" s="386"/>
      <c r="J4" s="56"/>
      <c r="K4" s="56"/>
      <c r="L4" s="50"/>
      <c r="M4" s="2"/>
      <c r="N4" s="52" t="s">
        <v>71</v>
      </c>
      <c r="O4" s="55"/>
    </row>
    <row r="5" spans="1:21" ht="15.75" x14ac:dyDescent="0.25">
      <c r="A5" s="50"/>
      <c r="B5" s="50"/>
      <c r="C5" s="57"/>
      <c r="D5" s="57"/>
      <c r="E5" s="57"/>
      <c r="F5" s="50"/>
      <c r="G5" s="50"/>
      <c r="H5" s="50"/>
      <c r="I5" s="2"/>
      <c r="J5" s="50"/>
      <c r="K5" s="50"/>
      <c r="L5" s="50"/>
      <c r="M5" s="2"/>
      <c r="N5" s="52" t="s">
        <v>72</v>
      </c>
      <c r="O5" s="58"/>
    </row>
    <row r="6" spans="1:21" x14ac:dyDescent="0.25">
      <c r="A6" s="50"/>
      <c r="B6" s="50"/>
      <c r="C6" s="50"/>
      <c r="D6" s="50"/>
      <c r="E6" s="50"/>
      <c r="F6" s="50"/>
      <c r="G6" s="50"/>
      <c r="H6" s="50"/>
      <c r="I6" s="2"/>
      <c r="J6" s="50"/>
      <c r="K6" s="50"/>
      <c r="L6" s="50"/>
      <c r="M6" s="2"/>
      <c r="N6" s="52"/>
      <c r="O6" s="53"/>
    </row>
    <row r="7" spans="1:21" x14ac:dyDescent="0.25">
      <c r="A7" s="50"/>
      <c r="B7" s="50"/>
      <c r="C7" s="50"/>
      <c r="D7" s="50"/>
      <c r="E7" s="50"/>
      <c r="F7" s="50"/>
      <c r="G7" s="50"/>
      <c r="H7" s="50"/>
      <c r="I7" s="2"/>
      <c r="J7" s="50"/>
      <c r="K7" s="50"/>
      <c r="L7" s="50"/>
      <c r="M7" s="2"/>
      <c r="N7" s="52" t="s">
        <v>73</v>
      </c>
      <c r="O7" s="58"/>
    </row>
    <row r="8" spans="1:21" x14ac:dyDescent="0.25">
      <c r="A8" s="59"/>
      <c r="B8" s="50"/>
      <c r="C8" s="50"/>
      <c r="D8" s="50"/>
      <c r="E8" s="50"/>
      <c r="F8" s="50"/>
      <c r="G8" s="50"/>
      <c r="H8" s="50"/>
      <c r="I8" s="2"/>
      <c r="J8" s="50"/>
      <c r="K8" s="50"/>
      <c r="L8" s="50"/>
      <c r="M8" s="2"/>
      <c r="N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3"/>
      <c r="J9" s="1"/>
      <c r="K9" s="1"/>
    </row>
    <row r="10" spans="1:21" ht="18" x14ac:dyDescent="0.25">
      <c r="A10" s="1"/>
      <c r="B10" s="508" t="s">
        <v>74</v>
      </c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508"/>
      <c r="N10" s="508"/>
      <c r="O10" s="508"/>
    </row>
    <row r="11" spans="1:21" ht="18" x14ac:dyDescent="0.25">
      <c r="A11" s="1"/>
      <c r="B11" s="508" t="s">
        <v>75</v>
      </c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3"/>
      <c r="J12" s="1"/>
      <c r="K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3"/>
      <c r="J13" s="1"/>
      <c r="K13" s="1"/>
      <c r="T13">
        <v>2</v>
      </c>
    </row>
    <row r="14" spans="1:21" ht="15.75" x14ac:dyDescent="0.25">
      <c r="A14" s="1"/>
      <c r="B14" s="60" t="s">
        <v>0</v>
      </c>
      <c r="C14" s="1"/>
      <c r="D14" s="509" t="s">
        <v>107</v>
      </c>
      <c r="E14" s="509"/>
      <c r="F14" s="509"/>
      <c r="G14" s="509"/>
      <c r="H14" s="509"/>
      <c r="I14" s="509"/>
      <c r="J14" s="509"/>
      <c r="K14" s="509"/>
      <c r="L14" s="509"/>
      <c r="M14" s="509"/>
      <c r="N14" s="509"/>
      <c r="O14" s="509"/>
    </row>
    <row r="15" spans="1:21" ht="15.75" x14ac:dyDescent="0.25">
      <c r="A15" s="1"/>
      <c r="B15" s="61"/>
      <c r="C15" s="1"/>
      <c r="D15" s="62"/>
      <c r="E15" s="62"/>
      <c r="F15" s="62"/>
      <c r="G15" s="62"/>
      <c r="H15" s="62"/>
      <c r="I15" s="276"/>
      <c r="J15" s="62"/>
      <c r="K15" s="62"/>
      <c r="L15" s="62"/>
      <c r="M15" s="276"/>
      <c r="N15" s="62"/>
      <c r="O15" s="62"/>
    </row>
    <row r="16" spans="1:21" ht="15.75" x14ac:dyDescent="0.25">
      <c r="A16" s="1"/>
      <c r="B16" s="60" t="s">
        <v>76</v>
      </c>
      <c r="C16" s="1"/>
      <c r="D16" s="63" t="s">
        <v>77</v>
      </c>
      <c r="E16" s="62"/>
      <c r="F16" s="62"/>
      <c r="G16" s="62"/>
      <c r="H16" s="62"/>
      <c r="I16" s="276"/>
      <c r="J16" s="62"/>
      <c r="K16" s="62"/>
      <c r="L16" s="62"/>
      <c r="M16" s="276"/>
      <c r="N16" s="62"/>
      <c r="O16" s="62"/>
    </row>
    <row r="17" spans="1:60" ht="15.75" x14ac:dyDescent="0.25">
      <c r="A17" s="1"/>
      <c r="B17" s="61"/>
      <c r="C17" s="1"/>
      <c r="D17" s="62"/>
      <c r="E17" s="62"/>
      <c r="F17" s="62"/>
      <c r="G17" s="62"/>
      <c r="H17" s="62"/>
      <c r="I17" s="276"/>
      <c r="J17" s="62"/>
      <c r="K17" s="62"/>
      <c r="L17" s="62"/>
      <c r="M17" s="276"/>
      <c r="N17" s="62"/>
      <c r="O17" s="62"/>
    </row>
    <row r="18" spans="1:60" x14ac:dyDescent="0.25">
      <c r="A18" s="1"/>
      <c r="B18" s="64"/>
      <c r="C18" s="1"/>
      <c r="D18" s="65" t="s">
        <v>1</v>
      </c>
      <c r="E18" s="65"/>
      <c r="F18" s="66">
        <v>357</v>
      </c>
      <c r="G18" s="65" t="s">
        <v>78</v>
      </c>
      <c r="H18" s="1"/>
      <c r="I18" s="3"/>
      <c r="J18" s="1"/>
      <c r="K18" s="1"/>
      <c r="L18" s="1"/>
      <c r="M18" s="3"/>
      <c r="N18" s="1"/>
      <c r="O18" s="1"/>
    </row>
    <row r="19" spans="1:60" x14ac:dyDescent="0.25">
      <c r="A19" s="1"/>
      <c r="B19" s="64"/>
      <c r="C19" s="1"/>
      <c r="D19" s="1"/>
      <c r="E19" s="1"/>
      <c r="F19" s="1"/>
      <c r="G19" s="1"/>
      <c r="H19" s="1"/>
      <c r="I19" s="3"/>
      <c r="J19" s="1"/>
      <c r="K19" s="1"/>
      <c r="L19" s="67"/>
      <c r="M19" s="3"/>
      <c r="N19" s="1"/>
      <c r="O19" s="1"/>
    </row>
    <row r="20" spans="1:60" x14ac:dyDescent="0.25">
      <c r="A20" s="1"/>
      <c r="B20" s="64"/>
      <c r="C20" s="1"/>
      <c r="D20" s="68"/>
      <c r="E20" s="68"/>
      <c r="F20" s="510" t="s">
        <v>105</v>
      </c>
      <c r="G20" s="511"/>
      <c r="H20" s="512"/>
      <c r="I20" s="3"/>
      <c r="J20" s="510" t="s">
        <v>104</v>
      </c>
      <c r="K20" s="511"/>
      <c r="L20" s="512"/>
      <c r="M20" s="3"/>
      <c r="N20" s="510" t="s">
        <v>61</v>
      </c>
      <c r="O20" s="512"/>
      <c r="Q20" s="506"/>
      <c r="R20" s="506"/>
      <c r="S20" s="506"/>
      <c r="T20" s="2"/>
      <c r="U20" s="506"/>
      <c r="V20" s="506"/>
      <c r="W20" s="69"/>
      <c r="X20" s="506"/>
      <c r="Y20" s="506"/>
      <c r="Z20" s="506"/>
      <c r="AA20" s="2"/>
      <c r="AB20" s="506"/>
      <c r="AC20" s="506"/>
      <c r="AD20" s="69"/>
      <c r="AE20" s="506"/>
      <c r="AF20" s="506"/>
      <c r="AG20" s="506"/>
      <c r="AH20" s="2"/>
      <c r="AI20" s="506"/>
      <c r="AJ20" s="506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</row>
    <row r="21" spans="1:60" ht="15" customHeight="1" x14ac:dyDescent="0.25">
      <c r="A21" s="1"/>
      <c r="B21" s="64"/>
      <c r="C21" s="1"/>
      <c r="D21" s="1"/>
      <c r="E21" s="70"/>
      <c r="F21" s="71" t="s">
        <v>2</v>
      </c>
      <c r="G21" s="71" t="s">
        <v>3</v>
      </c>
      <c r="H21" s="72" t="s">
        <v>4</v>
      </c>
      <c r="I21" s="3"/>
      <c r="J21" s="71" t="s">
        <v>2</v>
      </c>
      <c r="K21" s="73" t="s">
        <v>3</v>
      </c>
      <c r="L21" s="72" t="s">
        <v>4</v>
      </c>
      <c r="M21" s="3"/>
      <c r="N21" s="502" t="s">
        <v>62</v>
      </c>
      <c r="O21" s="504" t="s">
        <v>63</v>
      </c>
      <c r="Q21" s="453"/>
      <c r="R21" s="453"/>
      <c r="S21" s="453"/>
      <c r="T21" s="2"/>
      <c r="U21" s="501"/>
      <c r="V21" s="501"/>
      <c r="W21" s="69"/>
      <c r="X21" s="453"/>
      <c r="Y21" s="453"/>
      <c r="Z21" s="453"/>
      <c r="AA21" s="2"/>
      <c r="AB21" s="501"/>
      <c r="AC21" s="501"/>
      <c r="AD21" s="69"/>
      <c r="AE21" s="453"/>
      <c r="AF21" s="453"/>
      <c r="AG21" s="453"/>
      <c r="AH21" s="2"/>
      <c r="AI21" s="501"/>
      <c r="AJ21" s="501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</row>
    <row r="22" spans="1:60" x14ac:dyDescent="0.25">
      <c r="A22" s="1"/>
      <c r="B22" s="64"/>
      <c r="C22" s="1"/>
      <c r="D22" s="1"/>
      <c r="E22" s="70"/>
      <c r="F22" s="75" t="s">
        <v>79</v>
      </c>
      <c r="G22" s="75"/>
      <c r="H22" s="76" t="s">
        <v>79</v>
      </c>
      <c r="I22" s="3"/>
      <c r="J22" s="75" t="s">
        <v>79</v>
      </c>
      <c r="K22" s="76"/>
      <c r="L22" s="76" t="s">
        <v>79</v>
      </c>
      <c r="M22" s="3"/>
      <c r="N22" s="503"/>
      <c r="O22" s="505"/>
      <c r="Q22" s="77"/>
      <c r="R22" s="77"/>
      <c r="S22" s="77"/>
      <c r="T22" s="2"/>
      <c r="U22" s="501"/>
      <c r="V22" s="501"/>
      <c r="W22" s="69"/>
      <c r="X22" s="77"/>
      <c r="Y22" s="77"/>
      <c r="Z22" s="77"/>
      <c r="AA22" s="2"/>
      <c r="AB22" s="501"/>
      <c r="AC22" s="501"/>
      <c r="AD22" s="69"/>
      <c r="AE22" s="77"/>
      <c r="AF22" s="77"/>
      <c r="AG22" s="77"/>
      <c r="AH22" s="2"/>
      <c r="AI22" s="501"/>
      <c r="AJ22" s="501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</row>
    <row r="23" spans="1:60" x14ac:dyDescent="0.25">
      <c r="A23" s="7" t="s">
        <v>15</v>
      </c>
      <c r="B23" s="271" t="str">
        <f>IF(Rates!D216='Residential BRT (10%)'!$A$23,Rates!B216," ")</f>
        <v>Service Charge</v>
      </c>
      <c r="C23" s="79"/>
      <c r="D23" s="271" t="str">
        <f>IF(Rates!D216='Residential BRT (10%)'!$A$23,Rates!E216," ")</f>
        <v>customer</v>
      </c>
      <c r="E23" s="79"/>
      <c r="F23" s="80">
        <f>IF(Rates!$J$1="BRT 2018",Rates!J216," ")</f>
        <v>24.3</v>
      </c>
      <c r="G23" s="81">
        <f>IF(D23="customer",1,IF(D23="kWh",$F$18,$F$19))</f>
        <v>1</v>
      </c>
      <c r="H23" s="82">
        <f>G23*F23</f>
        <v>24.3</v>
      </c>
      <c r="I23" s="91"/>
      <c r="J23" s="80">
        <f>IF(Rates!$L$1="E+ 2019",Rates!L216," ")</f>
        <v>27.33</v>
      </c>
      <c r="K23" s="97">
        <f>IF(D23="customer",1,IF(D23="kWh",$F$18,$F$19))</f>
        <v>1</v>
      </c>
      <c r="L23" s="82">
        <f t="shared" ref="L23:L34" si="0">K23*J23</f>
        <v>27.33</v>
      </c>
      <c r="M23" s="91"/>
      <c r="N23" s="84">
        <f t="shared" ref="N23:N60" si="1">L23-H23</f>
        <v>3.0299999999999976</v>
      </c>
      <c r="O23" s="85">
        <f>IF(OR(H23=0,L23=0),"",(N23/H23))</f>
        <v>0.12469135802469125</v>
      </c>
      <c r="Q23" s="86"/>
      <c r="R23" s="87"/>
      <c r="S23" s="88"/>
      <c r="T23" s="87"/>
      <c r="U23" s="89"/>
      <c r="V23" s="90"/>
      <c r="W23" s="69"/>
      <c r="X23" s="86"/>
      <c r="Y23" s="87"/>
      <c r="Z23" s="88"/>
      <c r="AA23" s="87"/>
      <c r="AB23" s="89"/>
      <c r="AC23" s="90"/>
      <c r="AD23" s="69"/>
      <c r="AE23" s="86"/>
      <c r="AF23" s="87"/>
      <c r="AG23" s="88"/>
      <c r="AH23" s="87"/>
      <c r="AI23" s="89"/>
      <c r="AJ23" s="90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</row>
    <row r="24" spans="1:60" x14ac:dyDescent="0.25">
      <c r="A24" s="1"/>
      <c r="B24" s="271" t="str">
        <f>IF(Rates!D217='Residential BRT (10%)'!$A$23,Rates!B217," ")</f>
        <v>Rate Rider ACM</v>
      </c>
      <c r="C24" s="79"/>
      <c r="D24" s="271" t="str">
        <f>IF(Rates!D217='Residential BRT (10%)'!$A$23,Rates!E217," ")</f>
        <v>customer</v>
      </c>
      <c r="E24" s="79"/>
      <c r="F24" s="80">
        <f>IF(Rates!$J$1="BRT 2018",Rates!J217," ")</f>
        <v>0</v>
      </c>
      <c r="G24" s="81">
        <f t="shared" ref="G24:G34" si="2">IF(D24="customer",1,IF(D24="kWh",$F$18,$F$19))</f>
        <v>1</v>
      </c>
      <c r="H24" s="82">
        <f t="shared" ref="H24:H34" si="3">G24*F24</f>
        <v>0</v>
      </c>
      <c r="I24" s="91"/>
      <c r="J24" s="80">
        <f>IF(Rates!$L$1="E+ 2019",Rates!L217," ")</f>
        <v>0</v>
      </c>
      <c r="K24" s="97">
        <f t="shared" ref="K24:K34" si="4">IF(D24="customer",1,IF(D24="kWh",$F$18,$F$19))</f>
        <v>1</v>
      </c>
      <c r="L24" s="82">
        <f t="shared" si="0"/>
        <v>0</v>
      </c>
      <c r="M24" s="91"/>
      <c r="N24" s="84">
        <f t="shared" si="1"/>
        <v>0</v>
      </c>
      <c r="O24" s="85" t="str">
        <f t="shared" ref="O24:O34" si="5">IF(OR(H24=0,L24=0),"",(N24/H24))</f>
        <v/>
      </c>
      <c r="Q24" s="86"/>
      <c r="R24" s="87"/>
      <c r="S24" s="88"/>
      <c r="T24" s="87"/>
      <c r="U24" s="89"/>
      <c r="V24" s="90"/>
      <c r="W24" s="69"/>
      <c r="X24" s="86"/>
      <c r="Y24" s="87"/>
      <c r="Z24" s="88"/>
      <c r="AA24" s="87"/>
      <c r="AB24" s="89"/>
      <c r="AC24" s="90"/>
      <c r="AD24" s="69"/>
      <c r="AE24" s="86"/>
      <c r="AF24" s="87"/>
      <c r="AG24" s="88"/>
      <c r="AH24" s="87"/>
      <c r="AI24" s="89"/>
      <c r="AJ24" s="90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</row>
    <row r="25" spans="1:60" s="94" customFormat="1" x14ac:dyDescent="0.25">
      <c r="A25" s="3"/>
      <c r="B25" s="271" t="str">
        <f>IF(Rates!D218='Residential BRT (10%)'!$A$23,Rates!B218," ")</f>
        <v>Distribution Volumetric Rate</v>
      </c>
      <c r="C25" s="79"/>
      <c r="D25" s="271" t="str">
        <f>IF(Rates!D218='Residential BRT (10%)'!$A$23,Rates!E218," ")</f>
        <v>kWh</v>
      </c>
      <c r="E25" s="79"/>
      <c r="F25" s="235">
        <f>IF(Rates!$J$1="BRT 2018",Rates!J218," ")</f>
        <v>5.3E-3</v>
      </c>
      <c r="G25" s="81">
        <f t="shared" si="2"/>
        <v>357</v>
      </c>
      <c r="H25" s="82">
        <f t="shared" si="3"/>
        <v>1.8921000000000001</v>
      </c>
      <c r="I25" s="91"/>
      <c r="J25" s="80">
        <f>IF(Rates!$L$1="E+ 2019",Rates!L218," ")</f>
        <v>0</v>
      </c>
      <c r="K25" s="97">
        <f t="shared" si="4"/>
        <v>357</v>
      </c>
      <c r="L25" s="92">
        <f t="shared" si="0"/>
        <v>0</v>
      </c>
      <c r="M25" s="91"/>
      <c r="N25" s="84">
        <f t="shared" si="1"/>
        <v>-1.8921000000000001</v>
      </c>
      <c r="O25" s="85" t="str">
        <f t="shared" si="5"/>
        <v/>
      </c>
      <c r="Q25" s="95"/>
      <c r="R25" s="87"/>
      <c r="S25" s="88"/>
      <c r="T25" s="87"/>
      <c r="U25" s="89"/>
      <c r="V25" s="90"/>
      <c r="W25" s="69"/>
      <c r="X25" s="95"/>
      <c r="Y25" s="87"/>
      <c r="Z25" s="88"/>
      <c r="AA25" s="87"/>
      <c r="AB25" s="89"/>
      <c r="AC25" s="90"/>
      <c r="AD25" s="69"/>
      <c r="AE25" s="95"/>
      <c r="AF25" s="87"/>
      <c r="AG25" s="88"/>
      <c r="AH25" s="87"/>
      <c r="AI25" s="89"/>
      <c r="AJ25" s="90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</row>
    <row r="26" spans="1:60" s="94" customFormat="1" x14ac:dyDescent="0.25">
      <c r="A26" s="3"/>
      <c r="B26" s="271" t="str">
        <f>IF(Rates!D219='Residential BRT (10%)'!$A$23,Rates!B219," ")</f>
        <v>Rate Rider ACM</v>
      </c>
      <c r="C26" s="79"/>
      <c r="D26" s="271" t="str">
        <f>IF(Rates!D219='Residential BRT (10%)'!$A$23,Rates!E219," ")</f>
        <v>kWh</v>
      </c>
      <c r="E26" s="79"/>
      <c r="F26" s="80">
        <f>IF(Rates!$J$1="BRT 2018",Rates!J219," ")</f>
        <v>0</v>
      </c>
      <c r="G26" s="81">
        <f t="shared" si="2"/>
        <v>357</v>
      </c>
      <c r="H26" s="82">
        <f t="shared" si="3"/>
        <v>0</v>
      </c>
      <c r="I26" s="91"/>
      <c r="J26" s="312">
        <f>IF(Rates!$L$1="E+ 2019",Rates!L219," ")</f>
        <v>0</v>
      </c>
      <c r="K26" s="97">
        <f t="shared" si="4"/>
        <v>357</v>
      </c>
      <c r="L26" s="92">
        <f t="shared" si="0"/>
        <v>0</v>
      </c>
      <c r="M26" s="91"/>
      <c r="N26" s="84">
        <f t="shared" si="1"/>
        <v>0</v>
      </c>
      <c r="O26" s="85" t="str">
        <f t="shared" si="5"/>
        <v/>
      </c>
      <c r="Q26" s="95"/>
      <c r="R26" s="87"/>
      <c r="S26" s="88"/>
      <c r="T26" s="87"/>
      <c r="U26" s="89"/>
      <c r="V26" s="90"/>
      <c r="W26" s="69"/>
      <c r="X26" s="95"/>
      <c r="Y26" s="87"/>
      <c r="Z26" s="88"/>
      <c r="AA26" s="87"/>
      <c r="AB26" s="89"/>
      <c r="AC26" s="90"/>
      <c r="AD26" s="69"/>
      <c r="AE26" s="95"/>
      <c r="AF26" s="87"/>
      <c r="AG26" s="88"/>
      <c r="AH26" s="87"/>
      <c r="AI26" s="89"/>
      <c r="AJ26" s="90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</row>
    <row r="27" spans="1:60" x14ac:dyDescent="0.25">
      <c r="A27" s="3"/>
      <c r="B27" s="271" t="str">
        <f>IF(Rates!D220='Residential BRT (10%)'!$A$23,Rates!B220," ")</f>
        <v>Rate Rider for Disposition of Account 1575 and 1576</v>
      </c>
      <c r="C27" s="79"/>
      <c r="D27" s="271" t="str">
        <f>IF(Rates!D220='Residential BRT (10%)'!$A$23,Rates!E220," ")</f>
        <v>customer</v>
      </c>
      <c r="E27" s="79"/>
      <c r="F27" s="80">
        <f>IF(Rates!$J$1="BRT 2018",Rates!J220," ")</f>
        <v>0</v>
      </c>
      <c r="G27" s="81">
        <f t="shared" si="2"/>
        <v>1</v>
      </c>
      <c r="H27" s="92">
        <f t="shared" si="3"/>
        <v>0</v>
      </c>
      <c r="I27" s="91"/>
      <c r="J27" s="312">
        <f>IF(Rates!$L$1="E+ 2019",Rates!L220," ")</f>
        <v>-0.2126511495947081</v>
      </c>
      <c r="K27" s="97">
        <f t="shared" si="4"/>
        <v>1</v>
      </c>
      <c r="L27" s="92">
        <f t="shared" si="0"/>
        <v>-0.2126511495947081</v>
      </c>
      <c r="M27" s="91"/>
      <c r="N27" s="84">
        <f t="shared" si="1"/>
        <v>-0.2126511495947081</v>
      </c>
      <c r="O27" s="85" t="str">
        <f t="shared" si="5"/>
        <v/>
      </c>
      <c r="Q27" s="86"/>
      <c r="R27" s="87"/>
      <c r="S27" s="88"/>
      <c r="T27" s="87"/>
      <c r="U27" s="89"/>
      <c r="V27" s="90"/>
      <c r="W27" s="69"/>
      <c r="X27" s="86"/>
      <c r="Y27" s="87"/>
      <c r="Z27" s="88"/>
      <c r="AA27" s="87"/>
      <c r="AB27" s="89"/>
      <c r="AC27" s="90"/>
      <c r="AD27" s="69"/>
      <c r="AE27" s="86"/>
      <c r="AF27" s="87"/>
      <c r="AG27" s="88"/>
      <c r="AH27" s="87"/>
      <c r="AI27" s="89"/>
      <c r="AJ27" s="90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</row>
    <row r="28" spans="1:60" s="94" customFormat="1" x14ac:dyDescent="0.25">
      <c r="A28" s="3"/>
      <c r="B28" s="271" t="str">
        <f>IF(Rates!D221='Residential BRT (10%)'!$A$23,Rates!B221," ")</f>
        <v>Rate Rider for Disposition of Account 1575 and 1576</v>
      </c>
      <c r="C28" s="79"/>
      <c r="D28" s="271" t="str">
        <f>IF(Rates!D221='Residential BRT (10%)'!$A$23,Rates!E221," ")</f>
        <v>kWh</v>
      </c>
      <c r="E28" s="79"/>
      <c r="F28" s="80">
        <f>IF(Rates!$J$1="BRT 2018",Rates!J221," ")</f>
        <v>0</v>
      </c>
      <c r="G28" s="81">
        <f t="shared" si="2"/>
        <v>357</v>
      </c>
      <c r="H28" s="92">
        <f t="shared" si="3"/>
        <v>0</v>
      </c>
      <c r="I28" s="91"/>
      <c r="J28" s="312">
        <f>IF(Rates!$L$1="E+ 2019",Rates!L221," ")</f>
        <v>0</v>
      </c>
      <c r="K28" s="97">
        <f t="shared" si="4"/>
        <v>357</v>
      </c>
      <c r="L28" s="92">
        <f t="shared" si="0"/>
        <v>0</v>
      </c>
      <c r="M28" s="91"/>
      <c r="N28" s="84">
        <f t="shared" si="1"/>
        <v>0</v>
      </c>
      <c r="O28" s="85" t="str">
        <f t="shared" si="5"/>
        <v/>
      </c>
      <c r="Q28" s="86"/>
      <c r="R28" s="87"/>
      <c r="S28" s="88"/>
      <c r="T28" s="87"/>
      <c r="U28" s="89"/>
      <c r="V28" s="90"/>
      <c r="W28" s="69"/>
      <c r="X28" s="86"/>
      <c r="Y28" s="87"/>
      <c r="Z28" s="88"/>
      <c r="AA28" s="87"/>
      <c r="AB28" s="89"/>
      <c r="AC28" s="90"/>
      <c r="AD28" s="69"/>
      <c r="AE28" s="86"/>
      <c r="AF28" s="87"/>
      <c r="AG28" s="88"/>
      <c r="AH28" s="87"/>
      <c r="AI28" s="89"/>
      <c r="AJ28" s="90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</row>
    <row r="29" spans="1:60" s="94" customFormat="1" x14ac:dyDescent="0.25">
      <c r="A29" s="3"/>
      <c r="B29" s="271" t="str">
        <f>IF(Rates!D222='Residential BRT (10%)'!$A$23,Rates!B222," ")</f>
        <v>Rate Rider for Disposition of Account 1575 and 1576</v>
      </c>
      <c r="C29" s="79"/>
      <c r="D29" s="271" t="str">
        <f>IF(Rates!D222='Residential BRT (10%)'!$A$23,Rates!E222," ")</f>
        <v>customer</v>
      </c>
      <c r="E29" s="79"/>
      <c r="F29" s="80">
        <f>IF(Rates!$J$1="BRT 2018",Rates!J222," ")</f>
        <v>0</v>
      </c>
      <c r="G29" s="81">
        <f t="shared" si="2"/>
        <v>1</v>
      </c>
      <c r="H29" s="92">
        <f t="shared" si="3"/>
        <v>0</v>
      </c>
      <c r="I29" s="91"/>
      <c r="J29" s="312">
        <f>IF(Rates!$L$1="E+ 2019",Rates!L222," ")</f>
        <v>0</v>
      </c>
      <c r="K29" s="97">
        <f t="shared" si="4"/>
        <v>1</v>
      </c>
      <c r="L29" s="92">
        <f t="shared" si="0"/>
        <v>0</v>
      </c>
      <c r="M29" s="91"/>
      <c r="N29" s="84">
        <f t="shared" si="1"/>
        <v>0</v>
      </c>
      <c r="O29" s="85" t="str">
        <f t="shared" si="5"/>
        <v/>
      </c>
      <c r="Q29" s="98"/>
      <c r="R29" s="87"/>
      <c r="S29" s="88"/>
      <c r="T29" s="87"/>
      <c r="U29" s="89"/>
      <c r="V29" s="90"/>
      <c r="W29" s="69"/>
      <c r="X29" s="98"/>
      <c r="Y29" s="87"/>
      <c r="Z29" s="88"/>
      <c r="AA29" s="87"/>
      <c r="AB29" s="89"/>
      <c r="AC29" s="90"/>
      <c r="AD29" s="69"/>
      <c r="AE29" s="98"/>
      <c r="AF29" s="87"/>
      <c r="AG29" s="88"/>
      <c r="AH29" s="87"/>
      <c r="AI29" s="89"/>
      <c r="AJ29" s="90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</row>
    <row r="30" spans="1:60" s="101" customFormat="1" x14ac:dyDescent="0.25">
      <c r="A30" s="99"/>
      <c r="B30" s="271" t="str">
        <f>IF(Rates!D223='Residential BRT (10%)'!$A$23,Rates!B223," ")</f>
        <v>Rate Rider for Disposition of Account 1575 and 1576</v>
      </c>
      <c r="C30" s="100"/>
      <c r="D30" s="271" t="str">
        <f>IF(Rates!D223='Residential BRT (10%)'!$A$23,Rates!E223," ")</f>
        <v>kWh</v>
      </c>
      <c r="E30" s="79"/>
      <c r="F30" s="80">
        <f>IF(Rates!$J$1="BRT 2018",Rates!J223," ")</f>
        <v>0</v>
      </c>
      <c r="G30" s="81">
        <f t="shared" si="2"/>
        <v>357</v>
      </c>
      <c r="H30" s="92">
        <f t="shared" si="3"/>
        <v>0</v>
      </c>
      <c r="I30" s="91"/>
      <c r="J30" s="312">
        <f>IF(Rates!$L$1="E+ 2019",Rates!L223," ")</f>
        <v>0</v>
      </c>
      <c r="K30" s="97">
        <f t="shared" si="4"/>
        <v>357</v>
      </c>
      <c r="L30" s="92">
        <f t="shared" si="0"/>
        <v>0</v>
      </c>
      <c r="M30" s="91"/>
      <c r="N30" s="84">
        <f t="shared" si="1"/>
        <v>0</v>
      </c>
      <c r="O30" s="85" t="str">
        <f t="shared" si="5"/>
        <v/>
      </c>
      <c r="Q30" s="102"/>
      <c r="R30" s="103"/>
      <c r="S30" s="104"/>
      <c r="T30" s="103"/>
      <c r="U30" s="105"/>
      <c r="V30" s="106"/>
      <c r="W30" s="107"/>
      <c r="X30" s="102"/>
      <c r="Y30" s="103"/>
      <c r="Z30" s="104"/>
      <c r="AA30" s="103"/>
      <c r="AB30" s="105"/>
      <c r="AC30" s="106"/>
      <c r="AD30" s="107"/>
      <c r="AE30" s="102"/>
      <c r="AF30" s="103"/>
      <c r="AG30" s="104"/>
      <c r="AH30" s="103"/>
      <c r="AI30" s="105"/>
      <c r="AJ30" s="106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</row>
    <row r="31" spans="1:60" s="94" customFormat="1" x14ac:dyDescent="0.25">
      <c r="A31" s="3"/>
      <c r="B31" s="271" t="str">
        <f>IF(Rates!D224='Residential BRT (10%)'!$A$23,Rates!B224," ")</f>
        <v>Rate Rider for LRAMVA</v>
      </c>
      <c r="C31" s="79"/>
      <c r="D31" s="271" t="str">
        <f>IF(Rates!D224='Residential BRT (10%)'!$A$23,Rates!E224," ")</f>
        <v>kWh</v>
      </c>
      <c r="E31" s="79"/>
      <c r="F31" s="80">
        <f>IF(Rates!$J$1="BRT 2018",Rates!J224," ")</f>
        <v>0</v>
      </c>
      <c r="G31" s="81">
        <f t="shared" si="2"/>
        <v>357</v>
      </c>
      <c r="H31" s="92">
        <f t="shared" si="3"/>
        <v>0</v>
      </c>
      <c r="I31" s="91"/>
      <c r="J31" s="312">
        <f>IF(Rates!$L$1="E+ 2019",Rates!L224," ")</f>
        <v>6.1978880186534072E-5</v>
      </c>
      <c r="K31" s="97">
        <f t="shared" si="4"/>
        <v>357</v>
      </c>
      <c r="L31" s="92">
        <f t="shared" si="0"/>
        <v>2.2126460226592665E-2</v>
      </c>
      <c r="M31" s="91"/>
      <c r="N31" s="84">
        <f t="shared" si="1"/>
        <v>2.2126460226592665E-2</v>
      </c>
      <c r="O31" s="85" t="str">
        <f t="shared" si="5"/>
        <v/>
      </c>
      <c r="Q31" s="98"/>
      <c r="R31" s="87"/>
      <c r="S31" s="88"/>
      <c r="T31" s="87"/>
      <c r="U31" s="89"/>
      <c r="V31" s="90"/>
      <c r="W31" s="69"/>
      <c r="X31" s="98"/>
      <c r="Y31" s="87"/>
      <c r="Z31" s="88"/>
      <c r="AA31" s="87"/>
      <c r="AB31" s="89"/>
      <c r="AC31" s="90"/>
      <c r="AD31" s="69"/>
      <c r="AE31" s="98"/>
      <c r="AF31" s="87"/>
      <c r="AG31" s="88"/>
      <c r="AH31" s="87"/>
      <c r="AI31" s="89"/>
      <c r="AJ31" s="90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</row>
    <row r="32" spans="1:60" s="94" customFormat="1" x14ac:dyDescent="0.25">
      <c r="A32" s="3"/>
      <c r="B32" s="271" t="str">
        <f>IF(Rates!D225='Residential BRT (10%)'!$A$23,Rates!B225," ")</f>
        <v xml:space="preserve">Rate Rider for Smart Meter (Stranded Meters) </v>
      </c>
      <c r="C32" s="79"/>
      <c r="D32" s="271" t="str">
        <f>IF(Rates!D225='Residential BRT (10%)'!$A$23,Rates!E225," ")</f>
        <v>customer</v>
      </c>
      <c r="E32" s="79"/>
      <c r="F32" s="80">
        <f>IF(Rates!$J$1="BRT 2018",Rates!J225," ")</f>
        <v>1.75</v>
      </c>
      <c r="G32" s="81">
        <f t="shared" si="2"/>
        <v>1</v>
      </c>
      <c r="H32" s="92">
        <f t="shared" si="3"/>
        <v>1.75</v>
      </c>
      <c r="I32" s="91"/>
      <c r="J32" s="312">
        <f>IF(Rates!$L$1="E+ 2019",Rates!L225," ")</f>
        <v>0.25994789727448581</v>
      </c>
      <c r="K32" s="97">
        <f t="shared" si="4"/>
        <v>1</v>
      </c>
      <c r="L32" s="92">
        <f t="shared" si="0"/>
        <v>0.25994789727448581</v>
      </c>
      <c r="M32" s="91"/>
      <c r="N32" s="84">
        <f t="shared" si="1"/>
        <v>-1.4900521027255142</v>
      </c>
      <c r="O32" s="85">
        <f t="shared" si="5"/>
        <v>-0.85145834441457957</v>
      </c>
      <c r="Q32" s="98"/>
      <c r="R32" s="87"/>
      <c r="S32" s="88"/>
      <c r="T32" s="87"/>
      <c r="U32" s="89"/>
      <c r="V32" s="90"/>
      <c r="W32" s="69"/>
      <c r="X32" s="98"/>
      <c r="Y32" s="87"/>
      <c r="Z32" s="88"/>
      <c r="AA32" s="87"/>
      <c r="AB32" s="89"/>
      <c r="AC32" s="90"/>
      <c r="AD32" s="69"/>
      <c r="AE32" s="98"/>
      <c r="AF32" s="87"/>
      <c r="AG32" s="88"/>
      <c r="AH32" s="87"/>
      <c r="AI32" s="89"/>
      <c r="AJ32" s="90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</row>
    <row r="33" spans="1:60" s="94" customFormat="1" x14ac:dyDescent="0.25">
      <c r="A33" s="3"/>
      <c r="B33" s="271" t="str">
        <f>IF(Rates!D226='Residential BRT (10%)'!$A$23,Rates!B226," ")</f>
        <v>Other Fixed</v>
      </c>
      <c r="C33" s="79"/>
      <c r="D33" s="271" t="str">
        <f>IF(Rates!D226='Residential BRT (10%)'!$A$23,Rates!E226," ")</f>
        <v>customer</v>
      </c>
      <c r="E33" s="79"/>
      <c r="F33" s="80">
        <f>IF(Rates!$J$1="BRT 2018",Rates!J226," ")</f>
        <v>0</v>
      </c>
      <c r="G33" s="81">
        <f t="shared" si="2"/>
        <v>1</v>
      </c>
      <c r="H33" s="92">
        <f t="shared" si="3"/>
        <v>0</v>
      </c>
      <c r="I33" s="91"/>
      <c r="J33" s="312">
        <f>IF(Rates!$L$1="E+ 2019",Rates!L226," ")</f>
        <v>0</v>
      </c>
      <c r="K33" s="97">
        <f t="shared" si="4"/>
        <v>1</v>
      </c>
      <c r="L33" s="92">
        <f t="shared" si="0"/>
        <v>0</v>
      </c>
      <c r="M33" s="91"/>
      <c r="N33" s="84">
        <f t="shared" si="1"/>
        <v>0</v>
      </c>
      <c r="O33" s="85" t="str">
        <f t="shared" si="5"/>
        <v/>
      </c>
      <c r="Q33" s="95"/>
      <c r="R33" s="87"/>
      <c r="S33" s="88"/>
      <c r="T33" s="87"/>
      <c r="U33" s="89"/>
      <c r="V33" s="90"/>
      <c r="W33" s="69"/>
      <c r="X33" s="95"/>
      <c r="Y33" s="87"/>
      <c r="Z33" s="88"/>
      <c r="AA33" s="87"/>
      <c r="AB33" s="89"/>
      <c r="AC33" s="90"/>
      <c r="AD33" s="69"/>
      <c r="AE33" s="95"/>
      <c r="AF33" s="87"/>
      <c r="AG33" s="88"/>
      <c r="AH33" s="87"/>
      <c r="AI33" s="89"/>
      <c r="AJ33" s="90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</row>
    <row r="34" spans="1:60" s="94" customFormat="1" x14ac:dyDescent="0.25">
      <c r="A34" s="3"/>
      <c r="B34" s="271" t="str">
        <f>IF(Rates!D227='Residential BRT (10%)'!$A$23,Rates!B227," ")</f>
        <v>Other Volumetric</v>
      </c>
      <c r="C34" s="79"/>
      <c r="D34" s="271" t="str">
        <f>IF(Rates!D227='Residential BRT (10%)'!$A$23,Rates!E227," ")</f>
        <v>kWh</v>
      </c>
      <c r="E34" s="79"/>
      <c r="F34" s="80">
        <f>IF(Rates!$J$1="BRT 2018",Rates!J227," ")</f>
        <v>0</v>
      </c>
      <c r="G34" s="81">
        <f t="shared" si="2"/>
        <v>357</v>
      </c>
      <c r="H34" s="92">
        <f t="shared" si="3"/>
        <v>0</v>
      </c>
      <c r="I34" s="91"/>
      <c r="J34" s="312">
        <f>IF(Rates!$L$1="E+ 2019",Rates!L227," ")</f>
        <v>0</v>
      </c>
      <c r="K34" s="97">
        <f t="shared" si="4"/>
        <v>357</v>
      </c>
      <c r="L34" s="92">
        <f t="shared" si="0"/>
        <v>0</v>
      </c>
      <c r="M34" s="91"/>
      <c r="N34" s="84">
        <f t="shared" si="1"/>
        <v>0</v>
      </c>
      <c r="O34" s="85" t="str">
        <f t="shared" si="5"/>
        <v/>
      </c>
      <c r="Q34" s="95"/>
      <c r="R34" s="87"/>
      <c r="S34" s="88"/>
      <c r="T34" s="87"/>
      <c r="U34" s="89"/>
      <c r="V34" s="90"/>
      <c r="W34" s="69"/>
      <c r="X34" s="95"/>
      <c r="Y34" s="87"/>
      <c r="Z34" s="88"/>
      <c r="AA34" s="87"/>
      <c r="AB34" s="89"/>
      <c r="AC34" s="90"/>
      <c r="AD34" s="69"/>
      <c r="AE34" s="95"/>
      <c r="AF34" s="87"/>
      <c r="AG34" s="88"/>
      <c r="AH34" s="87"/>
      <c r="AI34" s="89"/>
      <c r="AJ34" s="90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</row>
    <row r="35" spans="1:60" s="94" customFormat="1" x14ac:dyDescent="0.25">
      <c r="A35" s="3"/>
      <c r="B35" s="271" t="str">
        <f>IF(Rates!D228='Residential BRT (10%)'!$A$23,Rates!B228," ")</f>
        <v>Rate Rider for gain on Sale of Property</v>
      </c>
      <c r="C35" s="79"/>
      <c r="D35" s="271" t="str">
        <f>IF(Rates!D228='Residential BRT (10%)'!$A$23,Rates!E228," ")</f>
        <v>Customer</v>
      </c>
      <c r="E35" s="79"/>
      <c r="F35" s="80">
        <f>IF(Rates!$J$1="BRT 2018",Rates!J228," ")</f>
        <v>0</v>
      </c>
      <c r="G35" s="81">
        <f t="shared" ref="G35" si="6">IF(D35="customer",1,IF(D35="kWh",$F$18,$F$19))</f>
        <v>1</v>
      </c>
      <c r="H35" s="92">
        <f t="shared" ref="H35" si="7">G35*F35</f>
        <v>0</v>
      </c>
      <c r="I35" s="91"/>
      <c r="J35" s="312">
        <f>IF(Rates!$L$1="E+ 2019",Rates!L228," ")</f>
        <v>-0.16323570297172302</v>
      </c>
      <c r="K35" s="97">
        <f t="shared" ref="K35" si="8">IF(D35="customer",1,IF(D35="kWh",$F$18,$F$19))</f>
        <v>1</v>
      </c>
      <c r="L35" s="92">
        <f t="shared" ref="L35" si="9">K35*J35</f>
        <v>-0.16323570297172302</v>
      </c>
      <c r="M35" s="91"/>
      <c r="N35" s="84">
        <f t="shared" ref="N35" si="10">L35-H35</f>
        <v>-0.16323570297172302</v>
      </c>
      <c r="O35" s="85" t="str">
        <f t="shared" ref="O35" si="11">IF(OR(H35=0,L35=0),"",(N35/H35))</f>
        <v/>
      </c>
      <c r="Q35" s="98"/>
      <c r="R35" s="87"/>
      <c r="S35" s="88"/>
      <c r="T35" s="87"/>
      <c r="U35" s="89"/>
      <c r="V35" s="90"/>
      <c r="W35" s="69"/>
      <c r="X35" s="98"/>
      <c r="Y35" s="87"/>
      <c r="Z35" s="88"/>
      <c r="AA35" s="87"/>
      <c r="AB35" s="89"/>
      <c r="AC35" s="90"/>
      <c r="AD35" s="69"/>
      <c r="AE35" s="98"/>
      <c r="AF35" s="87"/>
      <c r="AG35" s="88"/>
      <c r="AH35" s="87"/>
      <c r="AI35" s="89"/>
      <c r="AJ35" s="90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</row>
    <row r="36" spans="1:60" s="94" customFormat="1" x14ac:dyDescent="0.25">
      <c r="A36" s="3"/>
      <c r="B36" s="109" t="s">
        <v>64</v>
      </c>
      <c r="C36" s="110"/>
      <c r="D36" s="110"/>
      <c r="E36" s="110"/>
      <c r="F36" s="111"/>
      <c r="G36" s="112"/>
      <c r="H36" s="113">
        <f>SUM(H23:H35)</f>
        <v>27.9421</v>
      </c>
      <c r="I36" s="91"/>
      <c r="J36" s="313"/>
      <c r="K36" s="116"/>
      <c r="L36" s="113">
        <f>SUM(L23:L35)</f>
        <v>27.236187504934644</v>
      </c>
      <c r="M36" s="91"/>
      <c r="N36" s="117">
        <f t="shared" si="1"/>
        <v>-0.70591249506535547</v>
      </c>
      <c r="O36" s="118">
        <f>IF(OR(H36=0, L36=0),"",(N36/H36))</f>
        <v>-2.5263401643589978E-2</v>
      </c>
      <c r="Q36" s="119"/>
      <c r="R36" s="120"/>
      <c r="S36" s="88"/>
      <c r="T36" s="87"/>
      <c r="U36" s="121"/>
      <c r="V36" s="122"/>
      <c r="W36" s="69"/>
      <c r="X36" s="119"/>
      <c r="Y36" s="120"/>
      <c r="Z36" s="88"/>
      <c r="AA36" s="87"/>
      <c r="AB36" s="121"/>
      <c r="AC36" s="122"/>
      <c r="AD36" s="69"/>
      <c r="AE36" s="119"/>
      <c r="AF36" s="120"/>
      <c r="AG36" s="88"/>
      <c r="AH36" s="87"/>
      <c r="AI36" s="121"/>
      <c r="AJ36" s="122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</row>
    <row r="37" spans="1:60" s="94" customFormat="1" x14ac:dyDescent="0.25">
      <c r="A37" s="5" t="s">
        <v>18</v>
      </c>
      <c r="B37" s="271" t="str">
        <f>IF(Rates!D229='Residential BRT (10%)'!$A$37,Rates!B229," ")</f>
        <v>Low Voltage Service Rate</v>
      </c>
      <c r="C37" s="79"/>
      <c r="D37" s="271" t="str">
        <f>IF(Rates!D229='Residential BRT (10%)'!$A$37,Rates!E229," ")</f>
        <v>kWh</v>
      </c>
      <c r="E37" s="79"/>
      <c r="F37" s="235">
        <f>IF(Rates!$J$1="BRT 2018",Rates!J229," ")</f>
        <v>2.3999999999999998E-3</v>
      </c>
      <c r="G37" s="81">
        <f t="shared" ref="G37" si="12">IF(D37="customer",1,IF(D37="kWh",$F$18,$F$19))</f>
        <v>357</v>
      </c>
      <c r="H37" s="92">
        <f t="shared" ref="H37:H42" si="13">G37*F37</f>
        <v>0.8567999999999999</v>
      </c>
      <c r="I37" s="87"/>
      <c r="J37" s="337">
        <f>IF(Rates!$L$1="E+ 2019",Rates!L229," ")</f>
        <v>4.0000000000000002E-4</v>
      </c>
      <c r="K37" s="97">
        <f t="shared" ref="K37" si="14">IF(D37="customer",1,IF(D37="kWh",$F$18,$F$19))</f>
        <v>357</v>
      </c>
      <c r="L37" s="92">
        <f t="shared" ref="L37:L45" si="15">K37*J37</f>
        <v>0.14280000000000001</v>
      </c>
      <c r="M37" s="87"/>
      <c r="N37" s="123">
        <f t="shared" si="1"/>
        <v>-0.71399999999999986</v>
      </c>
      <c r="O37" s="93">
        <f t="shared" ref="O37:O45" si="16">IF(OR(H37=0,L37=0),"",(N37/H37))</f>
        <v>-0.83333333333333326</v>
      </c>
      <c r="Q37" s="119"/>
      <c r="R37" s="87"/>
      <c r="S37" s="88"/>
      <c r="T37" s="87"/>
      <c r="U37" s="89"/>
      <c r="V37" s="90"/>
      <c r="W37" s="69"/>
      <c r="X37" s="119"/>
      <c r="Y37" s="87"/>
      <c r="Z37" s="88"/>
      <c r="AA37" s="87"/>
      <c r="AB37" s="89"/>
      <c r="AC37" s="90"/>
      <c r="AD37" s="69"/>
      <c r="AE37" s="119"/>
      <c r="AF37" s="87"/>
      <c r="AG37" s="88"/>
      <c r="AH37" s="87"/>
      <c r="AI37" s="89"/>
      <c r="AJ37" s="90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</row>
    <row r="38" spans="1:60" x14ac:dyDescent="0.25">
      <c r="A38" s="1"/>
      <c r="B38" s="271" t="s">
        <v>5</v>
      </c>
      <c r="C38" s="79"/>
      <c r="D38" s="271" t="s">
        <v>13</v>
      </c>
      <c r="E38" s="79"/>
      <c r="F38" s="275">
        <f>IF(ISBLANK($D16)=TRUE, 0, IF($D16="TOU", 0.65*$F55+0.17*$F56+0.18*$F57, IF(AND($D16="non-TOU", G59&gt;0), $F59,$F58)))</f>
        <v>8.2160000000000011E-2</v>
      </c>
      <c r="G38" s="125">
        <f>$F18*(1+$F68)-$F18</f>
        <v>17.671500000000037</v>
      </c>
      <c r="H38" s="126">
        <f t="shared" si="13"/>
        <v>1.4518904400000032</v>
      </c>
      <c r="I38" s="91"/>
      <c r="J38" s="473">
        <f>IF(ISBLANK($D16)=TRUE, 0, IF($D16="TOU", 0.65*$F55+0.17*$F56+0.18*$F57, IF(AND($D16="non-TOU", K59&gt;0), $F59,$F58)))</f>
        <v>8.2160000000000011E-2</v>
      </c>
      <c r="K38" s="125">
        <f>$F18*(1+$J68)-$F18</f>
        <v>10.954420030017616</v>
      </c>
      <c r="L38" s="126">
        <f t="shared" si="15"/>
        <v>0.9000151496662474</v>
      </c>
      <c r="M38" s="91"/>
      <c r="N38" s="123">
        <f t="shared" si="1"/>
        <v>-0.55187529033375582</v>
      </c>
      <c r="O38" s="93">
        <f t="shared" si="16"/>
        <v>-0.38010808193885109</v>
      </c>
      <c r="Q38" s="128"/>
      <c r="R38" s="129"/>
      <c r="S38" s="88"/>
      <c r="T38" s="87"/>
      <c r="U38" s="89"/>
      <c r="V38" s="90"/>
      <c r="W38" s="69"/>
      <c r="X38" s="128"/>
      <c r="Y38" s="129"/>
      <c r="Z38" s="88"/>
      <c r="AA38" s="87"/>
      <c r="AB38" s="89"/>
      <c r="AC38" s="90"/>
      <c r="AD38" s="69"/>
      <c r="AE38" s="128"/>
      <c r="AF38" s="129"/>
      <c r="AG38" s="88"/>
      <c r="AH38" s="87"/>
      <c r="AI38" s="89"/>
      <c r="AJ38" s="90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</row>
    <row r="39" spans="1:60" s="101" customFormat="1" x14ac:dyDescent="0.25">
      <c r="A39" s="130"/>
      <c r="B39" s="271" t="str">
        <f>IF(Rates!D230='Residential BRT (10%)'!$A$37,Rates!B230," ")</f>
        <v>Rate Rider Other Fixed</v>
      </c>
      <c r="C39" s="79"/>
      <c r="D39" s="271" t="str">
        <f>IF(Rates!D230='Residential BRT (10%)'!$A$37,Rates!E230," ")</f>
        <v>customer</v>
      </c>
      <c r="E39" s="79"/>
      <c r="F39" s="235">
        <f>IF(Rates!$J$1="BRT 2018",Rates!J230," ")</f>
        <v>0</v>
      </c>
      <c r="G39" s="81">
        <f t="shared" ref="G39:G45" si="17">IF(D39="customer",1,IF(D39="kWh",$F$18,$F$19))</f>
        <v>1</v>
      </c>
      <c r="H39" s="92">
        <f t="shared" si="13"/>
        <v>0</v>
      </c>
      <c r="I39" s="91"/>
      <c r="J39" s="337">
        <f>IF(Rates!$L$1="E+ 2019",Rates!L230," ")</f>
        <v>0</v>
      </c>
      <c r="K39" s="97">
        <f t="shared" ref="K39:K45" si="18">IF(D39="customer",1,IF(D39="kWh",$F$18,$F$19))</f>
        <v>1</v>
      </c>
      <c r="L39" s="126">
        <f t="shared" si="15"/>
        <v>0</v>
      </c>
      <c r="M39" s="91"/>
      <c r="N39" s="123">
        <f t="shared" si="1"/>
        <v>0</v>
      </c>
      <c r="O39" s="93" t="str">
        <f t="shared" si="16"/>
        <v/>
      </c>
      <c r="Q39" s="102"/>
      <c r="R39" s="103"/>
      <c r="S39" s="104"/>
      <c r="T39" s="103"/>
      <c r="U39" s="105"/>
      <c r="V39" s="106"/>
      <c r="W39" s="107"/>
      <c r="X39" s="102"/>
      <c r="Y39" s="103"/>
      <c r="Z39" s="104"/>
      <c r="AA39" s="103"/>
      <c r="AB39" s="105"/>
      <c r="AC39" s="106"/>
      <c r="AD39" s="107"/>
      <c r="AE39" s="102"/>
      <c r="AF39" s="103"/>
      <c r="AG39" s="104"/>
      <c r="AH39" s="103"/>
      <c r="AI39" s="105"/>
      <c r="AJ39" s="106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</row>
    <row r="40" spans="1:60" s="101" customFormat="1" x14ac:dyDescent="0.25">
      <c r="A40" s="130"/>
      <c r="B40" s="271" t="str">
        <f>IF(Rates!D231='Residential BRT (10%)'!$A$37,Rates!B231," ")</f>
        <v>Rate Rider for Smart Metering Entity Charge - effective until October 31, 2018</v>
      </c>
      <c r="C40" s="79"/>
      <c r="D40" s="271" t="str">
        <f>IF(Rates!D231='Residential BRT (10%)'!$A$37,Rates!E231," ")</f>
        <v>customer</v>
      </c>
      <c r="E40" s="79"/>
      <c r="F40" s="235">
        <f>IF(Rates!$J$1="BRT 2018",Rates!J231," ")</f>
        <v>0.56999999999999995</v>
      </c>
      <c r="G40" s="81">
        <f t="shared" si="17"/>
        <v>1</v>
      </c>
      <c r="H40" s="92">
        <f t="shared" si="13"/>
        <v>0.56999999999999995</v>
      </c>
      <c r="I40" s="91"/>
      <c r="J40" s="337">
        <f>IF(Rates!$L$1="E+ 2019",Rates!L231," ")</f>
        <v>0.56999999999999995</v>
      </c>
      <c r="K40" s="97">
        <f t="shared" si="18"/>
        <v>1</v>
      </c>
      <c r="L40" s="126">
        <f t="shared" si="15"/>
        <v>0.56999999999999995</v>
      </c>
      <c r="M40" s="91"/>
      <c r="N40" s="123">
        <f t="shared" si="1"/>
        <v>0</v>
      </c>
      <c r="O40" s="93">
        <f>IF(OR(H40=0,L40=0),"",(N40/H40))</f>
        <v>0</v>
      </c>
      <c r="Q40" s="102"/>
      <c r="R40" s="103"/>
      <c r="S40" s="104"/>
      <c r="T40" s="103"/>
      <c r="U40" s="105"/>
      <c r="V40" s="106"/>
      <c r="W40" s="107"/>
      <c r="X40" s="102"/>
      <c r="Y40" s="103"/>
      <c r="Z40" s="104"/>
      <c r="AA40" s="103"/>
      <c r="AB40" s="105"/>
      <c r="AC40" s="106"/>
      <c r="AD40" s="107"/>
      <c r="AE40" s="102"/>
      <c r="AF40" s="103"/>
      <c r="AG40" s="104"/>
      <c r="AH40" s="103"/>
      <c r="AI40" s="105"/>
      <c r="AJ40" s="106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</row>
    <row r="41" spans="1:60" s="101" customFormat="1" x14ac:dyDescent="0.25">
      <c r="A41" s="130"/>
      <c r="B41" s="271" t="str">
        <f>IF(Rates!D232='Residential BRT (10%)'!$A$37,Rates!B232," ")</f>
        <v>Rate Rider Other Volumetric</v>
      </c>
      <c r="C41" s="79"/>
      <c r="D41" s="271" t="str">
        <f>IF(Rates!D232='Residential BRT (10%)'!$A$37,Rates!E232," ")</f>
        <v>Customer</v>
      </c>
      <c r="E41" s="79"/>
      <c r="F41" s="273">
        <f>IF(Rates!$J$1="BRT 2018",Rates!J232," ")</f>
        <v>0</v>
      </c>
      <c r="G41" s="81">
        <f t="shared" si="17"/>
        <v>1</v>
      </c>
      <c r="H41" s="92">
        <f t="shared" si="13"/>
        <v>0</v>
      </c>
      <c r="I41" s="91"/>
      <c r="J41" s="337">
        <f>IF(Rates!$L$1="E+ 2019",Rates!L232," ")</f>
        <v>0.69826111473472707</v>
      </c>
      <c r="K41" s="97">
        <f t="shared" si="18"/>
        <v>1</v>
      </c>
      <c r="L41" s="126">
        <f t="shared" si="15"/>
        <v>0.69826111473472707</v>
      </c>
      <c r="M41" s="91"/>
      <c r="N41" s="123">
        <f t="shared" si="1"/>
        <v>0.69826111473472707</v>
      </c>
      <c r="O41" s="93" t="str">
        <f t="shared" si="16"/>
        <v/>
      </c>
      <c r="Q41" s="102"/>
      <c r="R41" s="103"/>
      <c r="S41" s="104"/>
      <c r="T41" s="103"/>
      <c r="U41" s="105"/>
      <c r="V41" s="106"/>
      <c r="W41" s="107"/>
      <c r="X41" s="102"/>
      <c r="Y41" s="103"/>
      <c r="Z41" s="104"/>
      <c r="AA41" s="103"/>
      <c r="AB41" s="105"/>
      <c r="AC41" s="106"/>
      <c r="AD41" s="107"/>
      <c r="AE41" s="102"/>
      <c r="AF41" s="103"/>
      <c r="AG41" s="104"/>
      <c r="AH41" s="103"/>
      <c r="AI41" s="105"/>
      <c r="AJ41" s="106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</row>
    <row r="42" spans="1:60" s="101" customFormat="1" x14ac:dyDescent="0.25">
      <c r="A42" s="130"/>
      <c r="B42" s="271" t="str">
        <f>IF(Rates!D233='Residential BRT (10%)'!$A$37,Rates!B233," ")</f>
        <v xml:space="preserve">Rate Rider for Disposition of Deferral/Variance Accounts </v>
      </c>
      <c r="C42" s="79"/>
      <c r="D42" s="271" t="str">
        <f>IF(Rates!D233='Residential BRT (10%)'!$A$37,Rates!E233," ")</f>
        <v>kWh</v>
      </c>
      <c r="E42" s="79"/>
      <c r="F42" s="337">
        <f>IF(Rates!$J$1="BRT 2018",Rates!J233," ")</f>
        <v>-6.4739169462600422E-3</v>
      </c>
      <c r="G42" s="81">
        <f t="shared" si="17"/>
        <v>357</v>
      </c>
      <c r="H42" s="92">
        <f t="shared" si="13"/>
        <v>-2.3111883498148349</v>
      </c>
      <c r="I42" s="91"/>
      <c r="J42" s="337">
        <f>IF(Rates!$L$1="E+ 2019",Rates!L233," ")</f>
        <v>-1.7004562090666019E-3</v>
      </c>
      <c r="K42" s="97">
        <f t="shared" si="18"/>
        <v>357</v>
      </c>
      <c r="L42" s="92">
        <f t="shared" si="15"/>
        <v>-0.60706286663677689</v>
      </c>
      <c r="M42" s="91"/>
      <c r="N42" s="123">
        <f t="shared" si="1"/>
        <v>1.7041254831780579</v>
      </c>
      <c r="O42" s="93">
        <f t="shared" si="16"/>
        <v>-0.73733734566228104</v>
      </c>
      <c r="Q42" s="102"/>
      <c r="R42" s="103"/>
      <c r="S42" s="104"/>
      <c r="T42" s="103"/>
      <c r="U42" s="105"/>
      <c r="V42" s="106"/>
      <c r="W42" s="107"/>
      <c r="X42" s="102"/>
      <c r="Y42" s="103"/>
      <c r="Z42" s="104"/>
      <c r="AA42" s="103"/>
      <c r="AB42" s="105"/>
      <c r="AC42" s="106"/>
      <c r="AD42" s="107"/>
      <c r="AE42" s="102"/>
      <c r="AF42" s="103"/>
      <c r="AG42" s="104"/>
      <c r="AH42" s="103"/>
      <c r="AI42" s="105"/>
      <c r="AJ42" s="106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</row>
    <row r="43" spans="1:60" s="101" customFormat="1" x14ac:dyDescent="0.25">
      <c r="A43" s="130"/>
      <c r="B43" s="271" t="str">
        <f>IF(Rates!D234='Residential BRT (10%)'!$A$37,Rates!B234," ")</f>
        <v>Rate Rider for Disposition of Deferral/Variance Accounts Non-WMP Customers</v>
      </c>
      <c r="C43" s="79"/>
      <c r="D43" s="271" t="str">
        <f>IF(Rates!D234='Residential BRT (10%)'!$A$37,Rates!E234," ")</f>
        <v>kWh</v>
      </c>
      <c r="E43" s="79"/>
      <c r="F43" s="235">
        <f>IF(Rates!$J$1="BRT 2018",Rates!J234," ")</f>
        <v>0</v>
      </c>
      <c r="G43" s="81">
        <f t="shared" si="17"/>
        <v>357</v>
      </c>
      <c r="H43" s="92"/>
      <c r="I43" s="91"/>
      <c r="J43" s="337">
        <f>IF(Rates!$L$1="E+ 2019",Rates!L234," ")</f>
        <v>0</v>
      </c>
      <c r="K43" s="97">
        <f t="shared" si="18"/>
        <v>357</v>
      </c>
      <c r="L43" s="92">
        <f t="shared" si="15"/>
        <v>0</v>
      </c>
      <c r="M43" s="91"/>
      <c r="N43" s="123">
        <f t="shared" si="1"/>
        <v>0</v>
      </c>
      <c r="O43" s="93" t="str">
        <f t="shared" si="16"/>
        <v/>
      </c>
      <c r="Q43" s="102"/>
      <c r="R43" s="103"/>
      <c r="S43" s="104"/>
      <c r="T43" s="103"/>
      <c r="U43" s="105"/>
      <c r="V43" s="106"/>
      <c r="W43" s="107"/>
      <c r="X43" s="102"/>
      <c r="Y43" s="103"/>
      <c r="Z43" s="104"/>
      <c r="AA43" s="103"/>
      <c r="AB43" s="105"/>
      <c r="AC43" s="106"/>
      <c r="AD43" s="107"/>
      <c r="AE43" s="102"/>
      <c r="AF43" s="103"/>
      <c r="AG43" s="104"/>
      <c r="AH43" s="103"/>
      <c r="AI43" s="105"/>
      <c r="AJ43" s="106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</row>
    <row r="44" spans="1:60" x14ac:dyDescent="0.25">
      <c r="A44" s="1"/>
      <c r="B44" s="271" t="str">
        <f>IF(Rates!D235='Residential BRT (10%)'!$A$37,Rates!B235," ")</f>
        <v>Rate Rider for Disposition of GA DV</v>
      </c>
      <c r="C44" s="79"/>
      <c r="D44" s="271" t="str">
        <f>IF(Rates!D235='Residential BRT (10%)'!$A$37,Rates!E235," ")</f>
        <v>kWh</v>
      </c>
      <c r="E44" s="79"/>
      <c r="F44" s="235">
        <f>IF(Rates!$J$1="BRT 2018",Rates!J235," ")</f>
        <v>1.4200000000000001E-2</v>
      </c>
      <c r="G44" s="81">
        <f t="shared" si="17"/>
        <v>357</v>
      </c>
      <c r="H44" s="126">
        <f>G44*F44</f>
        <v>5.0693999999999999</v>
      </c>
      <c r="I44" s="91"/>
      <c r="J44" s="337">
        <f>IF(Rates!$L$1="E+ 2019",Rates!L235," ")</f>
        <v>3.8449181889326281E-4</v>
      </c>
      <c r="K44" s="97">
        <f t="shared" si="18"/>
        <v>357</v>
      </c>
      <c r="L44" s="126">
        <f t="shared" si="15"/>
        <v>0.13726357934489483</v>
      </c>
      <c r="M44" s="91"/>
      <c r="N44" s="123">
        <f t="shared" si="1"/>
        <v>-4.9321364206551053</v>
      </c>
      <c r="O44" s="93">
        <f t="shared" si="16"/>
        <v>-0.97292311134554488</v>
      </c>
      <c r="Q44" s="131"/>
      <c r="R44" s="87"/>
      <c r="S44" s="88"/>
      <c r="T44" s="87"/>
      <c r="U44" s="89"/>
      <c r="V44" s="90"/>
      <c r="W44" s="69"/>
      <c r="X44" s="131"/>
      <c r="Y44" s="87"/>
      <c r="Z44" s="88"/>
      <c r="AA44" s="87"/>
      <c r="AB44" s="89"/>
      <c r="AC44" s="90"/>
      <c r="AD44" s="69"/>
      <c r="AE44" s="131"/>
      <c r="AF44" s="87"/>
      <c r="AG44" s="88"/>
      <c r="AH44" s="87"/>
      <c r="AI44" s="89"/>
      <c r="AJ44" s="90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</row>
    <row r="45" spans="1:60" x14ac:dyDescent="0.25">
      <c r="A45" s="1"/>
      <c r="B45" s="271" t="str">
        <f>IF(Rates!D236='Residential BRT (10%)'!$A$37,Rates!B236," ")</f>
        <v>Rate Rider for Disposition of Capacity Based Recovery Account (2018) - Applicable only for Class B Customers</v>
      </c>
      <c r="C45" s="79"/>
      <c r="D45" s="271" t="str">
        <f>IF(Rates!D236='Residential BRT (10%)'!$A$37,Rates!E236," ")</f>
        <v>kWh</v>
      </c>
      <c r="E45" s="79"/>
      <c r="F45" s="273">
        <f>IF(Rates!$J$1="BRT 2018",Rates!J236," ")</f>
        <v>0</v>
      </c>
      <c r="G45" s="81">
        <f t="shared" si="17"/>
        <v>357</v>
      </c>
      <c r="H45" s="126">
        <f>G45*F45</f>
        <v>0</v>
      </c>
      <c r="I45" s="91"/>
      <c r="J45" s="337">
        <f>IF(Rates!$L$1="E+ 2019",Rates!L236," ")</f>
        <v>4.9568533837617714E-6</v>
      </c>
      <c r="K45" s="97">
        <f t="shared" si="18"/>
        <v>357</v>
      </c>
      <c r="L45" s="126">
        <f t="shared" si="15"/>
        <v>1.7695966580029523E-3</v>
      </c>
      <c r="M45" s="91"/>
      <c r="N45" s="123">
        <f t="shared" si="1"/>
        <v>1.7695966580029523E-3</v>
      </c>
      <c r="O45" s="93" t="str">
        <f t="shared" si="16"/>
        <v/>
      </c>
      <c r="Q45" s="131"/>
      <c r="R45" s="87"/>
      <c r="S45" s="88"/>
      <c r="T45" s="87"/>
      <c r="U45" s="89"/>
      <c r="V45" s="90"/>
      <c r="W45" s="69"/>
      <c r="X45" s="131"/>
      <c r="Y45" s="87"/>
      <c r="Z45" s="88"/>
      <c r="AA45" s="87"/>
      <c r="AB45" s="89"/>
      <c r="AC45" s="90"/>
      <c r="AD45" s="69"/>
      <c r="AE45" s="131"/>
      <c r="AF45" s="87"/>
      <c r="AG45" s="88"/>
      <c r="AH45" s="87"/>
      <c r="AI45" s="89"/>
      <c r="AJ45" s="90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</row>
    <row r="46" spans="1:60" hidden="1" x14ac:dyDescent="0.25">
      <c r="A46" s="1"/>
      <c r="B46" s="271"/>
      <c r="C46" s="79"/>
      <c r="D46" s="271"/>
      <c r="E46" s="79"/>
      <c r="F46" s="273"/>
      <c r="G46" s="81"/>
      <c r="H46" s="126"/>
      <c r="I46" s="91"/>
      <c r="J46" s="337"/>
      <c r="K46" s="97"/>
      <c r="L46" s="126"/>
      <c r="M46" s="91"/>
      <c r="N46" s="123"/>
      <c r="O46" s="93"/>
      <c r="Q46" s="131"/>
      <c r="R46" s="87"/>
      <c r="S46" s="88"/>
      <c r="T46" s="87"/>
      <c r="U46" s="89"/>
      <c r="V46" s="90"/>
      <c r="W46" s="69"/>
      <c r="X46" s="131"/>
      <c r="Y46" s="87"/>
      <c r="Z46" s="88"/>
      <c r="AA46" s="87"/>
      <c r="AB46" s="89"/>
      <c r="AC46" s="90"/>
      <c r="AD46" s="69"/>
      <c r="AE46" s="131"/>
      <c r="AF46" s="87"/>
      <c r="AG46" s="88"/>
      <c r="AH46" s="87"/>
      <c r="AI46" s="89"/>
      <c r="AJ46" s="90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</row>
    <row r="47" spans="1:60" x14ac:dyDescent="0.25">
      <c r="A47" s="1"/>
      <c r="B47" s="132" t="s">
        <v>80</v>
      </c>
      <c r="C47" s="133"/>
      <c r="D47" s="133"/>
      <c r="E47" s="133"/>
      <c r="F47" s="134"/>
      <c r="G47" s="135"/>
      <c r="H47" s="136">
        <f>SUM(H37:H43)+H36+H45+H46</f>
        <v>28.509602090185169</v>
      </c>
      <c r="I47" s="91"/>
      <c r="J47" s="135"/>
      <c r="K47" s="137"/>
      <c r="L47" s="136">
        <f>SUM(L37:L43)+L36+L45+L46</f>
        <v>28.941970499356845</v>
      </c>
      <c r="M47" s="91"/>
      <c r="N47" s="117">
        <f>L47-H47</f>
        <v>0.4323684091716764</v>
      </c>
      <c r="O47" s="138">
        <f>IF(OR(H47=0,L47=0),"",(N47/H47))</f>
        <v>1.5165711811899518E-2</v>
      </c>
      <c r="Q47" s="87"/>
      <c r="R47" s="87"/>
      <c r="S47" s="121"/>
      <c r="T47" s="87"/>
      <c r="U47" s="121"/>
      <c r="V47" s="139"/>
      <c r="W47" s="69"/>
      <c r="X47" s="87"/>
      <c r="Y47" s="87"/>
      <c r="Z47" s="121"/>
      <c r="AA47" s="87"/>
      <c r="AB47" s="121"/>
      <c r="AC47" s="139"/>
      <c r="AD47" s="69"/>
      <c r="AE47" s="87"/>
      <c r="AF47" s="87"/>
      <c r="AG47" s="121"/>
      <c r="AH47" s="87"/>
      <c r="AI47" s="121"/>
      <c r="AJ47" s="13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</row>
    <row r="48" spans="1:60" x14ac:dyDescent="0.25">
      <c r="A48" s="38" t="s">
        <v>16</v>
      </c>
      <c r="B48" s="271" t="str">
        <f>IF(Rates!D237='Residential BRT (10%)'!$A$48,Rates!B237," ")</f>
        <v>Retail Transmission Rate – Network Service Rate</v>
      </c>
      <c r="C48" s="79"/>
      <c r="D48" s="271" t="str">
        <f>IF(Rates!D237='Residential BRT (10%)'!$A$48,Rates!E237," ")</f>
        <v>kWh</v>
      </c>
      <c r="E48" s="91"/>
      <c r="F48" s="235">
        <f>IF(Rates!$J$1="BRT 2018",Rates!J237," ")</f>
        <v>6.1000000000000004E-3</v>
      </c>
      <c r="G48" s="140">
        <f>$F18*(1+$F68)</f>
        <v>374.67150000000004</v>
      </c>
      <c r="H48" s="82">
        <f>G48*F48</f>
        <v>2.2854961500000002</v>
      </c>
      <c r="I48" s="91"/>
      <c r="J48" s="235">
        <f>IF(Rates!$L$1="E+ 2019",Rates!L237," ")</f>
        <v>5.5481168316355673E-3</v>
      </c>
      <c r="K48" s="140">
        <f>$F18*(1+$J$68)</f>
        <v>367.95442003001762</v>
      </c>
      <c r="L48" s="82">
        <f>K48*J48</f>
        <v>2.0414541110432443</v>
      </c>
      <c r="M48" s="91"/>
      <c r="N48" s="84">
        <f t="shared" si="1"/>
        <v>-0.24404203895675591</v>
      </c>
      <c r="O48" s="85">
        <f>IF(OR(H48=0,L48=0),"",(N48/H48))</f>
        <v>-0.10677858239085457</v>
      </c>
      <c r="Q48" s="98"/>
      <c r="R48" s="141"/>
      <c r="S48" s="294">
        <f>F48*K48</f>
        <v>2.2445219621831076</v>
      </c>
      <c r="T48" s="87"/>
      <c r="U48" s="89"/>
      <c r="V48" s="90"/>
      <c r="W48" s="69"/>
      <c r="X48" s="98"/>
      <c r="Y48" s="141"/>
      <c r="Z48" s="88"/>
      <c r="AA48" s="87"/>
      <c r="AB48" s="89"/>
      <c r="AC48" s="90"/>
      <c r="AD48" s="69"/>
      <c r="AE48" s="98"/>
      <c r="AF48" s="141"/>
      <c r="AG48" s="88"/>
      <c r="AH48" s="87"/>
      <c r="AI48" s="89"/>
      <c r="AJ48" s="90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</row>
    <row r="49" spans="1:60" x14ac:dyDescent="0.25">
      <c r="A49" s="1"/>
      <c r="B49" s="271" t="str">
        <f>IF(Rates!D238='Residential BRT (10%)'!$A$48,Rates!B238," ")</f>
        <v>Retail Transmission Rate – Line and Transformation Connection Service Rate</v>
      </c>
      <c r="C49" s="79"/>
      <c r="D49" s="271" t="str">
        <f>IF(Rates!D238='Residential BRT (10%)'!$A$48,Rates!E238," ")</f>
        <v>kWh</v>
      </c>
      <c r="E49" s="91"/>
      <c r="F49" s="235">
        <f>IF(Rates!$J$1="BRT 2018",Rates!J238," ")</f>
        <v>3.3E-3</v>
      </c>
      <c r="G49" s="140">
        <f>$G48</f>
        <v>374.67150000000004</v>
      </c>
      <c r="H49" s="82">
        <f>G49*F49</f>
        <v>1.23641595</v>
      </c>
      <c r="I49" s="91"/>
      <c r="J49" s="235">
        <f>IF(Rates!$L$1="E+ 2019",Rates!L238," ")</f>
        <v>4.137812914852752E-3</v>
      </c>
      <c r="K49" s="140">
        <f>$F$18*(1+$J$68)</f>
        <v>367.95442003001762</v>
      </c>
      <c r="L49" s="82">
        <f>K49*J49</f>
        <v>1.5225265512773609</v>
      </c>
      <c r="M49" s="91"/>
      <c r="N49" s="84">
        <f t="shared" si="1"/>
        <v>0.28611060127736088</v>
      </c>
      <c r="O49" s="85">
        <f>IF(OR(H49=0,L49=0),"",(N49/H49))</f>
        <v>0.23140319507958537</v>
      </c>
      <c r="Q49" s="98"/>
      <c r="R49" s="141"/>
      <c r="S49" s="295">
        <f>F49*K49</f>
        <v>1.2142495860990581</v>
      </c>
      <c r="T49" s="87"/>
      <c r="U49" s="89"/>
      <c r="V49" s="90"/>
      <c r="W49" s="69"/>
      <c r="X49" s="98"/>
      <c r="Y49" s="141"/>
      <c r="Z49" s="88"/>
      <c r="AA49" s="87"/>
      <c r="AB49" s="89"/>
      <c r="AC49" s="90"/>
      <c r="AD49" s="69"/>
      <c r="AE49" s="98"/>
      <c r="AF49" s="141"/>
      <c r="AG49" s="88"/>
      <c r="AH49" s="87"/>
      <c r="AI49" s="89"/>
      <c r="AJ49" s="90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</row>
    <row r="50" spans="1:60" x14ac:dyDescent="0.25">
      <c r="A50" s="1"/>
      <c r="B50" s="132" t="s">
        <v>81</v>
      </c>
      <c r="C50" s="110"/>
      <c r="D50" s="110"/>
      <c r="E50" s="110"/>
      <c r="F50" s="142"/>
      <c r="G50" s="135"/>
      <c r="H50" s="136">
        <f>SUM(H47:H49)</f>
        <v>32.03151419018517</v>
      </c>
      <c r="I50" s="277"/>
      <c r="J50" s="144"/>
      <c r="K50" s="145"/>
      <c r="L50" s="136">
        <f>SUM(L47:L49)</f>
        <v>32.505951161677451</v>
      </c>
      <c r="M50" s="277"/>
      <c r="N50" s="117">
        <f>L50-H50</f>
        <v>0.47443697149228115</v>
      </c>
      <c r="O50" s="138">
        <f>IF(OR(H50=0,L50=0),"",(N50/H50))</f>
        <v>1.4811568653150158E-2</v>
      </c>
      <c r="Q50" s="146"/>
      <c r="R50" s="146"/>
      <c r="S50" s="296">
        <f>S48+S49</f>
        <v>3.4587715482821659</v>
      </c>
      <c r="T50" s="146"/>
      <c r="U50" s="121"/>
      <c r="V50" s="139"/>
      <c r="W50" s="69"/>
      <c r="X50" s="146"/>
      <c r="Y50" s="146"/>
      <c r="Z50" s="121"/>
      <c r="AA50" s="146"/>
      <c r="AB50" s="121"/>
      <c r="AC50" s="139"/>
      <c r="AD50" s="69"/>
      <c r="AE50" s="146"/>
      <c r="AF50" s="146"/>
      <c r="AG50" s="121"/>
      <c r="AH50" s="146"/>
      <c r="AI50" s="121"/>
      <c r="AJ50" s="13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</row>
    <row r="51" spans="1:60" x14ac:dyDescent="0.25">
      <c r="A51" s="4" t="s">
        <v>17</v>
      </c>
      <c r="B51" s="271" t="str">
        <f>IF(Rates!D8='Residential BRT (10%)'!$A$51,Rates!B8," ")</f>
        <v>Standard Supply Service – Administrative Charge (if applicable)</v>
      </c>
      <c r="C51" s="79"/>
      <c r="D51" s="271" t="str">
        <f>IF(Rates!D8='Residential BRT (10%)'!$A$51,Rates!E8," ")</f>
        <v>customer</v>
      </c>
      <c r="E51" s="79"/>
      <c r="F51" s="235">
        <f>IF(Rates!$J$1="BRT 2018",Rates!J8," ")</f>
        <v>0.25</v>
      </c>
      <c r="G51" s="81">
        <f t="shared" ref="G51" si="19">IF(D51="customer",1,IF(D51="kWh",$F$18,$F$19))</f>
        <v>1</v>
      </c>
      <c r="H51" s="148">
        <f t="shared" ref="H51:H59" si="20">G51*F51</f>
        <v>0.25</v>
      </c>
      <c r="I51" s="91"/>
      <c r="J51" s="80">
        <f>IF(Rates!$L$1="E+ 2019",Rates!L8," ")</f>
        <v>0.25</v>
      </c>
      <c r="K51" s="97">
        <f t="shared" ref="K51" si="21">IF(D51="customer",1,IF(D51="kWh",$F$18,$F$19))</f>
        <v>1</v>
      </c>
      <c r="L51" s="148">
        <f t="shared" ref="L51:L59" si="22">K51*J51</f>
        <v>0.25</v>
      </c>
      <c r="M51" s="91"/>
      <c r="N51" s="149">
        <f t="shared" si="1"/>
        <v>0</v>
      </c>
      <c r="O51" s="85">
        <f>IF(OR(H51=0,L51=0),"",(N51/H51))</f>
        <v>0</v>
      </c>
      <c r="Q51" s="150"/>
      <c r="R51" s="141"/>
      <c r="S51" s="151"/>
      <c r="T51" s="87"/>
      <c r="U51" s="89"/>
      <c r="V51" s="90"/>
      <c r="W51" s="69"/>
      <c r="X51" s="150"/>
      <c r="Y51" s="141"/>
      <c r="Z51" s="151"/>
      <c r="AA51" s="87"/>
      <c r="AB51" s="89"/>
      <c r="AC51" s="90"/>
      <c r="AD51" s="69"/>
      <c r="AE51" s="150"/>
      <c r="AF51" s="141"/>
      <c r="AG51" s="151"/>
      <c r="AH51" s="87"/>
      <c r="AI51" s="89"/>
      <c r="AJ51" s="90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</row>
    <row r="52" spans="1:60" x14ac:dyDescent="0.25">
      <c r="A52" s="1"/>
      <c r="B52" s="271" t="str">
        <f>IF(Rates!D9='Residential BRT (10%)'!$A$51,Rates!B9," ")</f>
        <v xml:space="preserve">Wholesale Market Service Rate </v>
      </c>
      <c r="C52" s="79"/>
      <c r="D52" s="271" t="str">
        <f>IF(Rates!D9='Residential BRT (10%)'!$A$51,Rates!E9," ")</f>
        <v>kWh</v>
      </c>
      <c r="E52" s="79"/>
      <c r="F52" s="235">
        <f>IF(Rates!$J$1="BRT 2018",Rates!J9," ")</f>
        <v>3.2000000000000002E-3</v>
      </c>
      <c r="G52" s="140">
        <f>G48</f>
        <v>374.67150000000004</v>
      </c>
      <c r="H52" s="148">
        <f t="shared" si="20"/>
        <v>1.1989488000000001</v>
      </c>
      <c r="I52" s="91"/>
      <c r="J52" s="235">
        <f>IF(Rates!$L$1="E+ 2019",Rates!L9," ")</f>
        <v>3.2000000000000002E-3</v>
      </c>
      <c r="K52" s="140">
        <f t="shared" ref="K52:K54" si="23">$F$18*(1+$J$68)</f>
        <v>367.95442003001762</v>
      </c>
      <c r="L52" s="148">
        <f t="shared" si="22"/>
        <v>1.1774541440960564</v>
      </c>
      <c r="M52" s="91"/>
      <c r="N52" s="84">
        <f t="shared" si="1"/>
        <v>-2.1494655903943727E-2</v>
      </c>
      <c r="O52" s="85">
        <f t="shared" ref="O52:O65" si="24">IF(OR(H52=0,L52=0),"",(N52/H52))</f>
        <v>-1.7927918109550404E-2</v>
      </c>
      <c r="Q52" s="150"/>
      <c r="R52" s="141"/>
      <c r="S52" s="151"/>
      <c r="T52" s="87"/>
      <c r="U52" s="89"/>
      <c r="V52" s="90"/>
      <c r="W52" s="69"/>
      <c r="X52" s="150"/>
      <c r="Y52" s="141"/>
      <c r="Z52" s="151"/>
      <c r="AA52" s="87"/>
      <c r="AB52" s="89"/>
      <c r="AC52" s="90"/>
      <c r="AD52" s="69"/>
      <c r="AE52" s="150"/>
      <c r="AF52" s="141"/>
      <c r="AG52" s="151"/>
      <c r="AH52" s="87"/>
      <c r="AI52" s="89"/>
      <c r="AJ52" s="90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</row>
    <row r="53" spans="1:60" x14ac:dyDescent="0.25">
      <c r="A53" s="1"/>
      <c r="B53" s="271" t="str">
        <f>IF(Rates!D10='Residential BRT (10%)'!$A$51,Rates!B10," ")</f>
        <v>Capacity Based Rcovery(CBR) - Class B Customers</v>
      </c>
      <c r="C53" s="79"/>
      <c r="D53" s="271" t="str">
        <f>IF(Rates!D10='Residential BRT (10%)'!$A$51,Rates!E10," ")</f>
        <v>kWh</v>
      </c>
      <c r="E53" s="79"/>
      <c r="F53" s="235">
        <f>IF(Rates!$J$1="BRT 2018",Rates!J10," ")</f>
        <v>4.0000000000000002E-4</v>
      </c>
      <c r="G53" s="140">
        <f>G48</f>
        <v>374.67150000000004</v>
      </c>
      <c r="H53" s="148">
        <f t="shared" si="20"/>
        <v>0.14986860000000002</v>
      </c>
      <c r="I53" s="91"/>
      <c r="J53" s="235">
        <f>IF(Rates!$L$1="E+ 2019",Rates!L10," ")</f>
        <v>4.0000000000000002E-4</v>
      </c>
      <c r="K53" s="140">
        <f t="shared" si="23"/>
        <v>367.95442003001762</v>
      </c>
      <c r="L53" s="148">
        <f t="shared" si="22"/>
        <v>0.14718176801200705</v>
      </c>
      <c r="M53" s="91"/>
      <c r="N53" s="84">
        <f t="shared" si="1"/>
        <v>-2.6868319879929659E-3</v>
      </c>
      <c r="O53" s="85">
        <f t="shared" si="24"/>
        <v>-1.7927918109550404E-2</v>
      </c>
      <c r="Q53" s="150"/>
      <c r="R53" s="141"/>
      <c r="S53" s="151"/>
      <c r="T53" s="87"/>
      <c r="U53" s="89"/>
      <c r="V53" s="90"/>
      <c r="W53" s="69"/>
      <c r="X53" s="150"/>
      <c r="Y53" s="141"/>
      <c r="Z53" s="151"/>
      <c r="AA53" s="87"/>
      <c r="AB53" s="89"/>
      <c r="AC53" s="90"/>
      <c r="AD53" s="69"/>
      <c r="AE53" s="150"/>
      <c r="AF53" s="141"/>
      <c r="AG53" s="151"/>
      <c r="AH53" s="87"/>
      <c r="AI53" s="89"/>
      <c r="AJ53" s="90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</row>
    <row r="54" spans="1:60" x14ac:dyDescent="0.25">
      <c r="A54" s="1"/>
      <c r="B54" s="271" t="str">
        <f>IF(Rates!D11='Residential BRT (10%)'!$A$51,Rates!B11," ")</f>
        <v xml:space="preserve">Rural Rate Protection Charge </v>
      </c>
      <c r="C54" s="79"/>
      <c r="D54" s="271" t="str">
        <f>IF(Rates!D11='Residential BRT (10%)'!$A$51,Rates!E11," ")</f>
        <v>kWh</v>
      </c>
      <c r="E54" s="79"/>
      <c r="F54" s="235">
        <f>IF(Rates!$J$1="BRT 2018",Rates!J11," ")</f>
        <v>2.9999999999999997E-4</v>
      </c>
      <c r="G54" s="140">
        <f>G49</f>
        <v>374.67150000000004</v>
      </c>
      <c r="H54" s="148">
        <f t="shared" si="20"/>
        <v>0.11240145</v>
      </c>
      <c r="I54" s="91"/>
      <c r="J54" s="235">
        <f>IF(Rates!$L$1="E+ 2019",Rates!L11," ")</f>
        <v>2.9999999999999997E-4</v>
      </c>
      <c r="K54" s="140">
        <f t="shared" si="23"/>
        <v>367.95442003001762</v>
      </c>
      <c r="L54" s="148">
        <f t="shared" si="22"/>
        <v>0.11038632600900528</v>
      </c>
      <c r="M54" s="91"/>
      <c r="N54" s="84">
        <f t="shared" si="1"/>
        <v>-2.0151239909947244E-3</v>
      </c>
      <c r="O54" s="85">
        <f t="shared" si="24"/>
        <v>-1.7927918109550404E-2</v>
      </c>
      <c r="Q54" s="153"/>
      <c r="R54" s="87"/>
      <c r="S54" s="151"/>
      <c r="T54" s="87"/>
      <c r="U54" s="89"/>
      <c r="V54" s="90"/>
      <c r="W54" s="69"/>
      <c r="X54" s="153"/>
      <c r="Y54" s="87"/>
      <c r="Z54" s="151"/>
      <c r="AA54" s="87"/>
      <c r="AB54" s="89"/>
      <c r="AC54" s="90"/>
      <c r="AD54" s="69"/>
      <c r="AE54" s="153"/>
      <c r="AF54" s="87"/>
      <c r="AG54" s="151"/>
      <c r="AH54" s="87"/>
      <c r="AI54" s="89"/>
      <c r="AJ54" s="90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</row>
    <row r="55" spans="1:60" x14ac:dyDescent="0.25">
      <c r="A55" s="6" t="s">
        <v>14</v>
      </c>
      <c r="B55" s="271" t="str">
        <f>IF(Rates!D2='Residential BRT (10%)'!$A$55,Rates!B2," ")</f>
        <v>TOU - Off Peak</v>
      </c>
      <c r="C55" s="79"/>
      <c r="D55" s="271" t="str">
        <f>IF(Rates!D2='Residential BRT (10%)'!$A$55,Rates!E2," ")</f>
        <v>kWh</v>
      </c>
      <c r="E55" s="79"/>
      <c r="F55" s="235">
        <f>IF(Rates!$J$1="BRT 2018",Rates!J2," ")</f>
        <v>6.5000000000000002E-2</v>
      </c>
      <c r="G55" s="154">
        <f>IF($D$16="TOU",0.65*$F$18,0)</f>
        <v>232.05</v>
      </c>
      <c r="H55" s="148">
        <f t="shared" si="20"/>
        <v>15.083250000000001</v>
      </c>
      <c r="I55" s="91"/>
      <c r="J55" s="235">
        <f>IF(Rates!$L$1="E+ 2019",Rates!L2," ")</f>
        <v>6.5000000000000002E-2</v>
      </c>
      <c r="K55" s="154">
        <f>$G55</f>
        <v>232.05</v>
      </c>
      <c r="L55" s="155">
        <f t="shared" si="22"/>
        <v>15.083250000000001</v>
      </c>
      <c r="M55" s="91"/>
      <c r="N55" s="84">
        <f t="shared" si="1"/>
        <v>0</v>
      </c>
      <c r="O55" s="156">
        <f t="shared" si="24"/>
        <v>0</v>
      </c>
      <c r="Q55" s="157"/>
      <c r="R55" s="158"/>
      <c r="S55" s="151"/>
      <c r="T55" s="87"/>
      <c r="U55" s="89"/>
      <c r="V55" s="90"/>
      <c r="W55" s="69"/>
      <c r="X55" s="157"/>
      <c r="Y55" s="158"/>
      <c r="Z55" s="151"/>
      <c r="AA55" s="87"/>
      <c r="AB55" s="89"/>
      <c r="AC55" s="90"/>
      <c r="AD55" s="69"/>
      <c r="AE55" s="157"/>
      <c r="AF55" s="158"/>
      <c r="AG55" s="151"/>
      <c r="AH55" s="87"/>
      <c r="AI55" s="89"/>
      <c r="AJ55" s="90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</row>
    <row r="56" spans="1:60" x14ac:dyDescent="0.25">
      <c r="A56" s="1"/>
      <c r="B56" s="271" t="str">
        <f>IF(Rates!D3='Residential BRT (10%)'!$A$55,Rates!B3," ")</f>
        <v>TOU - Mid Peak</v>
      </c>
      <c r="C56" s="79"/>
      <c r="D56" s="271" t="str">
        <f>IF(Rates!D3='Residential BRT (10%)'!$A$55,Rates!E3," ")</f>
        <v>kWh</v>
      </c>
      <c r="E56" s="79"/>
      <c r="F56" s="235">
        <f>IF(Rates!$J$1="BRT 2018",Rates!J3," ")</f>
        <v>9.5000000000000001E-2</v>
      </c>
      <c r="G56" s="154">
        <f>IF($D$16="TOU",0.17*$F$18,0)</f>
        <v>60.690000000000005</v>
      </c>
      <c r="H56" s="155">
        <f t="shared" si="20"/>
        <v>5.7655500000000002</v>
      </c>
      <c r="I56" s="91"/>
      <c r="J56" s="235">
        <f>IF(Rates!$L$1="E+ 2019",Rates!L3," ")</f>
        <v>9.5000000000000001E-2</v>
      </c>
      <c r="K56" s="154">
        <f>$G56</f>
        <v>60.690000000000005</v>
      </c>
      <c r="L56" s="155">
        <f t="shared" si="22"/>
        <v>5.7655500000000002</v>
      </c>
      <c r="M56" s="91"/>
      <c r="N56" s="84">
        <f t="shared" si="1"/>
        <v>0</v>
      </c>
      <c r="O56" s="156">
        <f t="shared" si="24"/>
        <v>0</v>
      </c>
      <c r="Q56" s="157"/>
      <c r="R56" s="158"/>
      <c r="S56" s="151"/>
      <c r="T56" s="87"/>
      <c r="U56" s="89"/>
      <c r="V56" s="90"/>
      <c r="W56" s="69"/>
      <c r="X56" s="157"/>
      <c r="Y56" s="158"/>
      <c r="Z56" s="151"/>
      <c r="AA56" s="87"/>
      <c r="AB56" s="89"/>
      <c r="AC56" s="90"/>
      <c r="AD56" s="69"/>
      <c r="AE56" s="157"/>
      <c r="AF56" s="158"/>
      <c r="AG56" s="151"/>
      <c r="AH56" s="87"/>
      <c r="AI56" s="89"/>
      <c r="AJ56" s="90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</row>
    <row r="57" spans="1:60" x14ac:dyDescent="0.25">
      <c r="A57" s="1"/>
      <c r="B57" s="271" t="str">
        <f>IF(Rates!D4='Residential BRT (10%)'!$A$55,Rates!B4," ")</f>
        <v>TOU - On Peak</v>
      </c>
      <c r="C57" s="79"/>
      <c r="D57" s="271" t="str">
        <f>IF(Rates!D4='Residential BRT (10%)'!$A$55,Rates!E4," ")</f>
        <v>kWh</v>
      </c>
      <c r="E57" s="79"/>
      <c r="F57" s="235">
        <f>IF(Rates!$J$1="BRT 2018",Rates!J4," ")</f>
        <v>0.13200000000000001</v>
      </c>
      <c r="G57" s="154">
        <f>IF($D$16="TOU",0.18*$F$18,0)</f>
        <v>64.259999999999991</v>
      </c>
      <c r="H57" s="155">
        <f t="shared" si="20"/>
        <v>8.4823199999999996</v>
      </c>
      <c r="I57" s="91"/>
      <c r="J57" s="235">
        <f>IF(Rates!$L$1="E+ 2019",Rates!L4," ")</f>
        <v>0.13200000000000001</v>
      </c>
      <c r="K57" s="154">
        <f>$G57</f>
        <v>64.259999999999991</v>
      </c>
      <c r="L57" s="155">
        <f t="shared" si="22"/>
        <v>8.4823199999999996</v>
      </c>
      <c r="M57" s="91"/>
      <c r="N57" s="84">
        <f t="shared" si="1"/>
        <v>0</v>
      </c>
      <c r="O57" s="156">
        <f t="shared" si="24"/>
        <v>0</v>
      </c>
      <c r="Q57" s="157"/>
      <c r="R57" s="158"/>
      <c r="S57" s="151"/>
      <c r="T57" s="87"/>
      <c r="U57" s="89"/>
      <c r="V57" s="90"/>
      <c r="W57" s="69"/>
      <c r="X57" s="157"/>
      <c r="Y57" s="158"/>
      <c r="Z57" s="151"/>
      <c r="AA57" s="87"/>
      <c r="AB57" s="89"/>
      <c r="AC57" s="90"/>
      <c r="AD57" s="69"/>
      <c r="AE57" s="157"/>
      <c r="AF57" s="158"/>
      <c r="AG57" s="151"/>
      <c r="AH57" s="87"/>
      <c r="AI57" s="89"/>
      <c r="AJ57" s="90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</row>
    <row r="58" spans="1:60" x14ac:dyDescent="0.25">
      <c r="A58" s="159"/>
      <c r="B58" s="271" t="str">
        <f>IF(Rates!D5='Residential BRT (10%)'!$A$55,Rates!B5," ")</f>
        <v>Commodity</v>
      </c>
      <c r="C58" s="79"/>
      <c r="D58" s="271" t="str">
        <f>IF(Rates!D5='Residential BRT (10%)'!$A$55,Rates!E5," ")</f>
        <v>kWh</v>
      </c>
      <c r="E58" s="161"/>
      <c r="F58" s="235">
        <f>IF(Rates!$J$1="BRT 2018",Rates!J5," ")</f>
        <v>1.8855833333333332E-2</v>
      </c>
      <c r="G58" s="162">
        <f>IF($D$16="TOU", 0,$F$18)</f>
        <v>0</v>
      </c>
      <c r="H58" s="155">
        <f t="shared" si="20"/>
        <v>0</v>
      </c>
      <c r="I58" s="278"/>
      <c r="J58" s="235">
        <f>IF(Rates!$L$1="E+ 2019",Rates!L5," ")</f>
        <v>1.8855833333333332E-2</v>
      </c>
      <c r="K58" s="162">
        <f>G58</f>
        <v>0</v>
      </c>
      <c r="L58" s="155">
        <f t="shared" si="22"/>
        <v>0</v>
      </c>
      <c r="M58" s="278"/>
      <c r="N58" s="164">
        <f t="shared" si="1"/>
        <v>0</v>
      </c>
      <c r="O58" s="156" t="str">
        <f t="shared" si="24"/>
        <v/>
      </c>
      <c r="Q58" s="157"/>
      <c r="R58" s="165"/>
      <c r="S58" s="151"/>
      <c r="T58" s="166"/>
      <c r="U58" s="89"/>
      <c r="V58" s="90"/>
      <c r="W58" s="69"/>
      <c r="X58" s="157"/>
      <c r="Y58" s="165"/>
      <c r="Z58" s="151"/>
      <c r="AA58" s="166"/>
      <c r="AB58" s="89"/>
      <c r="AC58" s="90"/>
      <c r="AD58" s="69"/>
      <c r="AE58" s="157"/>
      <c r="AF58" s="165"/>
      <c r="AG58" s="151"/>
      <c r="AH58" s="166"/>
      <c r="AI58" s="89"/>
      <c r="AJ58" s="90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</row>
    <row r="59" spans="1:60" x14ac:dyDescent="0.25">
      <c r="A59" s="159"/>
      <c r="B59" s="271" t="str">
        <f>IF(Rates!D6='Residential BRT (10%)'!$A$55,Rates!B6," ")</f>
        <v>Global Adjustment</v>
      </c>
      <c r="C59" s="79"/>
      <c r="D59" s="271" t="str">
        <f>IF(Rates!D6='Residential BRT (10%)'!$A$55,Rates!E6," ")</f>
        <v>kWh</v>
      </c>
      <c r="E59" s="161"/>
      <c r="F59" s="235">
        <f>IF(Rates!$J$1="BRT 2018",Rates!J6," ")</f>
        <v>0.10303000000000001</v>
      </c>
      <c r="G59" s="162">
        <f>IF($D$16="TOU", 0,$F$18)</f>
        <v>0</v>
      </c>
      <c r="H59" s="155">
        <f t="shared" si="20"/>
        <v>0</v>
      </c>
      <c r="I59" s="278"/>
      <c r="J59" s="235">
        <f>IF(Rates!$L$1="E+ 2019",Rates!L6," ")</f>
        <v>0.10303000000000001</v>
      </c>
      <c r="K59" s="162">
        <f>$G59</f>
        <v>0</v>
      </c>
      <c r="L59" s="155">
        <f t="shared" si="22"/>
        <v>0</v>
      </c>
      <c r="M59" s="278"/>
      <c r="N59" s="164">
        <f t="shared" si="1"/>
        <v>0</v>
      </c>
      <c r="O59" s="156" t="str">
        <f t="shared" si="24"/>
        <v/>
      </c>
      <c r="Q59" s="157"/>
      <c r="R59" s="165"/>
      <c r="S59" s="151"/>
      <c r="T59" s="166"/>
      <c r="U59" s="89"/>
      <c r="V59" s="90"/>
      <c r="W59" s="69"/>
      <c r="X59" s="157"/>
      <c r="Y59" s="165"/>
      <c r="Z59" s="151"/>
      <c r="AA59" s="166"/>
      <c r="AB59" s="89"/>
      <c r="AC59" s="90"/>
      <c r="AD59" s="69"/>
      <c r="AE59" s="157"/>
      <c r="AF59" s="165"/>
      <c r="AG59" s="151"/>
      <c r="AH59" s="166"/>
      <c r="AI59" s="89"/>
      <c r="AJ59" s="90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</row>
    <row r="60" spans="1:60" hidden="1" x14ac:dyDescent="0.25">
      <c r="A60" s="159"/>
      <c r="B60" s="167"/>
      <c r="C60" s="160"/>
      <c r="D60" s="160"/>
      <c r="E60" s="161"/>
      <c r="F60" s="147"/>
      <c r="G60" s="162"/>
      <c r="H60" s="155"/>
      <c r="I60" s="278"/>
      <c r="J60" s="169">
        <f t="shared" ref="J60" si="25">+F60</f>
        <v>0</v>
      </c>
      <c r="K60" s="168"/>
      <c r="L60" s="155"/>
      <c r="M60" s="278"/>
      <c r="N60" s="164">
        <f t="shared" si="1"/>
        <v>0</v>
      </c>
      <c r="O60" s="156" t="str">
        <f t="shared" si="24"/>
        <v/>
      </c>
      <c r="Q60" s="157"/>
      <c r="R60" s="165"/>
      <c r="S60" s="151"/>
      <c r="T60" s="166"/>
      <c r="U60" s="89"/>
      <c r="V60" s="90"/>
      <c r="W60" s="69"/>
      <c r="X60" s="157"/>
      <c r="Y60" s="165"/>
      <c r="Z60" s="151"/>
      <c r="AA60" s="166"/>
      <c r="AB60" s="89"/>
      <c r="AC60" s="90"/>
      <c r="AD60" s="69"/>
      <c r="AE60" s="157"/>
      <c r="AF60" s="165"/>
      <c r="AG60" s="151"/>
      <c r="AH60" s="166"/>
      <c r="AI60" s="89"/>
      <c r="AJ60" s="90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</row>
    <row r="61" spans="1:60" x14ac:dyDescent="0.25">
      <c r="A61" s="1"/>
      <c r="B61" s="170"/>
      <c r="C61" s="171"/>
      <c r="D61" s="171"/>
      <c r="E61" s="171"/>
      <c r="F61" s="387"/>
      <c r="G61" s="172"/>
      <c r="H61" s="388"/>
      <c r="I61" s="87"/>
      <c r="J61" s="387"/>
      <c r="K61" s="173"/>
      <c r="L61" s="388"/>
      <c r="M61" s="87"/>
      <c r="N61" s="394"/>
      <c r="O61" s="395"/>
      <c r="Q61" s="157"/>
      <c r="R61" s="120"/>
      <c r="S61" s="151"/>
      <c r="T61" s="87"/>
      <c r="U61" s="89"/>
      <c r="V61" s="174"/>
      <c r="W61" s="69"/>
      <c r="X61" s="157"/>
      <c r="Y61" s="120"/>
      <c r="Z61" s="151"/>
      <c r="AA61" s="87"/>
      <c r="AB61" s="89"/>
      <c r="AC61" s="174"/>
      <c r="AD61" s="69"/>
      <c r="AE61" s="157"/>
      <c r="AF61" s="120"/>
      <c r="AG61" s="151"/>
      <c r="AH61" s="87"/>
      <c r="AI61" s="89"/>
      <c r="AJ61" s="174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</row>
    <row r="62" spans="1:60" x14ac:dyDescent="0.25">
      <c r="A62" s="1"/>
      <c r="B62" s="175" t="s">
        <v>82</v>
      </c>
      <c r="C62" s="78"/>
      <c r="D62" s="78"/>
      <c r="E62" s="78"/>
      <c r="F62" s="176"/>
      <c r="G62" s="177"/>
      <c r="H62" s="179">
        <f>SUM(H51:H57,H50)</f>
        <v>63.07385304018517</v>
      </c>
      <c r="I62" s="146"/>
      <c r="J62" s="178"/>
      <c r="K62" s="178"/>
      <c r="L62" s="179">
        <f>SUM(L51:L57,L50)</f>
        <v>63.522093399794521</v>
      </c>
      <c r="M62" s="146"/>
      <c r="N62" s="179">
        <f>L62-H62</f>
        <v>0.44824035960935049</v>
      </c>
      <c r="O62" s="180">
        <f t="shared" si="24"/>
        <v>7.1065954909044597E-3</v>
      </c>
      <c r="Q62" s="181"/>
      <c r="R62" s="181"/>
      <c r="S62" s="121"/>
      <c r="T62" s="146"/>
      <c r="U62" s="89"/>
      <c r="V62" s="90"/>
      <c r="W62" s="69"/>
      <c r="X62" s="181"/>
      <c r="Y62" s="181"/>
      <c r="Z62" s="121"/>
      <c r="AA62" s="146"/>
      <c r="AB62" s="89"/>
      <c r="AC62" s="90"/>
      <c r="AD62" s="69"/>
      <c r="AE62" s="181"/>
      <c r="AF62" s="181"/>
      <c r="AG62" s="121"/>
      <c r="AH62" s="146"/>
      <c r="AI62" s="89"/>
      <c r="AJ62" s="90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</row>
    <row r="63" spans="1:60" x14ac:dyDescent="0.25">
      <c r="A63" s="1"/>
      <c r="B63" s="182" t="s">
        <v>9</v>
      </c>
      <c r="C63" s="78"/>
      <c r="D63" s="78"/>
      <c r="E63" s="78"/>
      <c r="F63" s="183">
        <v>0.13</v>
      </c>
      <c r="G63" s="87"/>
      <c r="H63" s="188">
        <f>$H$62*F63</f>
        <v>8.1996008952240729</v>
      </c>
      <c r="I63" s="187"/>
      <c r="J63" s="185">
        <v>0.13</v>
      </c>
      <c r="K63" s="184"/>
      <c r="L63" s="186">
        <f>$L$62*J63</f>
        <v>8.2578721419732872</v>
      </c>
      <c r="M63" s="187"/>
      <c r="N63" s="188">
        <f>L63-H63</f>
        <v>5.8271246749214356E-2</v>
      </c>
      <c r="O63" s="85">
        <f t="shared" si="24"/>
        <v>7.1065954909043123E-3</v>
      </c>
      <c r="Q63" s="189"/>
      <c r="R63" s="187"/>
      <c r="S63" s="190"/>
      <c r="T63" s="187"/>
      <c r="U63" s="89"/>
      <c r="V63" s="90"/>
      <c r="W63" s="69"/>
      <c r="X63" s="189"/>
      <c r="Y63" s="187"/>
      <c r="Z63" s="190"/>
      <c r="AA63" s="187"/>
      <c r="AB63" s="89"/>
      <c r="AC63" s="90"/>
      <c r="AD63" s="69"/>
      <c r="AE63" s="189"/>
      <c r="AF63" s="187"/>
      <c r="AG63" s="190"/>
      <c r="AH63" s="187"/>
      <c r="AI63" s="89"/>
      <c r="AJ63" s="90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</row>
    <row r="64" spans="1:60" x14ac:dyDescent="0.25">
      <c r="A64" s="1"/>
      <c r="B64" s="182" t="s">
        <v>106</v>
      </c>
      <c r="C64" s="78"/>
      <c r="D64" s="78"/>
      <c r="E64" s="78"/>
      <c r="F64" s="183">
        <v>-0.05</v>
      </c>
      <c r="G64" s="87"/>
      <c r="H64" s="188">
        <f>$H$62*F64</f>
        <v>-3.1536926520092585</v>
      </c>
      <c r="I64" s="187"/>
      <c r="J64" s="183">
        <v>-0.05</v>
      </c>
      <c r="K64" s="184"/>
      <c r="L64" s="186">
        <f>$L$62*J64</f>
        <v>-3.1761046699897264</v>
      </c>
      <c r="M64" s="187"/>
      <c r="N64" s="188">
        <f>L64-H64</f>
        <v>-2.241201798046788E-2</v>
      </c>
      <c r="O64" s="85">
        <f t="shared" si="24"/>
        <v>7.1065954909045725E-3</v>
      </c>
      <c r="Q64" s="189"/>
      <c r="R64" s="187"/>
      <c r="S64" s="190"/>
      <c r="T64" s="187"/>
      <c r="U64" s="89"/>
      <c r="V64" s="90"/>
      <c r="W64" s="69"/>
      <c r="X64" s="189"/>
      <c r="Y64" s="187"/>
      <c r="Z64" s="190"/>
      <c r="AA64" s="187"/>
      <c r="AB64" s="89"/>
      <c r="AC64" s="90"/>
      <c r="AD64" s="69"/>
      <c r="AE64" s="189"/>
      <c r="AF64" s="187"/>
      <c r="AG64" s="190"/>
      <c r="AH64" s="187"/>
      <c r="AI64" s="89"/>
      <c r="AJ64" s="90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</row>
    <row r="65" spans="1:60" ht="15.75" thickBot="1" x14ac:dyDescent="0.3">
      <c r="A65" s="1"/>
      <c r="B65" s="191" t="s">
        <v>83</v>
      </c>
      <c r="C65" s="192"/>
      <c r="D65" s="192"/>
      <c r="E65" s="192"/>
      <c r="F65" s="193"/>
      <c r="G65" s="194"/>
      <c r="H65" s="389">
        <f>SUM(H62:H64)</f>
        <v>68.119761283399981</v>
      </c>
      <c r="I65" s="187"/>
      <c r="J65" s="195"/>
      <c r="K65" s="195"/>
      <c r="L65" s="389">
        <f>SUM(L62:L64)</f>
        <v>68.603860871778082</v>
      </c>
      <c r="M65" s="187"/>
      <c r="N65" s="196">
        <f>L65-H65</f>
        <v>0.48409958837810052</v>
      </c>
      <c r="O65" s="197">
        <f t="shared" si="24"/>
        <v>7.1065954909044892E-3</v>
      </c>
      <c r="Q65" s="187"/>
      <c r="R65" s="187"/>
      <c r="S65" s="190"/>
      <c r="T65" s="187"/>
      <c r="U65" s="89"/>
      <c r="V65" s="90"/>
      <c r="W65" s="69"/>
      <c r="X65" s="187"/>
      <c r="Y65" s="187"/>
      <c r="Z65" s="190"/>
      <c r="AA65" s="187"/>
      <c r="AB65" s="89"/>
      <c r="AC65" s="90"/>
      <c r="AD65" s="69"/>
      <c r="AE65" s="187"/>
      <c r="AF65" s="187"/>
      <c r="AG65" s="190"/>
      <c r="AH65" s="187"/>
      <c r="AI65" s="89"/>
      <c r="AJ65" s="90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</row>
    <row r="66" spans="1:60" ht="15.75" thickBot="1" x14ac:dyDescent="0.3">
      <c r="A66" s="159"/>
      <c r="B66" s="198" t="s">
        <v>67</v>
      </c>
      <c r="C66" s="199"/>
      <c r="D66" s="199"/>
      <c r="E66" s="199"/>
      <c r="F66" s="390"/>
      <c r="G66" s="391"/>
      <c r="H66" s="392"/>
      <c r="I66" s="166"/>
      <c r="J66" s="390"/>
      <c r="K66" s="393"/>
      <c r="L66" s="392"/>
      <c r="M66" s="166"/>
      <c r="N66" s="396"/>
      <c r="O66" s="397"/>
      <c r="Q66" s="157"/>
      <c r="R66" s="206"/>
      <c r="S66" s="151"/>
      <c r="T66" s="166"/>
      <c r="U66" s="207"/>
      <c r="V66" s="174"/>
      <c r="W66" s="69"/>
      <c r="X66" s="157"/>
      <c r="Y66" s="206"/>
      <c r="Z66" s="151"/>
      <c r="AA66" s="166"/>
      <c r="AB66" s="207"/>
      <c r="AC66" s="174"/>
      <c r="AD66" s="69"/>
      <c r="AE66" s="157"/>
      <c r="AF66" s="206"/>
      <c r="AG66" s="151"/>
      <c r="AH66" s="166"/>
      <c r="AI66" s="207"/>
      <c r="AJ66" s="174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</row>
    <row r="67" spans="1:60" x14ac:dyDescent="0.25">
      <c r="A67" s="1"/>
      <c r="B67" s="1"/>
      <c r="C67" s="1"/>
      <c r="D67" s="1"/>
      <c r="E67" s="1"/>
      <c r="F67" s="1"/>
      <c r="G67" s="1"/>
      <c r="H67" s="1"/>
      <c r="I67" s="3"/>
      <c r="J67" s="1"/>
      <c r="K67" s="1"/>
      <c r="L67" s="67"/>
      <c r="M67" s="3"/>
      <c r="N67" s="1"/>
      <c r="O67" s="1"/>
      <c r="Q67" s="2"/>
      <c r="R67" s="2"/>
      <c r="S67" s="208"/>
      <c r="T67" s="2"/>
      <c r="U67" s="2"/>
      <c r="V67" s="2"/>
      <c r="W67" s="69"/>
      <c r="X67" s="2"/>
      <c r="Y67" s="2"/>
      <c r="Z67" s="208"/>
      <c r="AA67" s="2"/>
      <c r="AB67" s="2"/>
      <c r="AC67" s="2"/>
      <c r="AD67" s="69"/>
      <c r="AE67" s="2"/>
      <c r="AF67" s="2"/>
      <c r="AG67" s="208"/>
      <c r="AH67" s="2"/>
      <c r="AI67" s="2"/>
      <c r="AJ67" s="2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</row>
    <row r="68" spans="1:60" x14ac:dyDescent="0.25">
      <c r="A68" s="1"/>
      <c r="B68" s="65" t="s">
        <v>10</v>
      </c>
      <c r="C68" s="1"/>
      <c r="D68" s="1"/>
      <c r="E68" s="1"/>
      <c r="F68" s="209">
        <f>Rates!$S$2-1</f>
        <v>4.9500000000000099E-2</v>
      </c>
      <c r="G68" s="1"/>
      <c r="H68" s="1"/>
      <c r="I68" s="1"/>
      <c r="J68" s="209">
        <f>Rates!$T$2-1</f>
        <v>3.0684649944026976E-2</v>
      </c>
      <c r="K68" s="1"/>
      <c r="L68" s="1"/>
      <c r="M68" s="3"/>
      <c r="N68" s="1"/>
      <c r="O68" s="1"/>
      <c r="Q68" s="210"/>
      <c r="R68" s="2"/>
      <c r="S68" s="2"/>
      <c r="T68" s="2"/>
      <c r="U68" s="2"/>
      <c r="V68" s="2"/>
      <c r="W68" s="69"/>
      <c r="X68" s="210"/>
      <c r="Y68" s="2"/>
      <c r="Z68" s="2"/>
      <c r="AA68" s="2"/>
      <c r="AB68" s="2"/>
      <c r="AC68" s="2"/>
      <c r="AD68" s="69"/>
      <c r="AE68" s="210"/>
      <c r="AF68" s="2"/>
      <c r="AG68" s="2"/>
      <c r="AH68" s="2"/>
      <c r="AI68" s="2"/>
      <c r="AJ68" s="2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</row>
    <row r="69" spans="1:60" x14ac:dyDescent="0.25">
      <c r="A69" s="1"/>
      <c r="B69" s="1"/>
      <c r="C69" s="1"/>
      <c r="D69" s="1"/>
      <c r="E69" s="1"/>
      <c r="F69" s="1"/>
      <c r="G69" s="1"/>
      <c r="H69" s="1"/>
      <c r="I69" s="3"/>
      <c r="J69" s="1"/>
      <c r="K69" s="1"/>
      <c r="L69" s="1"/>
      <c r="M69" s="3"/>
      <c r="N69" s="1"/>
      <c r="O69" s="1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</row>
    <row r="70" spans="1:60" x14ac:dyDescent="0.25">
      <c r="A70" s="1" t="s">
        <v>84</v>
      </c>
      <c r="B70" s="1"/>
      <c r="C70" s="1"/>
      <c r="D70" s="1"/>
      <c r="E70" s="1"/>
      <c r="F70" s="1"/>
      <c r="G70" s="1"/>
      <c r="H70" s="1"/>
      <c r="I70" s="3"/>
      <c r="J70" s="1"/>
      <c r="K70" s="1"/>
      <c r="L70" s="1"/>
      <c r="M70" s="3"/>
      <c r="N70" s="1"/>
      <c r="O70" s="1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</row>
    <row r="71" spans="1:60" x14ac:dyDescent="0.25">
      <c r="A71" s="1" t="s">
        <v>85</v>
      </c>
      <c r="B71" s="1"/>
      <c r="C71" s="1"/>
      <c r="D71" s="1"/>
      <c r="E71" s="1"/>
      <c r="F71" s="1"/>
      <c r="G71" s="1"/>
      <c r="H71" s="1"/>
      <c r="I71" s="3"/>
      <c r="J71" s="1"/>
      <c r="K71" s="1"/>
      <c r="L71" s="1"/>
      <c r="M71" s="3"/>
      <c r="N71" s="1"/>
      <c r="O71" s="1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</row>
    <row r="72" spans="1:60" x14ac:dyDescent="0.25">
      <c r="A72" s="1"/>
      <c r="B72" s="1"/>
      <c r="C72" s="1"/>
      <c r="D72" s="1"/>
      <c r="E72" s="1"/>
      <c r="F72" s="1"/>
      <c r="G72" s="1"/>
      <c r="H72" s="1"/>
      <c r="I72" s="3"/>
      <c r="J72" s="1"/>
      <c r="K72" s="1"/>
      <c r="L72" s="1"/>
      <c r="M72" s="3"/>
      <c r="N72" s="1"/>
      <c r="O72" s="1"/>
    </row>
    <row r="73" spans="1:60" x14ac:dyDescent="0.25">
      <c r="A73" s="64" t="s">
        <v>86</v>
      </c>
      <c r="B73" s="1"/>
      <c r="C73" s="1"/>
      <c r="D73" s="1"/>
      <c r="E73" s="1"/>
      <c r="F73" s="1"/>
      <c r="G73" s="1"/>
      <c r="H73" s="1"/>
      <c r="I73" s="3"/>
      <c r="J73" s="1"/>
      <c r="K73" s="1"/>
      <c r="L73" s="1"/>
      <c r="M73" s="3"/>
      <c r="N73" s="1"/>
      <c r="O73" s="1"/>
    </row>
    <row r="74" spans="1:60" x14ac:dyDescent="0.25">
      <c r="A74" s="64" t="s">
        <v>87</v>
      </c>
      <c r="B74" s="1"/>
      <c r="C74" s="1"/>
      <c r="D74" s="1"/>
      <c r="E74" s="1"/>
      <c r="F74" s="1"/>
      <c r="G74" s="1"/>
      <c r="H74" s="1"/>
      <c r="I74" s="3"/>
      <c r="J74" s="1"/>
      <c r="K74" s="1"/>
      <c r="L74" s="1"/>
      <c r="M74" s="3"/>
      <c r="N74" s="1"/>
      <c r="O74" s="1"/>
    </row>
    <row r="75" spans="1:60" x14ac:dyDescent="0.25">
      <c r="A75" s="1"/>
      <c r="B75" s="1"/>
      <c r="C75" s="1"/>
      <c r="D75" s="1"/>
      <c r="E75" s="1"/>
      <c r="F75" s="1"/>
      <c r="G75" s="1"/>
      <c r="H75" s="1"/>
      <c r="I75" s="3"/>
      <c r="J75" s="1"/>
      <c r="K75" s="1"/>
      <c r="L75" s="1"/>
      <c r="M75" s="3"/>
      <c r="N75" s="1"/>
      <c r="O75" s="1"/>
    </row>
    <row r="76" spans="1:60" x14ac:dyDescent="0.25">
      <c r="A76" s="1" t="s">
        <v>88</v>
      </c>
      <c r="B76" s="1"/>
      <c r="C76" s="1"/>
      <c r="D76" s="1"/>
      <c r="E76" s="1"/>
      <c r="F76" s="1"/>
      <c r="G76" s="1"/>
      <c r="H76" s="1"/>
      <c r="I76" s="3"/>
      <c r="J76" s="1"/>
      <c r="K76" s="1"/>
      <c r="L76" s="1"/>
      <c r="M76" s="3"/>
      <c r="N76" s="1"/>
      <c r="O76" s="1"/>
    </row>
    <row r="77" spans="1:60" x14ac:dyDescent="0.25">
      <c r="A77" s="1" t="s">
        <v>89</v>
      </c>
      <c r="B77" s="1"/>
      <c r="C77" s="1"/>
      <c r="D77" s="1"/>
      <c r="E77" s="1"/>
      <c r="F77" s="1"/>
      <c r="G77" s="1"/>
      <c r="H77" s="1"/>
      <c r="I77" s="3"/>
      <c r="J77" s="1"/>
      <c r="K77" s="1"/>
      <c r="L77" s="1"/>
      <c r="M77" s="3"/>
      <c r="N77" s="1"/>
      <c r="O77" s="1"/>
    </row>
    <row r="78" spans="1:60" x14ac:dyDescent="0.25">
      <c r="A78" s="1" t="s">
        <v>90</v>
      </c>
      <c r="B78" s="1"/>
      <c r="C78" s="1"/>
      <c r="D78" s="1"/>
      <c r="E78" s="1"/>
      <c r="F78" s="1"/>
      <c r="G78" s="1"/>
      <c r="H78" s="1"/>
      <c r="I78" s="3"/>
      <c r="J78" s="1"/>
      <c r="K78" s="1"/>
      <c r="L78" s="1"/>
      <c r="M78" s="3"/>
      <c r="N78" s="1"/>
      <c r="O78" s="1"/>
    </row>
    <row r="79" spans="1:60" x14ac:dyDescent="0.25">
      <c r="A79" s="1" t="s">
        <v>91</v>
      </c>
      <c r="B79" s="1"/>
      <c r="C79" s="1"/>
      <c r="D79" s="1"/>
      <c r="E79" s="1"/>
      <c r="F79" s="1"/>
      <c r="G79" s="1"/>
      <c r="H79" s="1"/>
      <c r="I79" s="3"/>
      <c r="J79" s="1"/>
      <c r="K79" s="1"/>
      <c r="L79" s="1"/>
      <c r="M79" s="3"/>
      <c r="N79" s="1"/>
      <c r="O79" s="1"/>
    </row>
    <row r="80" spans="1:60" x14ac:dyDescent="0.25">
      <c r="A80" s="1" t="s">
        <v>92</v>
      </c>
      <c r="B80" s="1"/>
      <c r="C80" s="1"/>
      <c r="D80" s="1"/>
      <c r="E80" s="1"/>
      <c r="F80" s="1"/>
      <c r="G80" s="1"/>
      <c r="H80" s="1"/>
      <c r="I80" s="3"/>
      <c r="J80" s="1"/>
      <c r="K80" s="1"/>
      <c r="L80" s="1"/>
      <c r="M80" s="3"/>
      <c r="N80" s="1"/>
      <c r="O80" s="1"/>
    </row>
  </sheetData>
  <sheetProtection selectLockedCells="1"/>
  <mergeCells count="21">
    <mergeCell ref="AI20:AJ20"/>
    <mergeCell ref="A3:K3"/>
    <mergeCell ref="B10:O10"/>
    <mergeCell ref="B11:O11"/>
    <mergeCell ref="D14:O14"/>
    <mergeCell ref="F20:H20"/>
    <mergeCell ref="J20:L20"/>
    <mergeCell ref="N20:O20"/>
    <mergeCell ref="Q20:S20"/>
    <mergeCell ref="U20:V20"/>
    <mergeCell ref="X20:Z20"/>
    <mergeCell ref="AB20:AC20"/>
    <mergeCell ref="AE20:AG20"/>
    <mergeCell ref="AI21:AI22"/>
    <mergeCell ref="AJ21:AJ22"/>
    <mergeCell ref="N21:N22"/>
    <mergeCell ref="O21:O22"/>
    <mergeCell ref="U21:U22"/>
    <mergeCell ref="V21:V22"/>
    <mergeCell ref="AB21:AB22"/>
    <mergeCell ref="AC21:AC22"/>
  </mergeCells>
  <dataValidations count="2">
    <dataValidation type="list" allowBlank="1" showInputMessage="1" showErrorMessage="1" sqref="E48:E49 E51:E61 E37:E46 E66 E23:E35">
      <formula1>#REF!</formula1>
    </dataValidation>
    <dataValidation type="list" allowBlank="1" showInputMessage="1" showErrorMessage="1" sqref="D16">
      <formula1>"TOU, non-TOU"</formula1>
    </dataValidation>
  </dataValidations>
  <printOptions horizontalCentered="1"/>
  <pageMargins left="0.3" right="0.35" top="0.92" bottom="0.7" header="0.56999999999999995" footer="0.41"/>
  <pageSetup paperSize="256" scale="60" fitToHeight="0" orientation="landscape" r:id="rId1"/>
  <headerFooter>
    <oddHeader>&amp;REnergy+ Inc.
EB-2018-0xxx
Tab x
Schedule x
 2018 Apr 30
Page &amp;P of &amp;N</oddHeader>
    <oddFooter>&amp;C&amp;A</oddFooter>
  </headerFooter>
  <ignoredErrors>
    <ignoredError sqref="F68 J68 F23:F34 F36:F45 F47:F59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4865" r:id="rId4" name="Option Button 1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66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628650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67" r:id="rId6" name="Option Button 3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68" r:id="rId7" name="Option Button 4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628650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69" r:id="rId8" name="Option Button 5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0" r:id="rId9" name="Option Button 6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628650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1" r:id="rId10" name="Option Button 7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2" r:id="rId11" name="Option Button 8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628650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3" r:id="rId12" name="Option Button 9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4" r:id="rId13" name="Option Button 10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628650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5" r:id="rId14" name="Option Button 11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6" r:id="rId15" name="Option Button 12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628650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7" r:id="rId16" name="Option Button 13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8" r:id="rId17" name="Option Button 14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628650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9" r:id="rId18" name="Option Button 15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0" r:id="rId19" name="Option Button 16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628650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1" r:id="rId20" name="Option Button 17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2" r:id="rId21" name="Option Button 18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628650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3" r:id="rId22" name="Option Button 19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4" r:id="rId23" name="Option Button 20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628650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5" r:id="rId24" name="Option Button 21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6" r:id="rId25" name="Option Button 22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628650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7" r:id="rId26" name="Option Button 23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8" r:id="rId27" name="Option Button 24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628650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9" r:id="rId28" name="Option Button 25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0" r:id="rId29" name="Option Button 26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628650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1" r:id="rId30" name="Option Button 27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2" r:id="rId31" name="Option Button 28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628650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3" r:id="rId32" name="Option Button 29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4" r:id="rId33" name="Option Button 30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628650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5" r:id="rId34" name="Option Button 31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6" r:id="rId35" name="Option Button 32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628650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7" r:id="rId36" name="Option Button 33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8" r:id="rId37" name="Option Button 34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628650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9" r:id="rId38" name="Option Button 35">
              <controlPr defaultSize="0" autoFill="0" autoLine="0" autoPict="0">
                <anchor moveWithCells="1">
                  <from>
                    <xdr:col>9</xdr:col>
                    <xdr:colOff>361950</xdr:colOff>
                    <xdr:row>80</xdr:row>
                    <xdr:rowOff>0</xdr:rowOff>
                  </from>
                  <to>
                    <xdr:col>17</xdr:col>
                    <xdr:colOff>190500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00" r:id="rId39" name="Option Button 36">
              <controlPr defaultSize="0" autoFill="0" autoLine="0" autoPict="0">
                <anchor moveWithCells="1">
                  <from>
                    <xdr:col>6</xdr:col>
                    <xdr:colOff>381000</xdr:colOff>
                    <xdr:row>80</xdr:row>
                    <xdr:rowOff>0</xdr:rowOff>
                  </from>
                  <to>
                    <xdr:col>9</xdr:col>
                    <xdr:colOff>628650</xdr:colOff>
                    <xdr:row>81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8168889431442"/>
  </sheetPr>
  <dimension ref="A1:BH85"/>
  <sheetViews>
    <sheetView showGridLines="0" topLeftCell="A21" zoomScale="80" zoomScaleNormal="80" workbookViewId="0">
      <selection activeCell="J23" sqref="J23"/>
    </sheetView>
  </sheetViews>
  <sheetFormatPr defaultRowHeight="15" x14ac:dyDescent="0.25"/>
  <cols>
    <col min="1" max="1" width="20.7109375" customWidth="1"/>
    <col min="2" max="2" width="121.85546875" customWidth="1"/>
    <col min="3" max="3" width="1.140625" customWidth="1"/>
    <col min="4" max="4" width="12.28515625" customWidth="1"/>
    <col min="5" max="5" width="1.7109375" customWidth="1"/>
    <col min="6" max="6" width="11" customWidth="1"/>
    <col min="7" max="7" width="10.140625" bestFit="1" customWidth="1"/>
    <col min="8" max="8" width="10.5703125" customWidth="1"/>
    <col min="9" max="9" width="1" customWidth="1"/>
    <col min="10" max="10" width="12.140625" customWidth="1"/>
    <col min="11" max="11" width="10.140625" bestFit="1" customWidth="1"/>
    <col min="12" max="12" width="10.5703125" customWidth="1"/>
    <col min="13" max="13" width="0.85546875" style="94" customWidth="1"/>
    <col min="14" max="14" width="11.140625" customWidth="1"/>
    <col min="15" max="15" width="9.140625" customWidth="1"/>
    <col min="16" max="16" width="1.42578125" customWidth="1"/>
    <col min="17" max="17" width="6" customWidth="1"/>
    <col min="18" max="18" width="10.140625" bestFit="1" customWidth="1"/>
    <col min="19" max="19" width="9.5703125" customWidth="1"/>
    <col min="20" max="20" width="2" bestFit="1" customWidth="1"/>
    <col min="21" max="21" width="9.140625" customWidth="1"/>
    <col min="22" max="22" width="10.140625" customWidth="1"/>
    <col min="23" max="23" width="1.28515625" customWidth="1"/>
    <col min="24" max="24" width="11" customWidth="1"/>
    <col min="25" max="25" width="10.140625" bestFit="1" customWidth="1"/>
    <col min="26" max="26" width="9.85546875" customWidth="1"/>
    <col min="27" max="27" width="1.28515625" customWidth="1"/>
    <col min="30" max="30" width="0.85546875" customWidth="1"/>
    <col min="31" max="31" width="11.140625" customWidth="1"/>
    <col min="32" max="32" width="10.140625" bestFit="1" customWidth="1"/>
    <col min="33" max="33" width="9.28515625" customWidth="1"/>
    <col min="34" max="34" width="1.140625" customWidth="1"/>
    <col min="37" max="37" width="0.85546875" customWidth="1"/>
  </cols>
  <sheetData>
    <row r="1" spans="1:21" ht="21.75" x14ac:dyDescent="0.25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0"/>
      <c r="M1" s="2"/>
      <c r="N1" s="52" t="s">
        <v>68</v>
      </c>
      <c r="O1" s="53">
        <v>0</v>
      </c>
      <c r="T1">
        <v>2</v>
      </c>
      <c r="U1">
        <v>1</v>
      </c>
    </row>
    <row r="2" spans="1:21" ht="18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0"/>
      <c r="M2" s="2"/>
      <c r="N2" s="52" t="s">
        <v>69</v>
      </c>
      <c r="O2" s="55"/>
    </row>
    <row r="3" spans="1:21" ht="18" x14ac:dyDescent="0.25">
      <c r="A3" s="507"/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"/>
      <c r="M3" s="2"/>
      <c r="N3" s="52" t="s">
        <v>70</v>
      </c>
      <c r="O3" s="55"/>
    </row>
    <row r="4" spans="1:21" ht="18" x14ac:dyDescent="0.25">
      <c r="A4" s="54"/>
      <c r="B4" s="54"/>
      <c r="C4" s="54"/>
      <c r="D4" s="54"/>
      <c r="E4" s="54"/>
      <c r="F4" s="54"/>
      <c r="G4" s="54"/>
      <c r="H4" s="54"/>
      <c r="I4" s="56"/>
      <c r="J4" s="56"/>
      <c r="K4" s="56"/>
      <c r="L4" s="50"/>
      <c r="M4" s="2"/>
      <c r="N4" s="52" t="s">
        <v>71</v>
      </c>
      <c r="O4" s="55"/>
    </row>
    <row r="5" spans="1:21" ht="15.75" x14ac:dyDescent="0.25">
      <c r="A5" s="50"/>
      <c r="B5" s="50"/>
      <c r="C5" s="57"/>
      <c r="D5" s="57"/>
      <c r="E5" s="57"/>
      <c r="F5" s="50"/>
      <c r="G5" s="50"/>
      <c r="H5" s="50"/>
      <c r="I5" s="50"/>
      <c r="J5" s="50"/>
      <c r="K5" s="50"/>
      <c r="L5" s="50"/>
      <c r="M5" s="2"/>
      <c r="N5" s="52" t="s">
        <v>72</v>
      </c>
      <c r="O5" s="58"/>
    </row>
    <row r="6" spans="1:2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2"/>
      <c r="N6" s="52"/>
      <c r="O6" s="53"/>
    </row>
    <row r="7" spans="1:2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2"/>
      <c r="N7" s="52" t="s">
        <v>73</v>
      </c>
      <c r="O7" s="58"/>
    </row>
    <row r="8" spans="1:21" x14ac:dyDescent="0.25">
      <c r="A8" s="5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2"/>
      <c r="N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1" ht="18" x14ac:dyDescent="0.25">
      <c r="A10" s="1"/>
      <c r="B10" s="508" t="s">
        <v>74</v>
      </c>
      <c r="C10" s="508"/>
      <c r="D10" s="508"/>
      <c r="E10" s="508"/>
      <c r="F10" s="508"/>
      <c r="G10" s="508"/>
      <c r="H10" s="508"/>
      <c r="I10" s="508"/>
      <c r="J10" s="508"/>
      <c r="K10" s="508"/>
      <c r="L10" s="508"/>
      <c r="M10" s="508"/>
      <c r="N10" s="508"/>
      <c r="O10" s="508"/>
    </row>
    <row r="11" spans="1:21" ht="18" x14ac:dyDescent="0.25">
      <c r="A11" s="1"/>
      <c r="B11" s="508" t="s">
        <v>75</v>
      </c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T13">
        <v>2</v>
      </c>
    </row>
    <row r="14" spans="1:21" ht="15.75" x14ac:dyDescent="0.25">
      <c r="A14" s="1"/>
      <c r="B14" s="60" t="s">
        <v>0</v>
      </c>
      <c r="C14" s="1"/>
      <c r="D14" s="509" t="s">
        <v>109</v>
      </c>
      <c r="E14" s="509"/>
      <c r="F14" s="509"/>
      <c r="G14" s="509"/>
      <c r="H14" s="509"/>
      <c r="I14" s="509"/>
      <c r="J14" s="509"/>
      <c r="K14" s="509"/>
      <c r="L14" s="509"/>
      <c r="M14" s="509"/>
      <c r="N14" s="509"/>
      <c r="O14" s="509"/>
    </row>
    <row r="15" spans="1:21" ht="15.75" x14ac:dyDescent="0.25">
      <c r="A15" s="1"/>
      <c r="B15" s="61"/>
      <c r="C15" s="1"/>
      <c r="D15" s="62"/>
      <c r="E15" s="62"/>
      <c r="F15" s="62"/>
      <c r="G15" s="62"/>
      <c r="H15" s="62"/>
      <c r="I15" s="62"/>
      <c r="J15" s="62"/>
      <c r="K15" s="62"/>
      <c r="L15" s="62"/>
      <c r="M15" s="276"/>
      <c r="N15" s="62"/>
      <c r="O15" s="62"/>
    </row>
    <row r="16" spans="1:21" ht="15.75" x14ac:dyDescent="0.25">
      <c r="A16" s="1"/>
      <c r="B16" s="60" t="s">
        <v>76</v>
      </c>
      <c r="C16" s="1"/>
      <c r="D16" s="63" t="s">
        <v>77</v>
      </c>
      <c r="E16" s="62"/>
      <c r="F16" s="62"/>
      <c r="G16" s="62"/>
      <c r="H16" s="62"/>
      <c r="I16" s="62"/>
      <c r="J16" s="62"/>
      <c r="K16" s="62"/>
      <c r="L16" s="62"/>
      <c r="M16" s="276"/>
      <c r="N16" s="62"/>
      <c r="O16" s="62"/>
    </row>
    <row r="17" spans="1:60" ht="15.75" x14ac:dyDescent="0.25">
      <c r="A17" s="1"/>
      <c r="B17" s="61"/>
      <c r="C17" s="1"/>
      <c r="D17" s="62"/>
      <c r="E17" s="62"/>
      <c r="F17" s="62"/>
      <c r="G17" s="62"/>
      <c r="H17" s="62"/>
      <c r="I17" s="62"/>
      <c r="J17" s="62"/>
      <c r="K17" s="62"/>
      <c r="L17" s="62"/>
      <c r="M17" s="276"/>
      <c r="N17" s="62"/>
      <c r="O17" s="62"/>
    </row>
    <row r="18" spans="1:60" x14ac:dyDescent="0.25">
      <c r="A18" s="1"/>
      <c r="B18" s="64"/>
      <c r="C18" s="1"/>
      <c r="D18" s="65" t="s">
        <v>1</v>
      </c>
      <c r="E18" s="65"/>
      <c r="F18" s="66">
        <v>2000</v>
      </c>
      <c r="G18" s="65" t="s">
        <v>78</v>
      </c>
      <c r="H18" s="1"/>
      <c r="I18" s="1"/>
      <c r="J18" s="1"/>
      <c r="K18" s="1"/>
      <c r="L18" s="1"/>
      <c r="M18" s="3"/>
      <c r="N18" s="1"/>
      <c r="O18" s="1"/>
    </row>
    <row r="19" spans="1:60" x14ac:dyDescent="0.25">
      <c r="A19" s="1"/>
      <c r="B19" s="64"/>
      <c r="C19" s="1"/>
      <c r="D19" s="1"/>
      <c r="E19" s="1"/>
      <c r="F19" s="1"/>
      <c r="G19" s="1"/>
      <c r="H19" s="1"/>
      <c r="I19" s="1"/>
      <c r="J19" s="1"/>
      <c r="K19" s="1"/>
      <c r="L19" s="67"/>
      <c r="M19" s="3"/>
      <c r="N19" s="1"/>
      <c r="O19" s="1"/>
    </row>
    <row r="20" spans="1:60" x14ac:dyDescent="0.25">
      <c r="A20" s="1"/>
      <c r="B20" s="64"/>
      <c r="C20" s="1"/>
      <c r="D20" s="68"/>
      <c r="E20" s="68"/>
      <c r="F20" s="510" t="s">
        <v>105</v>
      </c>
      <c r="G20" s="511"/>
      <c r="H20" s="512"/>
      <c r="I20" s="1"/>
      <c r="J20" s="510" t="s">
        <v>104</v>
      </c>
      <c r="K20" s="511"/>
      <c r="L20" s="512"/>
      <c r="M20" s="3"/>
      <c r="N20" s="510" t="s">
        <v>61</v>
      </c>
      <c r="O20" s="512"/>
      <c r="Q20" s="506"/>
      <c r="R20" s="506"/>
      <c r="S20" s="506"/>
      <c r="T20" s="2"/>
      <c r="U20" s="506"/>
      <c r="V20" s="506"/>
      <c r="W20" s="69"/>
      <c r="X20" s="506"/>
      <c r="Y20" s="506"/>
      <c r="Z20" s="506"/>
      <c r="AA20" s="2"/>
      <c r="AB20" s="506"/>
      <c r="AC20" s="506"/>
      <c r="AD20" s="69"/>
      <c r="AE20" s="506"/>
      <c r="AF20" s="506"/>
      <c r="AG20" s="506"/>
      <c r="AH20" s="2"/>
      <c r="AI20" s="506"/>
      <c r="AJ20" s="506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</row>
    <row r="21" spans="1:60" ht="15" customHeight="1" x14ac:dyDescent="0.25">
      <c r="A21" s="1"/>
      <c r="B21" s="64"/>
      <c r="C21" s="1"/>
      <c r="D21" s="1"/>
      <c r="E21" s="70"/>
      <c r="F21" s="71" t="s">
        <v>2</v>
      </c>
      <c r="G21" s="71" t="s">
        <v>3</v>
      </c>
      <c r="H21" s="72" t="s">
        <v>4</v>
      </c>
      <c r="I21" s="1"/>
      <c r="J21" s="71" t="s">
        <v>2</v>
      </c>
      <c r="K21" s="73" t="s">
        <v>3</v>
      </c>
      <c r="L21" s="72" t="s">
        <v>4</v>
      </c>
      <c r="M21" s="3"/>
      <c r="N21" s="502" t="s">
        <v>62</v>
      </c>
      <c r="O21" s="504" t="s">
        <v>63</v>
      </c>
      <c r="Q21" s="270"/>
      <c r="R21" s="270"/>
      <c r="S21" s="270"/>
      <c r="T21" s="2"/>
      <c r="U21" s="501"/>
      <c r="V21" s="501"/>
      <c r="W21" s="69"/>
      <c r="X21" s="270"/>
      <c r="Y21" s="270"/>
      <c r="Z21" s="270"/>
      <c r="AA21" s="2"/>
      <c r="AB21" s="501"/>
      <c r="AC21" s="501"/>
      <c r="AD21" s="69"/>
      <c r="AE21" s="270"/>
      <c r="AF21" s="270"/>
      <c r="AG21" s="270"/>
      <c r="AH21" s="2"/>
      <c r="AI21" s="501"/>
      <c r="AJ21" s="501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</row>
    <row r="22" spans="1:60" x14ac:dyDescent="0.25">
      <c r="A22" s="1"/>
      <c r="B22" s="64"/>
      <c r="C22" s="1"/>
      <c r="D22" s="1"/>
      <c r="E22" s="70"/>
      <c r="F22" s="75" t="s">
        <v>79</v>
      </c>
      <c r="G22" s="75"/>
      <c r="H22" s="76" t="s">
        <v>79</v>
      </c>
      <c r="I22" s="1"/>
      <c r="J22" s="75" t="s">
        <v>79</v>
      </c>
      <c r="K22" s="76"/>
      <c r="L22" s="76" t="s">
        <v>79</v>
      </c>
      <c r="M22" s="3"/>
      <c r="N22" s="503"/>
      <c r="O22" s="505"/>
      <c r="Q22" s="77"/>
      <c r="R22" s="77"/>
      <c r="S22" s="77"/>
      <c r="T22" s="2"/>
      <c r="U22" s="501"/>
      <c r="V22" s="501"/>
      <c r="W22" s="69"/>
      <c r="X22" s="77"/>
      <c r="Y22" s="77"/>
      <c r="Z22" s="77"/>
      <c r="AA22" s="2"/>
      <c r="AB22" s="501"/>
      <c r="AC22" s="501"/>
      <c r="AD22" s="69"/>
      <c r="AE22" s="77"/>
      <c r="AF22" s="77"/>
      <c r="AG22" s="77"/>
      <c r="AH22" s="2"/>
      <c r="AI22" s="501"/>
      <c r="AJ22" s="501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</row>
    <row r="23" spans="1:60" x14ac:dyDescent="0.25">
      <c r="A23" s="7" t="s">
        <v>15</v>
      </c>
      <c r="B23" s="271" t="str">
        <f>IF(Rates!D122='GS&lt;50 CND'!$A$23,Rates!B122," ")</f>
        <v>Service Charge</v>
      </c>
      <c r="C23" s="79"/>
      <c r="D23" s="271" t="str">
        <f>IF(Rates!D122='GS&lt;50 CND'!$A$23,Rates!E122," ")</f>
        <v>customer</v>
      </c>
      <c r="E23" s="79"/>
      <c r="F23" s="80">
        <f>IF(Rates!$G$1="CND 2018",Rates!G122," ")</f>
        <v>13.742579999999998</v>
      </c>
      <c r="G23" s="81">
        <f>IF(D23="customer",1,IF(D23="kWh",$F$18,$F$19))</f>
        <v>1</v>
      </c>
      <c r="H23" s="82">
        <f>G23*F23</f>
        <v>13.742579999999998</v>
      </c>
      <c r="I23" s="83"/>
      <c r="J23" s="80">
        <f>IF(Rates!$L$1="E+ 2019",Rates!L122," ")</f>
        <v>15.18</v>
      </c>
      <c r="K23" s="81">
        <f>IF(D23="customer",1,IF(D23="kWh",$F$18,$F$19))</f>
        <v>1</v>
      </c>
      <c r="L23" s="82">
        <f t="shared" ref="L23:L34" si="0">K23*J23</f>
        <v>15.18</v>
      </c>
      <c r="M23" s="91"/>
      <c r="N23" s="84">
        <f t="shared" ref="N23:N61" si="1">L23-H23</f>
        <v>1.4374200000000013</v>
      </c>
      <c r="O23" s="85">
        <f>IF(OR(H23=0,L23=0),"",(N23/H23))</f>
        <v>0.10459608021201269</v>
      </c>
      <c r="Q23" s="86"/>
      <c r="R23" s="87"/>
      <c r="S23" s="88"/>
      <c r="T23" s="87"/>
      <c r="U23" s="89"/>
      <c r="V23" s="90"/>
      <c r="W23" s="69"/>
      <c r="X23" s="86"/>
      <c r="Y23" s="87"/>
      <c r="Z23" s="88"/>
      <c r="AA23" s="87"/>
      <c r="AB23" s="89"/>
      <c r="AC23" s="90"/>
      <c r="AD23" s="69"/>
      <c r="AE23" s="86"/>
      <c r="AF23" s="87"/>
      <c r="AG23" s="88"/>
      <c r="AH23" s="87"/>
      <c r="AI23" s="89"/>
      <c r="AJ23" s="90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</row>
    <row r="24" spans="1:60" x14ac:dyDescent="0.25">
      <c r="A24" s="1"/>
      <c r="B24" s="271" t="str">
        <f>IF(Rates!D123='GS&lt;50 CND'!$A$23,Rates!B123," ")</f>
        <v>Rate Rider ACM</v>
      </c>
      <c r="C24" s="79"/>
      <c r="D24" s="271" t="str">
        <f>IF(Rates!D123='GS&lt;50 CND'!$A$23,Rates!E123," ")</f>
        <v>customer</v>
      </c>
      <c r="E24" s="79"/>
      <c r="F24" s="80">
        <f>IF(Rates!$G$1="CND 2018",Rates!G123," ")</f>
        <v>0</v>
      </c>
      <c r="G24" s="81">
        <f t="shared" ref="G24:G34" si="2">IF(D24="customer",1,IF(D24="kWh",$F$18,$F$19))</f>
        <v>1</v>
      </c>
      <c r="H24" s="82">
        <f t="shared" ref="H24:H34" si="3">G24*F24</f>
        <v>0</v>
      </c>
      <c r="I24" s="83"/>
      <c r="J24" s="80">
        <f>IF(Rates!$L$1="E+ 2019",Rates!L123," ")</f>
        <v>0</v>
      </c>
      <c r="K24" s="81">
        <f t="shared" ref="K24:K34" si="4">IF(D24="customer",1,IF(D24="kWh",$F$18,$F$19))</f>
        <v>1</v>
      </c>
      <c r="L24" s="82">
        <f t="shared" si="0"/>
        <v>0</v>
      </c>
      <c r="M24" s="91"/>
      <c r="N24" s="84">
        <f t="shared" si="1"/>
        <v>0</v>
      </c>
      <c r="O24" s="85" t="str">
        <f t="shared" ref="O24:O34" si="5">IF(OR(H24=0,L24=0),"",(N24/H24))</f>
        <v/>
      </c>
      <c r="Q24" s="86"/>
      <c r="R24" s="87"/>
      <c r="S24" s="88"/>
      <c r="T24" s="87"/>
      <c r="U24" s="89"/>
      <c r="V24" s="90"/>
      <c r="W24" s="69"/>
      <c r="X24" s="86"/>
      <c r="Y24" s="87"/>
      <c r="Z24" s="88"/>
      <c r="AA24" s="87"/>
      <c r="AB24" s="89"/>
      <c r="AC24" s="90"/>
      <c r="AD24" s="69"/>
      <c r="AE24" s="86"/>
      <c r="AF24" s="87"/>
      <c r="AG24" s="88"/>
      <c r="AH24" s="87"/>
      <c r="AI24" s="89"/>
      <c r="AJ24" s="90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</row>
    <row r="25" spans="1:60" s="94" customFormat="1" x14ac:dyDescent="0.25">
      <c r="A25" s="3"/>
      <c r="B25" s="271" t="str">
        <f>IF(Rates!D124='GS&lt;50 CND'!$A$23,Rates!B124," ")</f>
        <v>Distribution Volumetric Rate</v>
      </c>
      <c r="C25" s="79"/>
      <c r="D25" s="271" t="str">
        <f>IF(Rates!D124='GS&lt;50 CND'!$A$23,Rates!E124," ")</f>
        <v>kWh</v>
      </c>
      <c r="E25" s="79"/>
      <c r="F25" s="235">
        <f>IF(Rates!$G$1="CND 2018",Rates!G124," ")</f>
        <v>1.4731399999999999E-2</v>
      </c>
      <c r="G25" s="81">
        <f t="shared" si="2"/>
        <v>2000</v>
      </c>
      <c r="H25" s="82">
        <f t="shared" si="3"/>
        <v>29.462799999999998</v>
      </c>
      <c r="I25" s="91"/>
      <c r="J25" s="235">
        <f>IF(Rates!$L$1="E+ 2019",Rates!L124," ")</f>
        <v>1.6199999999999999E-2</v>
      </c>
      <c r="K25" s="81">
        <f t="shared" si="4"/>
        <v>2000</v>
      </c>
      <c r="L25" s="92">
        <f t="shared" si="0"/>
        <v>32.4</v>
      </c>
      <c r="M25" s="91"/>
      <c r="N25" s="84">
        <f t="shared" si="1"/>
        <v>2.9372000000000007</v>
      </c>
      <c r="O25" s="85">
        <f t="shared" si="5"/>
        <v>9.9691814763023232E-2</v>
      </c>
      <c r="Q25" s="95"/>
      <c r="R25" s="87"/>
      <c r="S25" s="88"/>
      <c r="T25" s="87"/>
      <c r="U25" s="89"/>
      <c r="V25" s="90"/>
      <c r="W25" s="69"/>
      <c r="X25" s="95"/>
      <c r="Y25" s="87"/>
      <c r="Z25" s="88"/>
      <c r="AA25" s="87"/>
      <c r="AB25" s="89"/>
      <c r="AC25" s="90"/>
      <c r="AD25" s="69"/>
      <c r="AE25" s="95"/>
      <c r="AF25" s="87"/>
      <c r="AG25" s="88"/>
      <c r="AH25" s="87"/>
      <c r="AI25" s="89"/>
      <c r="AJ25" s="90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</row>
    <row r="26" spans="1:60" s="94" customFormat="1" x14ac:dyDescent="0.25">
      <c r="A26" s="3"/>
      <c r="B26" s="271" t="str">
        <f>IF(Rates!D125='GS&lt;50 CND'!$A$23,Rates!B125," ")</f>
        <v>Rate Rider ACM</v>
      </c>
      <c r="C26" s="79"/>
      <c r="D26" s="271" t="str">
        <f>IF(Rates!D125='GS&lt;50 CND'!$A$23,Rates!E125," ")</f>
        <v>kWh</v>
      </c>
      <c r="E26" s="79"/>
      <c r="F26" s="80">
        <f>IF(Rates!$G$1="CND 2018",Rates!G125," ")</f>
        <v>0</v>
      </c>
      <c r="G26" s="81">
        <f t="shared" si="2"/>
        <v>2000</v>
      </c>
      <c r="H26" s="82">
        <f t="shared" si="3"/>
        <v>0</v>
      </c>
      <c r="I26" s="91"/>
      <c r="J26" s="80">
        <f>IF(Rates!$L$1="E+ 2019",Rates!L125," ")</f>
        <v>0</v>
      </c>
      <c r="K26" s="81">
        <f t="shared" si="4"/>
        <v>2000</v>
      </c>
      <c r="L26" s="92">
        <f t="shared" si="0"/>
        <v>0</v>
      </c>
      <c r="M26" s="91"/>
      <c r="N26" s="84">
        <f t="shared" si="1"/>
        <v>0</v>
      </c>
      <c r="O26" s="85" t="str">
        <f t="shared" si="5"/>
        <v/>
      </c>
      <c r="Q26" s="95"/>
      <c r="R26" s="87"/>
      <c r="S26" s="88"/>
      <c r="T26" s="87"/>
      <c r="U26" s="89"/>
      <c r="V26" s="90"/>
      <c r="W26" s="69"/>
      <c r="X26" s="95"/>
      <c r="Y26" s="87"/>
      <c r="Z26" s="88"/>
      <c r="AA26" s="87"/>
      <c r="AB26" s="89"/>
      <c r="AC26" s="90"/>
      <c r="AD26" s="69"/>
      <c r="AE26" s="95"/>
      <c r="AF26" s="87"/>
      <c r="AG26" s="88"/>
      <c r="AH26" s="87"/>
      <c r="AI26" s="89"/>
      <c r="AJ26" s="90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</row>
    <row r="27" spans="1:60" x14ac:dyDescent="0.25">
      <c r="A27" s="3"/>
      <c r="B27" s="271" t="str">
        <f>IF(Rates!D126='GS&lt;50 CND'!$A$23,Rates!B126," ")</f>
        <v>Rate Rider for Disposition of Account 1575 and 1576</v>
      </c>
      <c r="C27" s="79"/>
      <c r="D27" s="271" t="str">
        <f>IF(Rates!D126='GS&lt;50 CND'!$A$23,Rates!E126," ")</f>
        <v>customer</v>
      </c>
      <c r="E27" s="79"/>
      <c r="F27" s="80">
        <f>IF(Rates!$G$1="CND 2018",Rates!G126," ")</f>
        <v>0</v>
      </c>
      <c r="G27" s="81">
        <f t="shared" si="2"/>
        <v>1</v>
      </c>
      <c r="H27" s="92">
        <f t="shared" si="3"/>
        <v>0</v>
      </c>
      <c r="I27" s="83"/>
      <c r="J27" s="80">
        <f>IF(Rates!$L$1="E+ 2019",Rates!L126," ")</f>
        <v>0</v>
      </c>
      <c r="K27" s="81">
        <f t="shared" si="4"/>
        <v>1</v>
      </c>
      <c r="L27" s="92">
        <f t="shared" si="0"/>
        <v>0</v>
      </c>
      <c r="M27" s="91"/>
      <c r="N27" s="84">
        <f t="shared" si="1"/>
        <v>0</v>
      </c>
      <c r="O27" s="85" t="str">
        <f t="shared" si="5"/>
        <v/>
      </c>
      <c r="Q27" s="86"/>
      <c r="R27" s="87"/>
      <c r="S27" s="88"/>
      <c r="T27" s="87"/>
      <c r="U27" s="89"/>
      <c r="V27" s="90"/>
      <c r="W27" s="69"/>
      <c r="X27" s="86"/>
      <c r="Y27" s="87"/>
      <c r="Z27" s="88"/>
      <c r="AA27" s="87"/>
      <c r="AB27" s="89"/>
      <c r="AC27" s="90"/>
      <c r="AD27" s="69"/>
      <c r="AE27" s="86"/>
      <c r="AF27" s="87"/>
      <c r="AG27" s="88"/>
      <c r="AH27" s="87"/>
      <c r="AI27" s="89"/>
      <c r="AJ27" s="90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</row>
    <row r="28" spans="1:60" s="94" customFormat="1" x14ac:dyDescent="0.25">
      <c r="A28" s="3"/>
      <c r="B28" s="271" t="str">
        <f>IF(Rates!D127='GS&lt;50 CND'!$A$23,Rates!B127," ")</f>
        <v>Rate Rider for Disposition of Account 1575 and 1576</v>
      </c>
      <c r="C28" s="79"/>
      <c r="D28" s="271" t="str">
        <f>IF(Rates!D127='GS&lt;50 CND'!$A$23,Rates!E127," ")</f>
        <v>kWh</v>
      </c>
      <c r="E28" s="79"/>
      <c r="F28" s="80">
        <f>IF(Rates!$G$1="CND 2018",Rates!G127," ")</f>
        <v>0</v>
      </c>
      <c r="G28" s="81">
        <f t="shared" si="2"/>
        <v>2000</v>
      </c>
      <c r="H28" s="92">
        <f t="shared" si="3"/>
        <v>0</v>
      </c>
      <c r="I28" s="91"/>
      <c r="J28" s="312">
        <f>IF(Rates!$L$1="E+ 2019",Rates!L127," ")</f>
        <v>-3.2126915242846417E-4</v>
      </c>
      <c r="K28" s="81">
        <f t="shared" si="4"/>
        <v>2000</v>
      </c>
      <c r="L28" s="92">
        <f t="shared" si="0"/>
        <v>-0.64253830485692831</v>
      </c>
      <c r="M28" s="91"/>
      <c r="N28" s="84">
        <f t="shared" si="1"/>
        <v>-0.64253830485692831</v>
      </c>
      <c r="O28" s="85" t="str">
        <f t="shared" si="5"/>
        <v/>
      </c>
      <c r="Q28" s="86"/>
      <c r="R28" s="87"/>
      <c r="S28" s="88"/>
      <c r="T28" s="87"/>
      <c r="U28" s="89"/>
      <c r="V28" s="90"/>
      <c r="W28" s="69"/>
      <c r="X28" s="86"/>
      <c r="Y28" s="87"/>
      <c r="Z28" s="88"/>
      <c r="AA28" s="87"/>
      <c r="AB28" s="89"/>
      <c r="AC28" s="90"/>
      <c r="AD28" s="69"/>
      <c r="AE28" s="86"/>
      <c r="AF28" s="87"/>
      <c r="AG28" s="88"/>
      <c r="AH28" s="87"/>
      <c r="AI28" s="89"/>
      <c r="AJ28" s="90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</row>
    <row r="29" spans="1:60" s="94" customFormat="1" x14ac:dyDescent="0.25">
      <c r="A29" s="3"/>
      <c r="B29" s="271" t="str">
        <f>IF(Rates!D128='GS&lt;50 CND'!$A$23,Rates!B128," ")</f>
        <v>Rate Rider for Disposition of Account 1575 and 1576</v>
      </c>
      <c r="C29" s="79"/>
      <c r="D29" s="271" t="str">
        <f>IF(Rates!D128='GS&lt;50 CND'!$A$23,Rates!E128," ")</f>
        <v>customer</v>
      </c>
      <c r="E29" s="79"/>
      <c r="F29" s="80">
        <f>IF(Rates!$G$1="CND 2018",Rates!G128," ")</f>
        <v>0</v>
      </c>
      <c r="G29" s="81">
        <f t="shared" si="2"/>
        <v>1</v>
      </c>
      <c r="H29" s="92">
        <f t="shared" si="3"/>
        <v>0</v>
      </c>
      <c r="I29" s="91"/>
      <c r="J29" s="80">
        <f>IF(Rates!$L$1="E+ 2019",Rates!L128," ")</f>
        <v>0</v>
      </c>
      <c r="K29" s="81">
        <f t="shared" si="4"/>
        <v>1</v>
      </c>
      <c r="L29" s="92">
        <f t="shared" si="0"/>
        <v>0</v>
      </c>
      <c r="M29" s="91"/>
      <c r="N29" s="84">
        <f t="shared" si="1"/>
        <v>0</v>
      </c>
      <c r="O29" s="85" t="str">
        <f t="shared" si="5"/>
        <v/>
      </c>
      <c r="Q29" s="98"/>
      <c r="R29" s="87"/>
      <c r="S29" s="88"/>
      <c r="T29" s="87"/>
      <c r="U29" s="89"/>
      <c r="V29" s="90"/>
      <c r="W29" s="69"/>
      <c r="X29" s="98"/>
      <c r="Y29" s="87"/>
      <c r="Z29" s="88"/>
      <c r="AA29" s="87"/>
      <c r="AB29" s="89"/>
      <c r="AC29" s="90"/>
      <c r="AD29" s="69"/>
      <c r="AE29" s="98"/>
      <c r="AF29" s="87"/>
      <c r="AG29" s="88"/>
      <c r="AH29" s="87"/>
      <c r="AI29" s="89"/>
      <c r="AJ29" s="90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</row>
    <row r="30" spans="1:60" s="101" customFormat="1" x14ac:dyDescent="0.25">
      <c r="A30" s="99"/>
      <c r="B30" s="271" t="str">
        <f>IF(Rates!D129='GS&lt;50 CND'!$A$23,Rates!B129," ")</f>
        <v>Rate Rider for Disposition of Account 1575 and 1576</v>
      </c>
      <c r="C30" s="100"/>
      <c r="D30" s="271" t="str">
        <f>IF(Rates!D129='GS&lt;50 CND'!$A$23,Rates!E129," ")</f>
        <v>kWh</v>
      </c>
      <c r="E30" s="79"/>
      <c r="F30" s="80">
        <f>IF(Rates!$G$1="CND 2018",Rates!G129," ")</f>
        <v>0</v>
      </c>
      <c r="G30" s="81">
        <f t="shared" si="2"/>
        <v>2000</v>
      </c>
      <c r="H30" s="92">
        <f t="shared" si="3"/>
        <v>0</v>
      </c>
      <c r="I30" s="91"/>
      <c r="J30" s="80">
        <f>IF(Rates!$L$1="E+ 2019",Rates!L129," ")</f>
        <v>0</v>
      </c>
      <c r="K30" s="81">
        <f t="shared" si="4"/>
        <v>2000</v>
      </c>
      <c r="L30" s="92">
        <f t="shared" si="0"/>
        <v>0</v>
      </c>
      <c r="M30" s="91"/>
      <c r="N30" s="84">
        <f t="shared" si="1"/>
        <v>0</v>
      </c>
      <c r="O30" s="85" t="str">
        <f t="shared" si="5"/>
        <v/>
      </c>
      <c r="Q30" s="102"/>
      <c r="R30" s="103"/>
      <c r="S30" s="104"/>
      <c r="T30" s="103"/>
      <c r="U30" s="105"/>
      <c r="V30" s="106"/>
      <c r="W30" s="107"/>
      <c r="X30" s="102"/>
      <c r="Y30" s="103"/>
      <c r="Z30" s="104"/>
      <c r="AA30" s="103"/>
      <c r="AB30" s="105"/>
      <c r="AC30" s="106"/>
      <c r="AD30" s="107"/>
      <c r="AE30" s="102"/>
      <c r="AF30" s="103"/>
      <c r="AG30" s="104"/>
      <c r="AH30" s="103"/>
      <c r="AI30" s="105"/>
      <c r="AJ30" s="106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</row>
    <row r="31" spans="1:60" s="94" customFormat="1" x14ac:dyDescent="0.25">
      <c r="A31" s="3"/>
      <c r="B31" s="271" t="str">
        <f>IF(Rates!D130='GS&lt;50 CND'!$A$23,Rates!B130," ")</f>
        <v>Rate Rider for LRAMVA</v>
      </c>
      <c r="C31" s="79"/>
      <c r="D31" s="271" t="str">
        <f>IF(Rates!D130='GS&lt;50 CND'!$A$23,Rates!E130," ")</f>
        <v>kWh</v>
      </c>
      <c r="E31" s="79"/>
      <c r="F31" s="80">
        <f>IF(Rates!$G$1="CND 2018",Rates!G130," ")</f>
        <v>0</v>
      </c>
      <c r="G31" s="81">
        <f t="shared" si="2"/>
        <v>2000</v>
      </c>
      <c r="H31" s="92">
        <f t="shared" si="3"/>
        <v>0</v>
      </c>
      <c r="I31" s="91"/>
      <c r="J31" s="235">
        <f>IF(Rates!$L$1="E+ 2019",Rates!L130," ")</f>
        <v>2.0735183467511436E-4</v>
      </c>
      <c r="K31" s="81">
        <f t="shared" si="4"/>
        <v>2000</v>
      </c>
      <c r="L31" s="92">
        <f t="shared" si="0"/>
        <v>0.41470366935022873</v>
      </c>
      <c r="M31" s="91"/>
      <c r="N31" s="84">
        <f t="shared" si="1"/>
        <v>0.41470366935022873</v>
      </c>
      <c r="O31" s="85" t="str">
        <f t="shared" si="5"/>
        <v/>
      </c>
      <c r="Q31" s="98"/>
      <c r="R31" s="87"/>
      <c r="S31" s="88"/>
      <c r="T31" s="87"/>
      <c r="U31" s="89"/>
      <c r="V31" s="90"/>
      <c r="W31" s="69"/>
      <c r="X31" s="98"/>
      <c r="Y31" s="87"/>
      <c r="Z31" s="88"/>
      <c r="AA31" s="87"/>
      <c r="AB31" s="89"/>
      <c r="AC31" s="90"/>
      <c r="AD31" s="69"/>
      <c r="AE31" s="98"/>
      <c r="AF31" s="87"/>
      <c r="AG31" s="88"/>
      <c r="AH31" s="87"/>
      <c r="AI31" s="89"/>
      <c r="AJ31" s="90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</row>
    <row r="32" spans="1:60" s="94" customFormat="1" x14ac:dyDescent="0.25">
      <c r="A32" s="3"/>
      <c r="B32" s="271" t="str">
        <f>IF(Rates!D131='GS&lt;50 CND'!$A$23,Rates!B131," ")</f>
        <v xml:space="preserve">Rate Rider for Smart Meter (Stranded Meters) </v>
      </c>
      <c r="C32" s="79"/>
      <c r="D32" s="271" t="str">
        <f>IF(Rates!D131='GS&lt;50 CND'!$A$23,Rates!E131," ")</f>
        <v>customer</v>
      </c>
      <c r="E32" s="79"/>
      <c r="F32" s="80">
        <f>IF(Rates!$G$1="CND 2018",Rates!G131," ")</f>
        <v>0</v>
      </c>
      <c r="G32" s="81">
        <f t="shared" si="2"/>
        <v>1</v>
      </c>
      <c r="H32" s="92">
        <f t="shared" si="3"/>
        <v>0</v>
      </c>
      <c r="I32" s="91"/>
      <c r="J32" s="80">
        <f>IF(Rates!$L$1="E+ 2019",Rates!L131," ")</f>
        <v>0.25994789727448581</v>
      </c>
      <c r="K32" s="81">
        <f t="shared" si="4"/>
        <v>1</v>
      </c>
      <c r="L32" s="92">
        <f t="shared" si="0"/>
        <v>0.25994789727448581</v>
      </c>
      <c r="M32" s="91"/>
      <c r="N32" s="84">
        <f t="shared" si="1"/>
        <v>0.25994789727448581</v>
      </c>
      <c r="O32" s="85" t="str">
        <f t="shared" si="5"/>
        <v/>
      </c>
      <c r="Q32" s="98"/>
      <c r="R32" s="87"/>
      <c r="S32" s="88"/>
      <c r="T32" s="87"/>
      <c r="U32" s="89"/>
      <c r="V32" s="90"/>
      <c r="W32" s="69"/>
      <c r="X32" s="98"/>
      <c r="Y32" s="87"/>
      <c r="Z32" s="88"/>
      <c r="AA32" s="87"/>
      <c r="AB32" s="89"/>
      <c r="AC32" s="90"/>
      <c r="AD32" s="69"/>
      <c r="AE32" s="98"/>
      <c r="AF32" s="87"/>
      <c r="AG32" s="88"/>
      <c r="AH32" s="87"/>
      <c r="AI32" s="89"/>
      <c r="AJ32" s="90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</row>
    <row r="33" spans="1:60" s="94" customFormat="1" x14ac:dyDescent="0.25">
      <c r="A33" s="3"/>
      <c r="B33" s="271" t="str">
        <f>IF(Rates!D132='GS&lt;50 CND'!$A$23,Rates!B132," ")</f>
        <v>Other Fixed</v>
      </c>
      <c r="C33" s="79"/>
      <c r="D33" s="271" t="str">
        <f>IF(Rates!D132='GS&lt;50 CND'!$A$23,Rates!E132," ")</f>
        <v>customer</v>
      </c>
      <c r="E33" s="79"/>
      <c r="F33" s="80">
        <f>IF(Rates!$G$1="CND 2018",Rates!G132," ")</f>
        <v>0</v>
      </c>
      <c r="G33" s="81">
        <f t="shared" si="2"/>
        <v>1</v>
      </c>
      <c r="H33" s="92">
        <f t="shared" si="3"/>
        <v>0</v>
      </c>
      <c r="I33" s="91"/>
      <c r="J33" s="80">
        <f>IF(Rates!$L$1="E+ 2019",Rates!L132," ")</f>
        <v>0</v>
      </c>
      <c r="K33" s="81">
        <f t="shared" si="4"/>
        <v>1</v>
      </c>
      <c r="L33" s="92">
        <f t="shared" si="0"/>
        <v>0</v>
      </c>
      <c r="M33" s="91"/>
      <c r="N33" s="84">
        <f t="shared" si="1"/>
        <v>0</v>
      </c>
      <c r="O33" s="85" t="str">
        <f t="shared" si="5"/>
        <v/>
      </c>
      <c r="Q33" s="95"/>
      <c r="R33" s="87"/>
      <c r="S33" s="88"/>
      <c r="T33" s="87"/>
      <c r="U33" s="89"/>
      <c r="V33" s="90"/>
      <c r="W33" s="69"/>
      <c r="X33" s="95"/>
      <c r="Y33" s="87"/>
      <c r="Z33" s="88"/>
      <c r="AA33" s="87"/>
      <c r="AB33" s="89"/>
      <c r="AC33" s="90"/>
      <c r="AD33" s="69"/>
      <c r="AE33" s="95"/>
      <c r="AF33" s="87"/>
      <c r="AG33" s="88"/>
      <c r="AH33" s="87"/>
      <c r="AI33" s="89"/>
      <c r="AJ33" s="90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</row>
    <row r="34" spans="1:60" s="94" customFormat="1" x14ac:dyDescent="0.25">
      <c r="A34" s="3"/>
      <c r="B34" s="271" t="str">
        <f>IF(Rates!D133='GS&lt;50 CND'!$A$23,Rates!B133," ")</f>
        <v>Other Volumetric</v>
      </c>
      <c r="C34" s="79"/>
      <c r="D34" s="271" t="str">
        <f>IF(Rates!D133='GS&lt;50 CND'!$A$23,Rates!E133," ")</f>
        <v>kWh</v>
      </c>
      <c r="E34" s="79"/>
      <c r="F34" s="80">
        <f>IF(Rates!$G$1="CND 2018",Rates!G133," ")</f>
        <v>0</v>
      </c>
      <c r="G34" s="81">
        <f t="shared" si="2"/>
        <v>2000</v>
      </c>
      <c r="H34" s="92">
        <f t="shared" si="3"/>
        <v>0</v>
      </c>
      <c r="I34" s="91"/>
      <c r="J34" s="80">
        <f>IF(Rates!$L$1="E+ 2019",Rates!L133," ")</f>
        <v>0</v>
      </c>
      <c r="K34" s="81">
        <f t="shared" si="4"/>
        <v>2000</v>
      </c>
      <c r="L34" s="92">
        <f t="shared" si="0"/>
        <v>0</v>
      </c>
      <c r="M34" s="91"/>
      <c r="N34" s="84">
        <f t="shared" si="1"/>
        <v>0</v>
      </c>
      <c r="O34" s="85" t="str">
        <f t="shared" si="5"/>
        <v/>
      </c>
      <c r="Q34" s="95"/>
      <c r="R34" s="87"/>
      <c r="S34" s="88"/>
      <c r="T34" s="87"/>
      <c r="U34" s="89"/>
      <c r="V34" s="90"/>
      <c r="W34" s="69"/>
      <c r="X34" s="95"/>
      <c r="Y34" s="87"/>
      <c r="Z34" s="88"/>
      <c r="AA34" s="87"/>
      <c r="AB34" s="89"/>
      <c r="AC34" s="90"/>
      <c r="AD34" s="69"/>
      <c r="AE34" s="95"/>
      <c r="AF34" s="87"/>
      <c r="AG34" s="88"/>
      <c r="AH34" s="87"/>
      <c r="AI34" s="89"/>
      <c r="AJ34" s="90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</row>
    <row r="35" spans="1:60" s="94" customFormat="1" x14ac:dyDescent="0.25">
      <c r="A35" s="3"/>
      <c r="B35" s="271" t="str">
        <f>IF(Rates!D134='GS&lt;50 CND'!$A$23,Rates!B134," ")</f>
        <v>Rate Rider for gain on Sale of Property</v>
      </c>
      <c r="C35" s="79"/>
      <c r="D35" s="271" t="str">
        <f>IF(Rates!D134='GS&lt;50 CND'!$A$23,Rates!E134," ")</f>
        <v>kWh</v>
      </c>
      <c r="E35" s="79"/>
      <c r="F35" s="80">
        <f>IF(Rates!$G$1="CND 2018",Rates!G134," ")</f>
        <v>0</v>
      </c>
      <c r="G35" s="81">
        <f t="shared" ref="G35" si="6">IF(D35="customer",1,IF(D35="kWh",$F$18,$F$19))</f>
        <v>2000</v>
      </c>
      <c r="H35" s="92">
        <f t="shared" ref="H35" si="7">G35*F35</f>
        <v>0</v>
      </c>
      <c r="I35" s="91"/>
      <c r="J35" s="80">
        <f>IF(Rates!$L$1="E+ 2019",Rates!L134," ")</f>
        <v>-2.4661231261194989E-4</v>
      </c>
      <c r="K35" s="81">
        <f t="shared" ref="K35" si="8">IF(D35="customer",1,IF(D35="kWh",$F$18,$F$19))</f>
        <v>2000</v>
      </c>
      <c r="L35" s="92">
        <f t="shared" ref="L35" si="9">K35*J35</f>
        <v>-0.49322462522389976</v>
      </c>
      <c r="M35" s="91"/>
      <c r="N35" s="84">
        <f t="shared" ref="N35" si="10">L35-H35</f>
        <v>-0.49322462522389976</v>
      </c>
      <c r="O35" s="85" t="str">
        <f t="shared" ref="O35" si="11">IF(OR(H35=0,L35=0),"",(N35/H35))</f>
        <v/>
      </c>
      <c r="Q35" s="98"/>
      <c r="R35" s="87"/>
      <c r="S35" s="88"/>
      <c r="T35" s="87"/>
      <c r="U35" s="89"/>
      <c r="V35" s="90"/>
      <c r="W35" s="69"/>
      <c r="X35" s="98"/>
      <c r="Y35" s="87"/>
      <c r="Z35" s="88"/>
      <c r="AA35" s="87"/>
      <c r="AB35" s="89"/>
      <c r="AC35" s="90"/>
      <c r="AD35" s="69"/>
      <c r="AE35" s="98"/>
      <c r="AF35" s="87"/>
      <c r="AG35" s="88"/>
      <c r="AH35" s="87"/>
      <c r="AI35" s="89"/>
      <c r="AJ35" s="90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</row>
    <row r="36" spans="1:60" s="94" customFormat="1" x14ac:dyDescent="0.25">
      <c r="A36" s="3"/>
      <c r="B36" s="109" t="s">
        <v>64</v>
      </c>
      <c r="C36" s="110"/>
      <c r="D36" s="110"/>
      <c r="E36" s="110"/>
      <c r="F36" s="111"/>
      <c r="G36" s="112"/>
      <c r="H36" s="113">
        <f>SUM(H23:H35)</f>
        <v>43.205379999999998</v>
      </c>
      <c r="I36" s="91"/>
      <c r="J36" s="115"/>
      <c r="K36" s="116"/>
      <c r="L36" s="113">
        <f>SUM(L23:L35)</f>
        <v>47.118888636543886</v>
      </c>
      <c r="M36" s="91"/>
      <c r="N36" s="117">
        <f>L36-H36</f>
        <v>3.913508636543888</v>
      </c>
      <c r="O36" s="118">
        <f>IF(OR(H36=0, L36=0),"",(N36/H36))</f>
        <v>9.0579197232934602E-2</v>
      </c>
      <c r="Q36" s="119"/>
      <c r="R36" s="120"/>
      <c r="S36" s="88"/>
      <c r="T36" s="87"/>
      <c r="U36" s="121"/>
      <c r="V36" s="122"/>
      <c r="W36" s="69"/>
      <c r="X36" s="119"/>
      <c r="Y36" s="120"/>
      <c r="Z36" s="88"/>
      <c r="AA36" s="87"/>
      <c r="AB36" s="121"/>
      <c r="AC36" s="122"/>
      <c r="AD36" s="69"/>
      <c r="AE36" s="119"/>
      <c r="AF36" s="120"/>
      <c r="AG36" s="88"/>
      <c r="AH36" s="87"/>
      <c r="AI36" s="121"/>
      <c r="AJ36" s="122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</row>
    <row r="37" spans="1:60" s="94" customFormat="1" x14ac:dyDescent="0.25">
      <c r="A37" s="5" t="s">
        <v>18</v>
      </c>
      <c r="B37" s="271" t="str">
        <f>IF(Rates!D135='GS&lt;50 CND'!$A$37,Rates!B135," ")</f>
        <v>Low Voltage Service Rate</v>
      </c>
      <c r="C37" s="79"/>
      <c r="D37" s="271" t="str">
        <f>IF(Rates!D135='GS&lt;50 CND'!$A$37,Rates!E135," ")</f>
        <v>kWh</v>
      </c>
      <c r="E37" s="79"/>
      <c r="F37" s="80">
        <f>IF(Rates!$G$1="CND 2018",Rates!G135," ")</f>
        <v>1E-4</v>
      </c>
      <c r="G37" s="81">
        <f t="shared" ref="G37" si="12">IF(D37="customer",1,IF(D37="kWh",$F$18,$F$19))</f>
        <v>2000</v>
      </c>
      <c r="H37" s="92">
        <f t="shared" ref="H37:H42" si="13">G37*F37</f>
        <v>0.2</v>
      </c>
      <c r="I37" s="87"/>
      <c r="J37" s="235">
        <f>IF(Rates!$L$1="E+ 2019",Rates!L135," ")</f>
        <v>4.0000000000000002E-4</v>
      </c>
      <c r="K37" s="81">
        <f t="shared" ref="K37" si="14">IF(D37="customer",1,IF(D37="kWh",$F$18,$F$19))</f>
        <v>2000</v>
      </c>
      <c r="L37" s="92">
        <f t="shared" ref="L37:L44" si="15">K37*J37</f>
        <v>0.8</v>
      </c>
      <c r="M37" s="87"/>
      <c r="N37" s="123">
        <f t="shared" si="1"/>
        <v>0.60000000000000009</v>
      </c>
      <c r="O37" s="93">
        <f t="shared" ref="O37:O44" si="16">IF(OR(H37=0,L37=0),"",(N37/H37))</f>
        <v>3.0000000000000004</v>
      </c>
      <c r="Q37" s="119"/>
      <c r="R37" s="87"/>
      <c r="S37" s="88"/>
      <c r="T37" s="87"/>
      <c r="U37" s="89"/>
      <c r="V37" s="90"/>
      <c r="W37" s="69"/>
      <c r="X37" s="119"/>
      <c r="Y37" s="87"/>
      <c r="Z37" s="88"/>
      <c r="AA37" s="87"/>
      <c r="AB37" s="89"/>
      <c r="AC37" s="90"/>
      <c r="AD37" s="69"/>
      <c r="AE37" s="119"/>
      <c r="AF37" s="87"/>
      <c r="AG37" s="88"/>
      <c r="AH37" s="87"/>
      <c r="AI37" s="89"/>
      <c r="AJ37" s="90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</row>
    <row r="38" spans="1:60" x14ac:dyDescent="0.25">
      <c r="A38" s="1"/>
      <c r="B38" s="271" t="s">
        <v>5</v>
      </c>
      <c r="C38" s="79"/>
      <c r="D38" s="271" t="s">
        <v>13</v>
      </c>
      <c r="E38" s="79"/>
      <c r="F38" s="275">
        <f>IF(ISBLANK($D16)=TRUE, 0, IF($D16="TOU", 0.65*$F56+0.17*$F57+0.18*$F58, IF(AND($D16="non-TOU", G60&gt;0), $F60,$F59)))</f>
        <v>8.2160000000000011E-2</v>
      </c>
      <c r="G38" s="125">
        <f>$F18*(1+$F69)-$F18</f>
        <v>67</v>
      </c>
      <c r="H38" s="126">
        <f t="shared" si="13"/>
        <v>5.5047200000000007</v>
      </c>
      <c r="I38" s="83"/>
      <c r="J38" s="275">
        <f>IF(ISBLANK($D16)=TRUE, 0, IF($D16="TOU", 0.65*$F56+0.17*$F57+0.18*$F58, IF(AND($D16="non-TOU", K60&gt;0), $F60,$F59)))</f>
        <v>8.2160000000000011E-2</v>
      </c>
      <c r="K38" s="125">
        <f>$F18*(1+$J69)-$F18</f>
        <v>61.369299888053774</v>
      </c>
      <c r="L38" s="126">
        <f t="shared" si="15"/>
        <v>5.0421016788024984</v>
      </c>
      <c r="M38" s="91"/>
      <c r="N38" s="123">
        <f t="shared" si="1"/>
        <v>-0.46261832119750235</v>
      </c>
      <c r="O38" s="93">
        <f t="shared" si="16"/>
        <v>-8.4040300178301941E-2</v>
      </c>
      <c r="Q38" s="128"/>
      <c r="R38" s="129"/>
      <c r="S38" s="88"/>
      <c r="T38" s="87"/>
      <c r="U38" s="89"/>
      <c r="V38" s="90"/>
      <c r="W38" s="69"/>
      <c r="X38" s="128"/>
      <c r="Y38" s="129"/>
      <c r="Z38" s="88"/>
      <c r="AA38" s="87"/>
      <c r="AB38" s="89"/>
      <c r="AC38" s="90"/>
      <c r="AD38" s="69"/>
      <c r="AE38" s="128"/>
      <c r="AF38" s="129"/>
      <c r="AG38" s="88"/>
      <c r="AH38" s="87"/>
      <c r="AI38" s="89"/>
      <c r="AJ38" s="90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</row>
    <row r="39" spans="1:60" s="101" customFormat="1" x14ac:dyDescent="0.25">
      <c r="A39" s="130"/>
      <c r="B39" s="271" t="str">
        <f>IF(Rates!D136='GS&lt;50 CND'!$A$37,Rates!B136," ")</f>
        <v>Rate Rider Other Fixed</v>
      </c>
      <c r="C39" s="79"/>
      <c r="D39" s="271" t="str">
        <f>IF(Rates!D136='GS&lt;50 CND'!$A$37,Rates!E136," ")</f>
        <v>customer</v>
      </c>
      <c r="E39" s="79"/>
      <c r="F39" s="80">
        <f>IF(Rates!$G$1="CND 2018",Rates!G136," ")</f>
        <v>0</v>
      </c>
      <c r="G39" s="81">
        <f t="shared" ref="G39:G45" si="17">IF(D39="customer",1,IF(D39="kWh",$F$18,$F$19))</f>
        <v>1</v>
      </c>
      <c r="H39" s="92">
        <f t="shared" si="13"/>
        <v>0</v>
      </c>
      <c r="I39" s="91"/>
      <c r="J39" s="235">
        <f>IF(Rates!$L$1="E+ 2019",Rates!L136," ")</f>
        <v>0</v>
      </c>
      <c r="K39" s="81">
        <f t="shared" ref="K39:K45" si="18">IF(D39="customer",1,IF(D39="kWh",$F$18,$F$19))</f>
        <v>1</v>
      </c>
      <c r="L39" s="126">
        <f t="shared" si="15"/>
        <v>0</v>
      </c>
      <c r="M39" s="91"/>
      <c r="N39" s="123">
        <f t="shared" si="1"/>
        <v>0</v>
      </c>
      <c r="O39" s="93" t="str">
        <f t="shared" si="16"/>
        <v/>
      </c>
      <c r="Q39" s="102"/>
      <c r="R39" s="103"/>
      <c r="S39" s="104"/>
      <c r="T39" s="103"/>
      <c r="U39" s="105"/>
      <c r="V39" s="106"/>
      <c r="W39" s="107"/>
      <c r="X39" s="102"/>
      <c r="Y39" s="103"/>
      <c r="Z39" s="104"/>
      <c r="AA39" s="103"/>
      <c r="AB39" s="105"/>
      <c r="AC39" s="106"/>
      <c r="AD39" s="107"/>
      <c r="AE39" s="102"/>
      <c r="AF39" s="103"/>
      <c r="AG39" s="104"/>
      <c r="AH39" s="103"/>
      <c r="AI39" s="105"/>
      <c r="AJ39" s="106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</row>
    <row r="40" spans="1:60" s="101" customFormat="1" x14ac:dyDescent="0.25">
      <c r="A40" s="130"/>
      <c r="B40" s="271" t="str">
        <f>IF(Rates!D137='GS&lt;50 CND'!$A$37,Rates!B137," ")</f>
        <v>Rate Rider for Smart Metering Entity Charge - effective until October 31, 2018</v>
      </c>
      <c r="C40" s="79"/>
      <c r="D40" s="271" t="str">
        <f>IF(Rates!D137='GS&lt;50 CND'!$A$37,Rates!E137," ")</f>
        <v>customer</v>
      </c>
      <c r="E40" s="79"/>
      <c r="F40" s="80">
        <f>IF(Rates!$G$1="CND 2018",Rates!G137," ")</f>
        <v>0.56999999999999995</v>
      </c>
      <c r="G40" s="81">
        <f t="shared" si="17"/>
        <v>1</v>
      </c>
      <c r="H40" s="92">
        <f t="shared" si="13"/>
        <v>0.56999999999999995</v>
      </c>
      <c r="I40" s="91"/>
      <c r="J40" s="80">
        <f>IF(Rates!$L$1="E+ 2019",Rates!L137," ")</f>
        <v>0.56999999999999995</v>
      </c>
      <c r="K40" s="81">
        <f t="shared" si="18"/>
        <v>1</v>
      </c>
      <c r="L40" s="126">
        <f t="shared" si="15"/>
        <v>0.56999999999999995</v>
      </c>
      <c r="M40" s="91"/>
      <c r="N40" s="123">
        <f t="shared" si="1"/>
        <v>0</v>
      </c>
      <c r="O40" s="93">
        <f>IF(OR(H40=0,L40=0),"",(N40/H40))</f>
        <v>0</v>
      </c>
      <c r="Q40" s="102"/>
      <c r="R40" s="103"/>
      <c r="S40" s="104"/>
      <c r="T40" s="103"/>
      <c r="U40" s="105"/>
      <c r="V40" s="106"/>
      <c r="W40" s="107"/>
      <c r="X40" s="102"/>
      <c r="Y40" s="103"/>
      <c r="Z40" s="104"/>
      <c r="AA40" s="103"/>
      <c r="AB40" s="105"/>
      <c r="AC40" s="106"/>
      <c r="AD40" s="107"/>
      <c r="AE40" s="102"/>
      <c r="AF40" s="103"/>
      <c r="AG40" s="104"/>
      <c r="AH40" s="103"/>
      <c r="AI40" s="105"/>
      <c r="AJ40" s="106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</row>
    <row r="41" spans="1:60" s="101" customFormat="1" x14ac:dyDescent="0.25">
      <c r="A41" s="130"/>
      <c r="B41" s="271" t="str">
        <f>IF(Rates!D138='GS&lt;50 CND'!$A$37,Rates!B138," ")</f>
        <v>Rate Rider Other Volumetric</v>
      </c>
      <c r="C41" s="79"/>
      <c r="D41" s="271" t="str">
        <f>IF(Rates!D138='GS&lt;50 CND'!$A$37,Rates!E138," ")</f>
        <v>kWh</v>
      </c>
      <c r="E41" s="79"/>
      <c r="F41" s="80">
        <f>IF(Rates!$G$1="CND 2018",Rates!G138," ")</f>
        <v>0</v>
      </c>
      <c r="G41" s="81">
        <f t="shared" si="17"/>
        <v>2000</v>
      </c>
      <c r="H41" s="92">
        <f t="shared" si="13"/>
        <v>0</v>
      </c>
      <c r="I41" s="91"/>
      <c r="J41" s="235">
        <f>IF(Rates!$L$1="E+ 2019",Rates!L138," ")</f>
        <v>5.0740010961371359E-4</v>
      </c>
      <c r="K41" s="81">
        <f t="shared" si="18"/>
        <v>2000</v>
      </c>
      <c r="L41" s="126">
        <f t="shared" si="15"/>
        <v>1.0148002192274272</v>
      </c>
      <c r="M41" s="91"/>
      <c r="N41" s="123">
        <f t="shared" si="1"/>
        <v>1.0148002192274272</v>
      </c>
      <c r="O41" s="93" t="str">
        <f t="shared" si="16"/>
        <v/>
      </c>
      <c r="Q41" s="102"/>
      <c r="R41" s="103"/>
      <c r="S41" s="104"/>
      <c r="T41" s="103"/>
      <c r="U41" s="105"/>
      <c r="V41" s="106"/>
      <c r="W41" s="107"/>
      <c r="X41" s="102"/>
      <c r="Y41" s="103"/>
      <c r="Z41" s="104"/>
      <c r="AA41" s="103"/>
      <c r="AB41" s="105"/>
      <c r="AC41" s="106"/>
      <c r="AD41" s="107"/>
      <c r="AE41" s="102"/>
      <c r="AF41" s="103"/>
      <c r="AG41" s="104"/>
      <c r="AH41" s="103"/>
      <c r="AI41" s="105"/>
      <c r="AJ41" s="106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</row>
    <row r="42" spans="1:60" s="101" customFormat="1" x14ac:dyDescent="0.25">
      <c r="A42" s="130"/>
      <c r="B42" s="271" t="str">
        <f>IF(Rates!D139='GS&lt;50 CND'!$A$37,Rates!B139," ")</f>
        <v xml:space="preserve">Rate Rider for Disposition of Deferral/Variance Accounts </v>
      </c>
      <c r="C42" s="79"/>
      <c r="D42" s="271" t="str">
        <f>IF(Rates!D139='GS&lt;50 CND'!$A$37,Rates!E139," ")</f>
        <v>kWh</v>
      </c>
      <c r="E42" s="79"/>
      <c r="F42" s="337">
        <f>IF(Rates!$G$1="CND 2018",Rates!G139," ")</f>
        <v>-6.2193914195985949E-3</v>
      </c>
      <c r="G42" s="81">
        <f t="shared" si="17"/>
        <v>2000</v>
      </c>
      <c r="H42" s="92">
        <f t="shared" si="13"/>
        <v>-12.43878283919719</v>
      </c>
      <c r="I42" s="91"/>
      <c r="J42" s="337">
        <f>IF(Rates!$L$1="E+ 2019",Rates!L139," ")</f>
        <v>-1.6762774266901727E-3</v>
      </c>
      <c r="K42" s="81">
        <f t="shared" si="18"/>
        <v>2000</v>
      </c>
      <c r="L42" s="92">
        <f t="shared" si="15"/>
        <v>-3.3525548533803455</v>
      </c>
      <c r="M42" s="91"/>
      <c r="N42" s="123">
        <f t="shared" si="1"/>
        <v>9.0862279858168442</v>
      </c>
      <c r="O42" s="93">
        <f t="shared" si="16"/>
        <v>-0.73047565049405405</v>
      </c>
      <c r="Q42" s="102"/>
      <c r="R42" s="103"/>
      <c r="S42" s="104"/>
      <c r="T42" s="103"/>
      <c r="U42" s="105"/>
      <c r="V42" s="106"/>
      <c r="W42" s="107"/>
      <c r="X42" s="102"/>
      <c r="Y42" s="103"/>
      <c r="Z42" s="104"/>
      <c r="AA42" s="103"/>
      <c r="AB42" s="105"/>
      <c r="AC42" s="106"/>
      <c r="AD42" s="107"/>
      <c r="AE42" s="102"/>
      <c r="AF42" s="103"/>
      <c r="AG42" s="104"/>
      <c r="AH42" s="103"/>
      <c r="AI42" s="105"/>
      <c r="AJ42" s="106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</row>
    <row r="43" spans="1:60" s="101" customFormat="1" x14ac:dyDescent="0.25">
      <c r="A43" s="130"/>
      <c r="B43" s="271" t="str">
        <f>IF(Rates!D140='GS&lt;50 CND'!$A$37,Rates!B140," ")</f>
        <v>Rate Rider for Disposition of Deferral/Variance Accounts Non-WMP Customers</v>
      </c>
      <c r="C43" s="79"/>
      <c r="D43" s="271" t="str">
        <f>IF(Rates!D140='GS&lt;50 CND'!$A$37,Rates!E140," ")</f>
        <v>kWh</v>
      </c>
      <c r="E43" s="79"/>
      <c r="F43" s="80">
        <f>IF(Rates!$G$1="CND 2018",Rates!G140," ")</f>
        <v>0</v>
      </c>
      <c r="G43" s="81">
        <f t="shared" si="17"/>
        <v>2000</v>
      </c>
      <c r="H43" s="92"/>
      <c r="I43" s="91"/>
      <c r="J43" s="235">
        <f>IF(Rates!$L$1="E+ 2019",Rates!L140," ")</f>
        <v>0</v>
      </c>
      <c r="K43" s="81">
        <f t="shared" si="18"/>
        <v>2000</v>
      </c>
      <c r="L43" s="92">
        <f t="shared" si="15"/>
        <v>0</v>
      </c>
      <c r="M43" s="91"/>
      <c r="N43" s="123">
        <f t="shared" si="1"/>
        <v>0</v>
      </c>
      <c r="O43" s="93" t="str">
        <f t="shared" si="16"/>
        <v/>
      </c>
      <c r="Q43" s="102"/>
      <c r="R43" s="103"/>
      <c r="S43" s="104"/>
      <c r="T43" s="103"/>
      <c r="U43" s="105"/>
      <c r="V43" s="106"/>
      <c r="W43" s="107"/>
      <c r="X43" s="102"/>
      <c r="Y43" s="103"/>
      <c r="Z43" s="104"/>
      <c r="AA43" s="103"/>
      <c r="AB43" s="105"/>
      <c r="AC43" s="106"/>
      <c r="AD43" s="107"/>
      <c r="AE43" s="102"/>
      <c r="AF43" s="103"/>
      <c r="AG43" s="104"/>
      <c r="AH43" s="103"/>
      <c r="AI43" s="105"/>
      <c r="AJ43" s="106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</row>
    <row r="44" spans="1:60" x14ac:dyDescent="0.25">
      <c r="A44" s="1"/>
      <c r="B44" s="271" t="str">
        <f>IF(Rates!D141='GS&lt;50 CND'!$A$37,Rates!B141," ")</f>
        <v>Rate Rider for Disposition of GA DV</v>
      </c>
      <c r="C44" s="79"/>
      <c r="D44" s="271" t="str">
        <f>IF(Rates!D141='GS&lt;50 CND'!$A$37,Rates!E141," ")</f>
        <v>kWh</v>
      </c>
      <c r="E44" s="79"/>
      <c r="F44" s="235">
        <f>IF(Rates!$G$1="CND 2018",Rates!G141," ")</f>
        <v>3.3E-3</v>
      </c>
      <c r="G44" s="81">
        <f t="shared" si="17"/>
        <v>2000</v>
      </c>
      <c r="H44" s="126">
        <f>G44*F44</f>
        <v>6.6</v>
      </c>
      <c r="I44" s="83"/>
      <c r="J44" s="235">
        <f>IF(Rates!$L$1="E+ 2019",Rates!L141," ")</f>
        <v>3.8449181889326276E-4</v>
      </c>
      <c r="K44" s="81">
        <f t="shared" si="18"/>
        <v>2000</v>
      </c>
      <c r="L44" s="126">
        <f t="shared" si="15"/>
        <v>0.76898363778652556</v>
      </c>
      <c r="M44" s="91"/>
      <c r="N44" s="123">
        <f t="shared" si="1"/>
        <v>-5.8310163622134743</v>
      </c>
      <c r="O44" s="93">
        <f t="shared" si="16"/>
        <v>-0.88348732760810222</v>
      </c>
      <c r="Q44" s="131"/>
      <c r="R44" s="87"/>
      <c r="S44" s="88"/>
      <c r="T44" s="87"/>
      <c r="U44" s="89"/>
      <c r="V44" s="90"/>
      <c r="W44" s="69"/>
      <c r="X44" s="131"/>
      <c r="Y44" s="87"/>
      <c r="Z44" s="88"/>
      <c r="AA44" s="87"/>
      <c r="AB44" s="89"/>
      <c r="AC44" s="90"/>
      <c r="AD44" s="69"/>
      <c r="AE44" s="131"/>
      <c r="AF44" s="87"/>
      <c r="AG44" s="88"/>
      <c r="AH44" s="87"/>
      <c r="AI44" s="89"/>
      <c r="AJ44" s="90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</row>
    <row r="45" spans="1:60" x14ac:dyDescent="0.25">
      <c r="A45" s="1"/>
      <c r="B45" s="271" t="str">
        <f>IF(Rates!D142='GS&lt;50 CND'!$A$37,Rates!B142," ")</f>
        <v>Rate Rider for Disposition of Capacity Based Recovery Account (2018) - Applicable only for Class B Customers</v>
      </c>
      <c r="C45" s="79"/>
      <c r="D45" s="271" t="str">
        <f>IF(Rates!D142='GS&lt;50 CND'!$A$37,Rates!E142," ")</f>
        <v>kWh</v>
      </c>
      <c r="E45" s="79"/>
      <c r="F45" s="235">
        <f>IF(Rates!$G$1="CND 2018",Rates!G142," ")</f>
        <v>4.0000000000000002E-4</v>
      </c>
      <c r="G45" s="81">
        <f t="shared" si="17"/>
        <v>2000</v>
      </c>
      <c r="H45" s="126">
        <f>G45*F45</f>
        <v>0.8</v>
      </c>
      <c r="I45" s="83"/>
      <c r="J45" s="235">
        <f>IF(Rates!$L$1="E+ 2019",Rates!L142," ")</f>
        <v>4.9568533837617705E-6</v>
      </c>
      <c r="K45" s="81">
        <f t="shared" si="18"/>
        <v>2000</v>
      </c>
      <c r="L45" s="126">
        <f t="shared" ref="L45" si="19">K45*J45</f>
        <v>9.9137067675235408E-3</v>
      </c>
      <c r="M45" s="91"/>
      <c r="N45" s="123">
        <f t="shared" ref="N45" si="20">L45-H45</f>
        <v>-0.79008629323247648</v>
      </c>
      <c r="O45" s="93">
        <f t="shared" ref="O45" si="21">IF(OR(H45=0,L45=0),"",(N45/H45))</f>
        <v>-0.98760786654059551</v>
      </c>
      <c r="Q45" s="131"/>
      <c r="R45" s="87"/>
      <c r="S45" s="88"/>
      <c r="T45" s="87"/>
      <c r="U45" s="89"/>
      <c r="V45" s="90"/>
      <c r="W45" s="69"/>
      <c r="X45" s="131"/>
      <c r="Y45" s="87"/>
      <c r="Z45" s="88"/>
      <c r="AA45" s="87"/>
      <c r="AB45" s="89"/>
      <c r="AC45" s="90"/>
      <c r="AD45" s="69"/>
      <c r="AE45" s="131"/>
      <c r="AF45" s="87"/>
      <c r="AG45" s="88"/>
      <c r="AH45" s="87"/>
      <c r="AI45" s="89"/>
      <c r="AJ45" s="90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</row>
    <row r="46" spans="1:60" hidden="1" x14ac:dyDescent="0.25">
      <c r="A46" s="1"/>
      <c r="B46" s="271"/>
      <c r="C46" s="79"/>
      <c r="D46" s="271"/>
      <c r="E46" s="79"/>
      <c r="F46" s="235"/>
      <c r="G46" s="81"/>
      <c r="H46" s="126"/>
      <c r="I46" s="83"/>
      <c r="J46" s="337"/>
      <c r="K46" s="81"/>
      <c r="L46" s="126"/>
      <c r="M46" s="91"/>
      <c r="N46" s="123"/>
      <c r="O46" s="93"/>
      <c r="Q46" s="131"/>
      <c r="R46" s="87"/>
      <c r="S46" s="88"/>
      <c r="T46" s="87"/>
      <c r="U46" s="89"/>
      <c r="V46" s="90"/>
      <c r="W46" s="69"/>
      <c r="X46" s="131"/>
      <c r="Y46" s="87"/>
      <c r="Z46" s="88"/>
      <c r="AA46" s="87"/>
      <c r="AB46" s="89"/>
      <c r="AC46" s="90"/>
      <c r="AD46" s="69"/>
      <c r="AE46" s="131"/>
      <c r="AF46" s="87"/>
      <c r="AG46" s="88"/>
      <c r="AH46" s="87"/>
      <c r="AI46" s="89"/>
      <c r="AJ46" s="90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</row>
    <row r="47" spans="1:60" x14ac:dyDescent="0.25">
      <c r="A47" s="1"/>
      <c r="B47" s="132" t="s">
        <v>80</v>
      </c>
      <c r="C47" s="133"/>
      <c r="D47" s="133"/>
      <c r="E47" s="133"/>
      <c r="F47" s="134"/>
      <c r="G47" s="135"/>
      <c r="H47" s="136">
        <f>SUM(H37:H43)+H36+H45+H46</f>
        <v>37.841317160802809</v>
      </c>
      <c r="I47" s="91"/>
      <c r="J47" s="135"/>
      <c r="K47" s="137"/>
      <c r="L47" s="136">
        <f>SUM(L37:L43)+L36+L45+L46</f>
        <v>51.203149387960984</v>
      </c>
      <c r="M47" s="91"/>
      <c r="N47" s="117">
        <f>L47-H47</f>
        <v>13.361832227158175</v>
      </c>
      <c r="O47" s="138">
        <f>IF(OR(H47=0,L47=0),"",(N47/H47))</f>
        <v>0.35310166848522834</v>
      </c>
      <c r="Q47" s="87"/>
      <c r="R47" s="87"/>
      <c r="S47" s="121"/>
      <c r="T47" s="87"/>
      <c r="U47" s="121"/>
      <c r="V47" s="139"/>
      <c r="W47" s="69"/>
      <c r="X47" s="87"/>
      <c r="Y47" s="87"/>
      <c r="Z47" s="121"/>
      <c r="AA47" s="87"/>
      <c r="AB47" s="121"/>
      <c r="AC47" s="139"/>
      <c r="AD47" s="69"/>
      <c r="AE47" s="87"/>
      <c r="AF47" s="87"/>
      <c r="AG47" s="121"/>
      <c r="AH47" s="87"/>
      <c r="AI47" s="121"/>
      <c r="AJ47" s="13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</row>
    <row r="48" spans="1:60" x14ac:dyDescent="0.25">
      <c r="A48" s="38" t="s">
        <v>16</v>
      </c>
      <c r="B48" s="271" t="str">
        <f>IF(Rates!D143='GS&lt;50 CND'!$A$48,Rates!B143," ")</f>
        <v>Retail Transmission Rate – Network Service Rate</v>
      </c>
      <c r="C48" s="79"/>
      <c r="D48" s="271" t="str">
        <f>IF(Rates!D237='GS&lt;50 CND'!$A$48,Rates!E143," ")</f>
        <v>kWh</v>
      </c>
      <c r="E48" s="91"/>
      <c r="F48" s="235">
        <f>IF(Rates!$G$1="CND 2018",Rates!G143," ")</f>
        <v>5.1999999999999998E-3</v>
      </c>
      <c r="G48" s="140">
        <f>$F18*(1+$F69)</f>
        <v>2067</v>
      </c>
      <c r="H48" s="82">
        <f>G48*F48</f>
        <v>10.7484</v>
      </c>
      <c r="I48" s="91"/>
      <c r="J48" s="235">
        <f>IF(Rates!$L$1="E+ 2019",Rates!L143," ")</f>
        <v>4.9369576887273803E-3</v>
      </c>
      <c r="K48" s="140">
        <f>$F18*(1+$J$69)</f>
        <v>2061.3692998880538</v>
      </c>
      <c r="L48" s="82">
        <f>K48*J48</f>
        <v>10.176893014388904</v>
      </c>
      <c r="M48" s="91"/>
      <c r="N48" s="84">
        <f t="shared" si="1"/>
        <v>-0.57150698561109614</v>
      </c>
      <c r="O48" s="85">
        <f>IF(OR(H48=0,L48=0),"",(N48/H48))</f>
        <v>-5.3171354397965852E-2</v>
      </c>
      <c r="Q48" s="98"/>
      <c r="R48" s="141"/>
      <c r="S48" s="294">
        <f>F48*K48</f>
        <v>10.719120359417879</v>
      </c>
      <c r="T48" s="87"/>
      <c r="U48" s="89"/>
      <c r="V48" s="90"/>
      <c r="W48" s="69"/>
      <c r="X48" s="98"/>
      <c r="Y48" s="141"/>
      <c r="Z48" s="88"/>
      <c r="AA48" s="87"/>
      <c r="AB48" s="89"/>
      <c r="AC48" s="90"/>
      <c r="AD48" s="69"/>
      <c r="AE48" s="98"/>
      <c r="AF48" s="141"/>
      <c r="AG48" s="88"/>
      <c r="AH48" s="87"/>
      <c r="AI48" s="89"/>
      <c r="AJ48" s="90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</row>
    <row r="49" spans="1:60" x14ac:dyDescent="0.25">
      <c r="A49" s="1"/>
      <c r="B49" s="271" t="str">
        <f>IF(Rates!D144='GS&lt;50 CND'!$A$48,Rates!B144," ")</f>
        <v>Retail Transmission Rate – Line and Transformation Connection Service Rate</v>
      </c>
      <c r="C49" s="79"/>
      <c r="D49" s="271" t="str">
        <f>IF(Rates!D238='GS&lt;50 CND'!$A$48,Rates!E144," ")</f>
        <v>kWh</v>
      </c>
      <c r="E49" s="91"/>
      <c r="F49" s="235">
        <f>IF(Rates!$G$1="CND 2018",Rates!G144," ")</f>
        <v>4.1000000000000003E-3</v>
      </c>
      <c r="G49" s="140">
        <f>$G48</f>
        <v>2067</v>
      </c>
      <c r="H49" s="82">
        <f>G49*F49</f>
        <v>8.4747000000000003</v>
      </c>
      <c r="I49" s="91"/>
      <c r="J49" s="235">
        <f>IF(Rates!$L$1="E+ 2019",Rates!L144," ")</f>
        <v>3.7651244729822726E-3</v>
      </c>
      <c r="K49" s="140">
        <f>$F$18*(1+$J$69)</f>
        <v>2061.3692998880538</v>
      </c>
      <c r="L49" s="82">
        <f>K49*J49</f>
        <v>7.761311998862845</v>
      </c>
      <c r="M49" s="91"/>
      <c r="N49" s="84">
        <f t="shared" si="1"/>
        <v>-0.71338800113715539</v>
      </c>
      <c r="O49" s="85">
        <f>IF(OR(H49=0,L49=0),"",(N49/H49))</f>
        <v>-8.4178555127279481E-2</v>
      </c>
      <c r="Q49" s="98"/>
      <c r="R49" s="141"/>
      <c r="S49" s="295">
        <f>F49*K49</f>
        <v>8.4516141295410208</v>
      </c>
      <c r="T49" s="87"/>
      <c r="U49" s="89"/>
      <c r="V49" s="90"/>
      <c r="W49" s="69"/>
      <c r="X49" s="98"/>
      <c r="Y49" s="141"/>
      <c r="Z49" s="88"/>
      <c r="AA49" s="87"/>
      <c r="AB49" s="89"/>
      <c r="AC49" s="90"/>
      <c r="AD49" s="69"/>
      <c r="AE49" s="98"/>
      <c r="AF49" s="141"/>
      <c r="AG49" s="88"/>
      <c r="AH49" s="87"/>
      <c r="AI49" s="89"/>
      <c r="AJ49" s="90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</row>
    <row r="50" spans="1:60" x14ac:dyDescent="0.25">
      <c r="A50" s="1"/>
      <c r="B50" s="132" t="s">
        <v>81</v>
      </c>
      <c r="C50" s="110"/>
      <c r="D50" s="110"/>
      <c r="E50" s="110"/>
      <c r="F50" s="142"/>
      <c r="G50" s="135"/>
      <c r="H50" s="136">
        <f>SUM(H47:H49)</f>
        <v>57.064417160802805</v>
      </c>
      <c r="I50" s="277"/>
      <c r="J50" s="142"/>
      <c r="K50" s="145"/>
      <c r="L50" s="136">
        <f>SUM(L47:L49)</f>
        <v>69.141354401212737</v>
      </c>
      <c r="M50" s="277"/>
      <c r="N50" s="117">
        <f>L50-H50</f>
        <v>12.076937240409933</v>
      </c>
      <c r="O50" s="138">
        <f>IF(OR(H50=0,L50=0),"",(N50/H50))</f>
        <v>0.21163691563480133</v>
      </c>
      <c r="Q50" s="146"/>
      <c r="R50" s="146"/>
      <c r="S50" s="296">
        <f>S48+S49</f>
        <v>19.1707344889589</v>
      </c>
      <c r="T50" s="146"/>
      <c r="U50" s="121"/>
      <c r="V50" s="139"/>
      <c r="W50" s="69"/>
      <c r="X50" s="146"/>
      <c r="Y50" s="146"/>
      <c r="Z50" s="121"/>
      <c r="AA50" s="146"/>
      <c r="AB50" s="121"/>
      <c r="AC50" s="139"/>
      <c r="AD50" s="69"/>
      <c r="AE50" s="146"/>
      <c r="AF50" s="146"/>
      <c r="AG50" s="121"/>
      <c r="AH50" s="146"/>
      <c r="AI50" s="121"/>
      <c r="AJ50" s="13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</row>
    <row r="51" spans="1:60" x14ac:dyDescent="0.25">
      <c r="A51" s="4" t="s">
        <v>17</v>
      </c>
      <c r="B51" s="271" t="str">
        <f>IF(Rates!D8='GS&lt;50 CND'!$A$51,Rates!B8," ")</f>
        <v>Standard Supply Service – Administrative Charge (if applicable)</v>
      </c>
      <c r="C51" s="79"/>
      <c r="D51" s="271" t="str">
        <f>IF(Rates!D8='GS&lt;50 CND'!$A$51,Rates!E8," ")</f>
        <v>customer</v>
      </c>
      <c r="E51" s="79"/>
      <c r="F51" s="235">
        <f>IF(Rates!$G$1="CND 2018",Rates!G8," ")</f>
        <v>0.25</v>
      </c>
      <c r="G51" s="81">
        <f t="shared" ref="G51" si="22">IF(D51="customer",1,IF(D51="kWh",$F$18,$F$19))</f>
        <v>1</v>
      </c>
      <c r="H51" s="148">
        <f t="shared" ref="H51:H60" si="23">G51*F51</f>
        <v>0.25</v>
      </c>
      <c r="I51" s="91"/>
      <c r="J51" s="80">
        <f>IF(Rates!$L$1="E+ 2019",Rates!L8," ")</f>
        <v>0.25</v>
      </c>
      <c r="K51" s="81">
        <f t="shared" ref="K51" si="24">IF(D51="customer",1,IF(D51="kWh",$F$18,$F$19))</f>
        <v>1</v>
      </c>
      <c r="L51" s="148">
        <f t="shared" ref="L51:L60" si="25">K51*J51</f>
        <v>0.25</v>
      </c>
      <c r="M51" s="91"/>
      <c r="N51" s="149">
        <f t="shared" si="1"/>
        <v>0</v>
      </c>
      <c r="O51" s="85">
        <f>IF(OR(H51=0,L51=0),"",(N51/H51))</f>
        <v>0</v>
      </c>
      <c r="Q51" s="150"/>
      <c r="R51" s="141"/>
      <c r="S51" s="151"/>
      <c r="T51" s="87"/>
      <c r="U51" s="89"/>
      <c r="V51" s="90"/>
      <c r="W51" s="69"/>
      <c r="X51" s="150"/>
      <c r="Y51" s="141"/>
      <c r="Z51" s="151"/>
      <c r="AA51" s="87"/>
      <c r="AB51" s="89"/>
      <c r="AC51" s="90"/>
      <c r="AD51" s="69"/>
      <c r="AE51" s="150"/>
      <c r="AF51" s="141"/>
      <c r="AG51" s="151"/>
      <c r="AH51" s="87"/>
      <c r="AI51" s="89"/>
      <c r="AJ51" s="90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</row>
    <row r="52" spans="1:60" x14ac:dyDescent="0.25">
      <c r="A52" s="1"/>
      <c r="B52" s="271" t="str">
        <f>IF(Rates!D9='GS&lt;50 CND'!$A$51,Rates!B9," ")</f>
        <v xml:space="preserve">Wholesale Market Service Rate </v>
      </c>
      <c r="C52" s="79"/>
      <c r="D52" s="271" t="str">
        <f>IF(Rates!D9='GS&lt;50 CND'!$A$51,Rates!E9," ")</f>
        <v>kWh</v>
      </c>
      <c r="E52" s="79"/>
      <c r="F52" s="235">
        <f>IF(Rates!$G$1="CND 2018",Rates!G9," ")</f>
        <v>3.2000000000000002E-3</v>
      </c>
      <c r="G52" s="140">
        <f>G48</f>
        <v>2067</v>
      </c>
      <c r="H52" s="148">
        <f t="shared" si="23"/>
        <v>6.6144000000000007</v>
      </c>
      <c r="I52" s="91"/>
      <c r="J52" s="235">
        <f>IF(Rates!$L$1="E+ 2019",Rates!L9," ")</f>
        <v>3.2000000000000002E-3</v>
      </c>
      <c r="K52" s="140">
        <f>$F$18*(1+$J$69)</f>
        <v>2061.3692998880538</v>
      </c>
      <c r="L52" s="148">
        <f t="shared" si="25"/>
        <v>6.5963817596417726</v>
      </c>
      <c r="M52" s="91"/>
      <c r="N52" s="84">
        <f t="shared" si="1"/>
        <v>-1.8018240358228077E-2</v>
      </c>
      <c r="O52" s="85">
        <f t="shared" ref="O52:O66" si="26">IF(OR(H52=0,L52=0),"",(N52/H52))</f>
        <v>-2.7240929424026481E-3</v>
      </c>
      <c r="Q52" s="150"/>
      <c r="R52" s="141"/>
      <c r="S52" s="151"/>
      <c r="T52" s="87"/>
      <c r="U52" s="89"/>
      <c r="V52" s="90"/>
      <c r="W52" s="69"/>
      <c r="X52" s="150"/>
      <c r="Y52" s="141"/>
      <c r="Z52" s="151"/>
      <c r="AA52" s="87"/>
      <c r="AB52" s="89"/>
      <c r="AC52" s="90"/>
      <c r="AD52" s="69"/>
      <c r="AE52" s="150"/>
      <c r="AF52" s="141"/>
      <c r="AG52" s="151"/>
      <c r="AH52" s="87"/>
      <c r="AI52" s="89"/>
      <c r="AJ52" s="90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</row>
    <row r="53" spans="1:60" x14ac:dyDescent="0.25">
      <c r="A53" s="1"/>
      <c r="B53" s="271" t="str">
        <f>IF(Rates!D10='GS&lt;50 CND'!$A$51,Rates!B10," ")</f>
        <v>Capacity Based Rcovery(CBR) - Class B Customers</v>
      </c>
      <c r="C53" s="79"/>
      <c r="D53" s="271" t="str">
        <f>IF(Rates!D10='GS&lt;50 CND'!$A$51,Rates!E10," ")</f>
        <v>kWh</v>
      </c>
      <c r="E53" s="79"/>
      <c r="F53" s="235">
        <f>IF(Rates!$G$1="CND 2018",Rates!G10," ")</f>
        <v>4.0000000000000002E-4</v>
      </c>
      <c r="G53" s="140">
        <f>G48</f>
        <v>2067</v>
      </c>
      <c r="H53" s="148">
        <f t="shared" si="23"/>
        <v>0.82680000000000009</v>
      </c>
      <c r="I53" s="91"/>
      <c r="J53" s="235">
        <f>IF(Rates!$L$1="E+ 2019",Rates!L10," ")</f>
        <v>4.0000000000000002E-4</v>
      </c>
      <c r="K53" s="140">
        <f>$F$18*(1+$J$69)</f>
        <v>2061.3692998880538</v>
      </c>
      <c r="L53" s="148">
        <f t="shared" si="25"/>
        <v>0.82454771995522158</v>
      </c>
      <c r="M53" s="91"/>
      <c r="N53" s="84">
        <f t="shared" si="1"/>
        <v>-2.2522800447785096E-3</v>
      </c>
      <c r="O53" s="85">
        <f t="shared" si="26"/>
        <v>-2.7240929424026481E-3</v>
      </c>
      <c r="Q53" s="150"/>
      <c r="R53" s="141"/>
      <c r="S53" s="151"/>
      <c r="T53" s="87"/>
      <c r="U53" s="89"/>
      <c r="V53" s="90"/>
      <c r="W53" s="69"/>
      <c r="X53" s="150"/>
      <c r="Y53" s="141"/>
      <c r="Z53" s="151"/>
      <c r="AA53" s="87"/>
      <c r="AB53" s="89"/>
      <c r="AC53" s="90"/>
      <c r="AD53" s="69"/>
      <c r="AE53" s="150"/>
      <c r="AF53" s="141"/>
      <c r="AG53" s="151"/>
      <c r="AH53" s="87"/>
      <c r="AI53" s="89"/>
      <c r="AJ53" s="90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</row>
    <row r="54" spans="1:60" x14ac:dyDescent="0.25">
      <c r="A54" s="1"/>
      <c r="B54" s="271" t="str">
        <f>IF(Rates!D11='GS&lt;50 CND'!$A$51,Rates!B11," ")</f>
        <v xml:space="preserve">Rural Rate Protection Charge </v>
      </c>
      <c r="C54" s="79"/>
      <c r="D54" s="271" t="str">
        <f>IF(Rates!D11='GS&lt;50 CND'!$A$51,Rates!E11," ")</f>
        <v>kWh</v>
      </c>
      <c r="E54" s="79"/>
      <c r="F54" s="235">
        <f>IF(Rates!$G$1="CND 2018",Rates!G11," ")</f>
        <v>2.9999999999999997E-4</v>
      </c>
      <c r="G54" s="140">
        <f>G49</f>
        <v>2067</v>
      </c>
      <c r="H54" s="148">
        <f t="shared" si="23"/>
        <v>0.62009999999999998</v>
      </c>
      <c r="I54" s="91"/>
      <c r="J54" s="235">
        <f>IF(Rates!$L$1="E+ 2019",Rates!L11," ")</f>
        <v>2.9999999999999997E-4</v>
      </c>
      <c r="K54" s="140">
        <f>$F$18*(1+$J$69)</f>
        <v>2061.3692998880538</v>
      </c>
      <c r="L54" s="148">
        <f t="shared" si="25"/>
        <v>0.61841078996641607</v>
      </c>
      <c r="M54" s="91"/>
      <c r="N54" s="84">
        <f t="shared" si="1"/>
        <v>-1.68921003358391E-3</v>
      </c>
      <c r="O54" s="85">
        <f t="shared" si="26"/>
        <v>-2.7240929424026932E-3</v>
      </c>
      <c r="Q54" s="153"/>
      <c r="R54" s="87"/>
      <c r="S54" s="151"/>
      <c r="T54" s="87"/>
      <c r="U54" s="89"/>
      <c r="V54" s="90"/>
      <c r="W54" s="69"/>
      <c r="X54" s="153"/>
      <c r="Y54" s="87"/>
      <c r="Z54" s="151"/>
      <c r="AA54" s="87"/>
      <c r="AB54" s="89"/>
      <c r="AC54" s="90"/>
      <c r="AD54" s="69"/>
      <c r="AE54" s="153"/>
      <c r="AF54" s="87"/>
      <c r="AG54" s="151"/>
      <c r="AH54" s="87"/>
      <c r="AI54" s="89"/>
      <c r="AJ54" s="90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</row>
    <row r="55" spans="1:60" x14ac:dyDescent="0.25">
      <c r="A55" s="1"/>
      <c r="B55" s="271" t="str">
        <f>IF(Rates!D12=$A$51,Rates!B12," ")</f>
        <v>Debt Retirement Charge</v>
      </c>
      <c r="C55" s="79"/>
      <c r="D55" s="271" t="str">
        <f>IF(Rates!D12='GS&lt;50 CND'!$A$51,Rates!E12," ")</f>
        <v>kWh</v>
      </c>
      <c r="E55" s="79"/>
      <c r="F55" s="235">
        <f>IF(Rates!$G$1="CND 2018",Rates!G12," ")</f>
        <v>7.0000000000000001E-3</v>
      </c>
      <c r="G55" s="140">
        <f>F18</f>
        <v>2000</v>
      </c>
      <c r="H55" s="148">
        <f t="shared" si="23"/>
        <v>14</v>
      </c>
      <c r="I55" s="91"/>
      <c r="J55" s="235">
        <f>IF(Rates!$G$1="CND 2018",Rates!L12," ")</f>
        <v>7.0000000000000001E-3</v>
      </c>
      <c r="K55" s="140">
        <f>G55</f>
        <v>2000</v>
      </c>
      <c r="L55" s="148">
        <f t="shared" si="25"/>
        <v>14</v>
      </c>
      <c r="M55" s="91"/>
      <c r="N55" s="84">
        <f t="shared" ref="N55" si="27">L55-H55</f>
        <v>0</v>
      </c>
      <c r="O55" s="85">
        <f t="shared" ref="O55" si="28">IF(OR(H55=0,L55=0),"",(N55/H55))</f>
        <v>0</v>
      </c>
      <c r="Q55" s="153"/>
      <c r="R55" s="87"/>
      <c r="S55" s="151"/>
      <c r="T55" s="87"/>
      <c r="U55" s="89"/>
      <c r="V55" s="90"/>
      <c r="W55" s="69"/>
      <c r="X55" s="153"/>
      <c r="Y55" s="87"/>
      <c r="Z55" s="151"/>
      <c r="AA55" s="87"/>
      <c r="AB55" s="89"/>
      <c r="AC55" s="90"/>
      <c r="AD55" s="69"/>
      <c r="AE55" s="153"/>
      <c r="AF55" s="87"/>
      <c r="AG55" s="151"/>
      <c r="AH55" s="87"/>
      <c r="AI55" s="89"/>
      <c r="AJ55" s="90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</row>
    <row r="56" spans="1:60" x14ac:dyDescent="0.25">
      <c r="A56" s="6" t="s">
        <v>14</v>
      </c>
      <c r="B56" s="271" t="str">
        <f>IF(Rates!D2='GS&lt;50 CND'!$A$56,Rates!B2," ")</f>
        <v>TOU - Off Peak</v>
      </c>
      <c r="C56" s="79"/>
      <c r="D56" s="271" t="str">
        <f>IF(Rates!D2='GS&lt;50 CND'!$A$56,Rates!E2," ")</f>
        <v>kWh</v>
      </c>
      <c r="E56" s="79"/>
      <c r="F56" s="235">
        <f>IF(Rates!$G$1="CND 2018",Rates!G2," ")</f>
        <v>6.5000000000000002E-2</v>
      </c>
      <c r="G56" s="154">
        <f>IF($D$16="TOU",0.65*$F$18,0)</f>
        <v>1300</v>
      </c>
      <c r="H56" s="148">
        <f t="shared" si="23"/>
        <v>84.5</v>
      </c>
      <c r="I56" s="91"/>
      <c r="J56" s="235">
        <f>IF(Rates!$L$1="E+ 2019",Rates!L2," ")</f>
        <v>6.5000000000000002E-2</v>
      </c>
      <c r="K56" s="154">
        <f>$G56</f>
        <v>1300</v>
      </c>
      <c r="L56" s="155">
        <f t="shared" si="25"/>
        <v>84.5</v>
      </c>
      <c r="M56" s="91"/>
      <c r="N56" s="84">
        <f t="shared" si="1"/>
        <v>0</v>
      </c>
      <c r="O56" s="156">
        <f t="shared" si="26"/>
        <v>0</v>
      </c>
      <c r="Q56" s="157"/>
      <c r="R56" s="158"/>
      <c r="S56" s="151"/>
      <c r="T56" s="87"/>
      <c r="U56" s="89"/>
      <c r="V56" s="90"/>
      <c r="W56" s="69"/>
      <c r="X56" s="157"/>
      <c r="Y56" s="158"/>
      <c r="Z56" s="151"/>
      <c r="AA56" s="87"/>
      <c r="AB56" s="89"/>
      <c r="AC56" s="90"/>
      <c r="AD56" s="69"/>
      <c r="AE56" s="157"/>
      <c r="AF56" s="158"/>
      <c r="AG56" s="151"/>
      <c r="AH56" s="87"/>
      <c r="AI56" s="89"/>
      <c r="AJ56" s="90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</row>
    <row r="57" spans="1:60" x14ac:dyDescent="0.25">
      <c r="A57" s="1"/>
      <c r="B57" s="271" t="str">
        <f>IF(Rates!D3='GS&lt;50 CND'!$A$56,Rates!B3," ")</f>
        <v>TOU - Mid Peak</v>
      </c>
      <c r="C57" s="79"/>
      <c r="D57" s="271" t="str">
        <f>IF(Rates!D3='GS&lt;50 CND'!$A$56,Rates!E3," ")</f>
        <v>kWh</v>
      </c>
      <c r="E57" s="79"/>
      <c r="F57" s="235">
        <f>IF(Rates!$G$1="CND 2018",Rates!G3," ")</f>
        <v>9.5000000000000001E-2</v>
      </c>
      <c r="G57" s="154">
        <f>IF($D$16="TOU",0.17*$F$18,0)</f>
        <v>340</v>
      </c>
      <c r="H57" s="155">
        <f t="shared" si="23"/>
        <v>32.299999999999997</v>
      </c>
      <c r="I57" s="91"/>
      <c r="J57" s="235">
        <f>IF(Rates!$L$1="E+ 2019",Rates!L3," ")</f>
        <v>9.5000000000000001E-2</v>
      </c>
      <c r="K57" s="154">
        <f>$G57</f>
        <v>340</v>
      </c>
      <c r="L57" s="155">
        <f t="shared" si="25"/>
        <v>32.299999999999997</v>
      </c>
      <c r="M57" s="91"/>
      <c r="N57" s="84">
        <f t="shared" si="1"/>
        <v>0</v>
      </c>
      <c r="O57" s="156">
        <f t="shared" si="26"/>
        <v>0</v>
      </c>
      <c r="Q57" s="157"/>
      <c r="R57" s="158"/>
      <c r="S57" s="151"/>
      <c r="T57" s="87"/>
      <c r="U57" s="89"/>
      <c r="V57" s="90"/>
      <c r="W57" s="69"/>
      <c r="X57" s="157"/>
      <c r="Y57" s="158"/>
      <c r="Z57" s="151"/>
      <c r="AA57" s="87"/>
      <c r="AB57" s="89"/>
      <c r="AC57" s="90"/>
      <c r="AD57" s="69"/>
      <c r="AE57" s="157"/>
      <c r="AF57" s="158"/>
      <c r="AG57" s="151"/>
      <c r="AH57" s="87"/>
      <c r="AI57" s="89"/>
      <c r="AJ57" s="90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</row>
    <row r="58" spans="1:60" x14ac:dyDescent="0.25">
      <c r="A58" s="1"/>
      <c r="B58" s="271" t="str">
        <f>IF(Rates!D4='GS&lt;50 CND'!$A$56,Rates!B4," ")</f>
        <v>TOU - On Peak</v>
      </c>
      <c r="C58" s="79"/>
      <c r="D58" s="271" t="str">
        <f>IF(Rates!D4='GS&lt;50 CND'!$A$56,Rates!E4," ")</f>
        <v>kWh</v>
      </c>
      <c r="E58" s="79"/>
      <c r="F58" s="235">
        <f>IF(Rates!$G$1="CND 2018",Rates!G4," ")</f>
        <v>0.13200000000000001</v>
      </c>
      <c r="G58" s="154">
        <f>IF($D$16="TOU",0.18*$F$18,0)</f>
        <v>360</v>
      </c>
      <c r="H58" s="155">
        <f t="shared" si="23"/>
        <v>47.52</v>
      </c>
      <c r="I58" s="278"/>
      <c r="J58" s="235">
        <f>IF(Rates!$L$1="E+ 2019",Rates!L4," ")</f>
        <v>0.13200000000000001</v>
      </c>
      <c r="K58" s="154">
        <f>$G58</f>
        <v>360</v>
      </c>
      <c r="L58" s="155">
        <f t="shared" si="25"/>
        <v>47.52</v>
      </c>
      <c r="M58" s="278"/>
      <c r="N58" s="84">
        <f t="shared" si="1"/>
        <v>0</v>
      </c>
      <c r="O58" s="156">
        <f t="shared" si="26"/>
        <v>0</v>
      </c>
      <c r="Q58" s="157"/>
      <c r="R58" s="158"/>
      <c r="S58" s="151"/>
      <c r="T58" s="87"/>
      <c r="U58" s="89"/>
      <c r="V58" s="90"/>
      <c r="W58" s="69"/>
      <c r="X58" s="157"/>
      <c r="Y58" s="158"/>
      <c r="Z58" s="151"/>
      <c r="AA58" s="87"/>
      <c r="AB58" s="89"/>
      <c r="AC58" s="90"/>
      <c r="AD58" s="69"/>
      <c r="AE58" s="157"/>
      <c r="AF58" s="158"/>
      <c r="AG58" s="151"/>
      <c r="AH58" s="87"/>
      <c r="AI58" s="89"/>
      <c r="AJ58" s="90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</row>
    <row r="59" spans="1:60" x14ac:dyDescent="0.25">
      <c r="A59" s="159"/>
      <c r="B59" s="271" t="str">
        <f>IF(Rates!D5='GS&lt;50 CND'!$A$56,Rates!B5," ")</f>
        <v>Commodity</v>
      </c>
      <c r="C59" s="79"/>
      <c r="D59" s="271" t="str">
        <f>IF(Rates!D5='GS&lt;50 CND'!$A$56,Rates!E5," ")</f>
        <v>kWh</v>
      </c>
      <c r="E59" s="161"/>
      <c r="F59" s="235">
        <f>IF(Rates!$G$1="CND 2018",Rates!G5," ")</f>
        <v>1.8855833333333332E-2</v>
      </c>
      <c r="G59" s="162">
        <f>IF($D$16="TOU", 0,$F$18)</f>
        <v>0</v>
      </c>
      <c r="H59" s="155">
        <f t="shared" si="23"/>
        <v>0</v>
      </c>
      <c r="I59" s="278"/>
      <c r="J59" s="235">
        <f>IF(Rates!$L$1="E+ 2019",Rates!L5," ")</f>
        <v>1.8855833333333332E-2</v>
      </c>
      <c r="K59" s="162">
        <f>G59</f>
        <v>0</v>
      </c>
      <c r="L59" s="155">
        <f t="shared" si="25"/>
        <v>0</v>
      </c>
      <c r="M59" s="278"/>
      <c r="N59" s="164">
        <f t="shared" si="1"/>
        <v>0</v>
      </c>
      <c r="O59" s="156" t="str">
        <f t="shared" si="26"/>
        <v/>
      </c>
      <c r="Q59" s="157"/>
      <c r="R59" s="165"/>
      <c r="S59" s="151"/>
      <c r="T59" s="166"/>
      <c r="U59" s="89"/>
      <c r="V59" s="90"/>
      <c r="W59" s="69"/>
      <c r="X59" s="157"/>
      <c r="Y59" s="165"/>
      <c r="Z59" s="151"/>
      <c r="AA59" s="166"/>
      <c r="AB59" s="89"/>
      <c r="AC59" s="90"/>
      <c r="AD59" s="69"/>
      <c r="AE59" s="157"/>
      <c r="AF59" s="165"/>
      <c r="AG59" s="151"/>
      <c r="AH59" s="166"/>
      <c r="AI59" s="89"/>
      <c r="AJ59" s="90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</row>
    <row r="60" spans="1:60" x14ac:dyDescent="0.25">
      <c r="A60" s="159"/>
      <c r="B60" s="271" t="str">
        <f>IF(Rates!D6='GS&lt;50 CND'!$A$56,Rates!B6," ")</f>
        <v>Global Adjustment</v>
      </c>
      <c r="C60" s="79"/>
      <c r="D60" s="271" t="str">
        <f>IF(Rates!D6='GS&lt;50 CND'!$A$56,Rates!E6," ")</f>
        <v>kWh</v>
      </c>
      <c r="E60" s="161"/>
      <c r="F60" s="235">
        <f>IF(Rates!$G$1="CND 2018",Rates!G6," ")</f>
        <v>0.10303000000000001</v>
      </c>
      <c r="G60" s="162">
        <f>IF($D$16="TOU", 0,$F$18)</f>
        <v>0</v>
      </c>
      <c r="H60" s="155">
        <f t="shared" si="23"/>
        <v>0</v>
      </c>
      <c r="I60" s="278"/>
      <c r="J60" s="235">
        <f>IF(Rates!$L$1="E+ 2019",Rates!L6," ")</f>
        <v>0.10303000000000001</v>
      </c>
      <c r="K60" s="162">
        <f>$G60</f>
        <v>0</v>
      </c>
      <c r="L60" s="155">
        <f t="shared" si="25"/>
        <v>0</v>
      </c>
      <c r="M60" s="278"/>
      <c r="N60" s="164">
        <f t="shared" si="1"/>
        <v>0</v>
      </c>
      <c r="O60" s="156" t="str">
        <f t="shared" si="26"/>
        <v/>
      </c>
      <c r="Q60" s="157"/>
      <c r="R60" s="165"/>
      <c r="S60" s="151"/>
      <c r="T60" s="166"/>
      <c r="U60" s="89"/>
      <c r="V60" s="90"/>
      <c r="W60" s="69"/>
      <c r="X60" s="157"/>
      <c r="Y60" s="165"/>
      <c r="Z60" s="151"/>
      <c r="AA60" s="166"/>
      <c r="AB60" s="89"/>
      <c r="AC60" s="90"/>
      <c r="AD60" s="69"/>
      <c r="AE60" s="157"/>
      <c r="AF60" s="165"/>
      <c r="AG60" s="151"/>
      <c r="AH60" s="166"/>
      <c r="AI60" s="89"/>
      <c r="AJ60" s="90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</row>
    <row r="61" spans="1:60" hidden="1" x14ac:dyDescent="0.25">
      <c r="A61" s="159"/>
      <c r="B61" s="167"/>
      <c r="C61" s="160"/>
      <c r="D61" s="160"/>
      <c r="E61" s="161"/>
      <c r="F61" s="147"/>
      <c r="G61" s="162"/>
      <c r="H61" s="155"/>
      <c r="I61" s="87"/>
      <c r="J61" s="169">
        <f t="shared" ref="J61" si="29">+F61</f>
        <v>0</v>
      </c>
      <c r="K61" s="168"/>
      <c r="L61" s="155"/>
      <c r="M61" s="87"/>
      <c r="N61" s="164">
        <f t="shared" si="1"/>
        <v>0</v>
      </c>
      <c r="O61" s="156" t="str">
        <f t="shared" si="26"/>
        <v/>
      </c>
      <c r="Q61" s="157"/>
      <c r="R61" s="165"/>
      <c r="S61" s="151"/>
      <c r="T61" s="166"/>
      <c r="U61" s="89"/>
      <c r="V61" s="90"/>
      <c r="W61" s="69"/>
      <c r="X61" s="157"/>
      <c r="Y61" s="165"/>
      <c r="Z61" s="151"/>
      <c r="AA61" s="166"/>
      <c r="AB61" s="89"/>
      <c r="AC61" s="90"/>
      <c r="AD61" s="69"/>
      <c r="AE61" s="157"/>
      <c r="AF61" s="165"/>
      <c r="AG61" s="151"/>
      <c r="AH61" s="166"/>
      <c r="AI61" s="89"/>
      <c r="AJ61" s="90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</row>
    <row r="62" spans="1:60" x14ac:dyDescent="0.25">
      <c r="A62" s="1"/>
      <c r="B62" s="170"/>
      <c r="C62" s="171"/>
      <c r="D62" s="171"/>
      <c r="E62" s="171"/>
      <c r="F62" s="387"/>
      <c r="G62" s="172"/>
      <c r="H62" s="388"/>
      <c r="I62" s="146"/>
      <c r="J62" s="387"/>
      <c r="K62" s="173"/>
      <c r="L62" s="388"/>
      <c r="M62" s="146"/>
      <c r="N62" s="394"/>
      <c r="O62" s="395"/>
      <c r="Q62" s="157"/>
      <c r="R62" s="120"/>
      <c r="S62" s="151"/>
      <c r="T62" s="87"/>
      <c r="U62" s="89"/>
      <c r="V62" s="174"/>
      <c r="W62" s="69"/>
      <c r="X62" s="157"/>
      <c r="Y62" s="120"/>
      <c r="Z62" s="151"/>
      <c r="AA62" s="87"/>
      <c r="AB62" s="89"/>
      <c r="AC62" s="174"/>
      <c r="AD62" s="69"/>
      <c r="AE62" s="157"/>
      <c r="AF62" s="120"/>
      <c r="AG62" s="151"/>
      <c r="AH62" s="87"/>
      <c r="AI62" s="89"/>
      <c r="AJ62" s="174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</row>
    <row r="63" spans="1:60" x14ac:dyDescent="0.25">
      <c r="A63" s="1"/>
      <c r="B63" s="175" t="s">
        <v>82</v>
      </c>
      <c r="C63" s="78"/>
      <c r="D63" s="78"/>
      <c r="E63" s="78"/>
      <c r="F63" s="176"/>
      <c r="G63" s="177"/>
      <c r="H63" s="179">
        <f>SUM(H51:H61,H50)</f>
        <v>243.69571716080281</v>
      </c>
      <c r="I63" s="187"/>
      <c r="J63" s="178"/>
      <c r="K63" s="178"/>
      <c r="L63" s="179">
        <f>SUM(L51:L61,L50)</f>
        <v>255.75069467077617</v>
      </c>
      <c r="M63" s="187"/>
      <c r="N63" s="179">
        <f>L63-H63</f>
        <v>12.054977509973355</v>
      </c>
      <c r="O63" s="180">
        <f t="shared" si="26"/>
        <v>4.9467334306982788E-2</v>
      </c>
      <c r="Q63" s="181"/>
      <c r="R63" s="181"/>
      <c r="S63" s="121"/>
      <c r="T63" s="146"/>
      <c r="U63" s="89"/>
      <c r="V63" s="90"/>
      <c r="W63" s="69"/>
      <c r="X63" s="181"/>
      <c r="Y63" s="181"/>
      <c r="Z63" s="121"/>
      <c r="AA63" s="146"/>
      <c r="AB63" s="89"/>
      <c r="AC63" s="90"/>
      <c r="AD63" s="69"/>
      <c r="AE63" s="181"/>
      <c r="AF63" s="181"/>
      <c r="AG63" s="121"/>
      <c r="AH63" s="146"/>
      <c r="AI63" s="89"/>
      <c r="AJ63" s="90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</row>
    <row r="64" spans="1:60" x14ac:dyDescent="0.25">
      <c r="A64" s="1"/>
      <c r="B64" s="182" t="s">
        <v>9</v>
      </c>
      <c r="C64" s="78"/>
      <c r="D64" s="78"/>
      <c r="E64" s="78"/>
      <c r="F64" s="183">
        <v>0.13</v>
      </c>
      <c r="G64" s="87"/>
      <c r="H64" s="188">
        <f>$H$63*F64</f>
        <v>31.680443230904366</v>
      </c>
      <c r="I64" s="187"/>
      <c r="J64" s="185">
        <v>0.13</v>
      </c>
      <c r="K64" s="184"/>
      <c r="L64" s="186">
        <f>$L$63*J64</f>
        <v>33.247590307200902</v>
      </c>
      <c r="M64" s="187"/>
      <c r="N64" s="188">
        <f>L64-H64</f>
        <v>1.5671470762965356</v>
      </c>
      <c r="O64" s="85">
        <f t="shared" si="26"/>
        <v>4.9467334306982767E-2</v>
      </c>
      <c r="Q64" s="189"/>
      <c r="R64" s="187"/>
      <c r="S64" s="190"/>
      <c r="T64" s="187"/>
      <c r="U64" s="89"/>
      <c r="V64" s="90"/>
      <c r="W64" s="69"/>
      <c r="X64" s="189"/>
      <c r="Y64" s="187"/>
      <c r="Z64" s="190"/>
      <c r="AA64" s="187"/>
      <c r="AB64" s="89"/>
      <c r="AC64" s="90"/>
      <c r="AD64" s="69"/>
      <c r="AE64" s="189"/>
      <c r="AF64" s="187"/>
      <c r="AG64" s="190"/>
      <c r="AH64" s="187"/>
      <c r="AI64" s="89"/>
      <c r="AJ64" s="90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</row>
    <row r="65" spans="1:60" x14ac:dyDescent="0.25">
      <c r="A65" s="1"/>
      <c r="B65" s="182" t="s">
        <v>106</v>
      </c>
      <c r="C65" s="78"/>
      <c r="D65" s="78"/>
      <c r="E65" s="78"/>
      <c r="F65" s="183">
        <v>-0.05</v>
      </c>
      <c r="G65" s="87"/>
      <c r="H65" s="188">
        <f>$H$63*F65</f>
        <v>-12.184785858040142</v>
      </c>
      <c r="I65" s="187"/>
      <c r="J65" s="183">
        <v>-0.05</v>
      </c>
      <c r="K65" s="184"/>
      <c r="L65" s="186">
        <f>$L$63*J65</f>
        <v>-12.787534733538809</v>
      </c>
      <c r="M65" s="187"/>
      <c r="N65" s="188">
        <f>L65-H65</f>
        <v>-0.6027488754986674</v>
      </c>
      <c r="O65" s="85">
        <f t="shared" si="26"/>
        <v>4.9467334306982753E-2</v>
      </c>
      <c r="Q65" s="189"/>
      <c r="R65" s="187"/>
      <c r="S65" s="190"/>
      <c r="T65" s="187"/>
      <c r="U65" s="89"/>
      <c r="V65" s="90"/>
      <c r="W65" s="69"/>
      <c r="X65" s="189"/>
      <c r="Y65" s="187"/>
      <c r="Z65" s="190"/>
      <c r="AA65" s="187"/>
      <c r="AB65" s="89"/>
      <c r="AC65" s="90"/>
      <c r="AD65" s="69"/>
      <c r="AE65" s="189"/>
      <c r="AF65" s="187"/>
      <c r="AG65" s="190"/>
      <c r="AH65" s="187"/>
      <c r="AI65" s="89"/>
      <c r="AJ65" s="90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</row>
    <row r="66" spans="1:60" ht="15.75" thickBot="1" x14ac:dyDescent="0.3">
      <c r="A66" s="1"/>
      <c r="B66" s="191" t="s">
        <v>83</v>
      </c>
      <c r="C66" s="192"/>
      <c r="D66" s="192"/>
      <c r="E66" s="192"/>
      <c r="F66" s="193"/>
      <c r="G66" s="194"/>
      <c r="H66" s="389">
        <f>SUM(H63:H65)</f>
        <v>263.19137453366704</v>
      </c>
      <c r="I66" s="166"/>
      <c r="J66" s="195"/>
      <c r="K66" s="195"/>
      <c r="L66" s="389">
        <f>SUM(L63:L65)</f>
        <v>276.21075024443826</v>
      </c>
      <c r="M66" s="166"/>
      <c r="N66" s="196">
        <f>L66-H66</f>
        <v>13.019375710771214</v>
      </c>
      <c r="O66" s="197">
        <f t="shared" si="26"/>
        <v>4.9467334306982753E-2</v>
      </c>
      <c r="Q66" s="187"/>
      <c r="R66" s="187"/>
      <c r="S66" s="190"/>
      <c r="T66" s="187"/>
      <c r="U66" s="89"/>
      <c r="V66" s="90"/>
      <c r="W66" s="69"/>
      <c r="X66" s="187"/>
      <c r="Y66" s="187"/>
      <c r="Z66" s="190"/>
      <c r="AA66" s="187"/>
      <c r="AB66" s="89"/>
      <c r="AC66" s="90"/>
      <c r="AD66" s="69"/>
      <c r="AE66" s="187"/>
      <c r="AF66" s="187"/>
      <c r="AG66" s="190"/>
      <c r="AH66" s="187"/>
      <c r="AI66" s="89"/>
      <c r="AJ66" s="90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</row>
    <row r="67" spans="1:60" ht="15.75" thickBot="1" x14ac:dyDescent="0.3">
      <c r="A67" s="159"/>
      <c r="B67" s="198" t="s">
        <v>67</v>
      </c>
      <c r="C67" s="199"/>
      <c r="D67" s="199"/>
      <c r="E67" s="199"/>
      <c r="F67" s="390"/>
      <c r="G67" s="391"/>
      <c r="H67" s="392"/>
      <c r="I67" s="91"/>
      <c r="J67" s="390"/>
      <c r="K67" s="393"/>
      <c r="L67" s="392"/>
      <c r="M67" s="91"/>
      <c r="N67" s="396"/>
      <c r="O67" s="397"/>
      <c r="Q67" s="157"/>
      <c r="R67" s="206"/>
      <c r="S67" s="151"/>
      <c r="T67" s="166"/>
      <c r="U67" s="207"/>
      <c r="V67" s="174"/>
      <c r="W67" s="69"/>
      <c r="X67" s="157"/>
      <c r="Y67" s="206"/>
      <c r="Z67" s="151"/>
      <c r="AA67" s="166"/>
      <c r="AB67" s="207"/>
      <c r="AC67" s="174"/>
      <c r="AD67" s="69"/>
      <c r="AE67" s="157"/>
      <c r="AF67" s="206"/>
      <c r="AG67" s="151"/>
      <c r="AH67" s="166"/>
      <c r="AI67" s="207"/>
      <c r="AJ67" s="174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</row>
    <row r="68" spans="1:6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67"/>
      <c r="M68" s="3"/>
      <c r="N68" s="1"/>
      <c r="O68" s="1"/>
      <c r="Q68" s="2"/>
      <c r="R68" s="2"/>
      <c r="S68" s="208"/>
      <c r="T68" s="2"/>
      <c r="U68" s="2"/>
      <c r="V68" s="2"/>
      <c r="W68" s="69"/>
      <c r="X68" s="2"/>
      <c r="Y68" s="2"/>
      <c r="Z68" s="208"/>
      <c r="AA68" s="2"/>
      <c r="AB68" s="2"/>
      <c r="AC68" s="2"/>
      <c r="AD68" s="69"/>
      <c r="AE68" s="2"/>
      <c r="AF68" s="2"/>
      <c r="AG68" s="208"/>
      <c r="AH68" s="2"/>
      <c r="AI68" s="2"/>
      <c r="AJ68" s="2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</row>
    <row r="69" spans="1:60" x14ac:dyDescent="0.25">
      <c r="A69" s="1"/>
      <c r="B69" s="65" t="s">
        <v>10</v>
      </c>
      <c r="C69" s="1"/>
      <c r="D69" s="1"/>
      <c r="E69" s="1"/>
      <c r="F69" s="209">
        <f>Rates!$R$2-1</f>
        <v>3.3500000000000085E-2</v>
      </c>
      <c r="G69" s="1"/>
      <c r="H69" s="1"/>
      <c r="I69" s="1"/>
      <c r="J69" s="209">
        <f>Rates!$T$2-1</f>
        <v>3.0684649944026976E-2</v>
      </c>
      <c r="K69" s="1"/>
      <c r="L69" s="1"/>
      <c r="M69" s="3"/>
      <c r="N69" s="1"/>
      <c r="O69" s="1"/>
      <c r="Q69" s="210"/>
      <c r="R69" s="2"/>
      <c r="S69" s="2"/>
      <c r="T69" s="2"/>
      <c r="U69" s="2"/>
      <c r="V69" s="2"/>
      <c r="W69" s="69"/>
      <c r="X69" s="210"/>
      <c r="Y69" s="2"/>
      <c r="Z69" s="2"/>
      <c r="AA69" s="2"/>
      <c r="AB69" s="2"/>
      <c r="AC69" s="2"/>
      <c r="AD69" s="69"/>
      <c r="AE69" s="210"/>
      <c r="AF69" s="2"/>
      <c r="AG69" s="2"/>
      <c r="AH69" s="2"/>
      <c r="AI69" s="2"/>
      <c r="AJ69" s="2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</row>
    <row r="70" spans="1:6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3"/>
      <c r="N70" s="1"/>
      <c r="O70" s="1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</row>
    <row r="71" spans="1:60" x14ac:dyDescent="0.25">
      <c r="A71" s="1" t="s">
        <v>84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3"/>
      <c r="N71" s="1"/>
      <c r="O71" s="1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</row>
    <row r="72" spans="1:60" x14ac:dyDescent="0.25">
      <c r="A72" s="1" t="s">
        <v>85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3"/>
      <c r="N72" s="1"/>
      <c r="O72" s="1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</row>
    <row r="73" spans="1:6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3"/>
      <c r="N73" s="1"/>
      <c r="O73" s="1"/>
    </row>
    <row r="74" spans="1:60" x14ac:dyDescent="0.25">
      <c r="A74" s="64" t="s">
        <v>86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3"/>
      <c r="N74" s="1"/>
      <c r="O74" s="1"/>
    </row>
    <row r="75" spans="1:60" x14ac:dyDescent="0.25">
      <c r="A75" s="64" t="s">
        <v>87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3"/>
      <c r="N75" s="1"/>
      <c r="O75" s="1"/>
    </row>
    <row r="76" spans="1:6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3"/>
      <c r="N76" s="1"/>
      <c r="O76" s="1"/>
    </row>
    <row r="77" spans="1:60" x14ac:dyDescent="0.25">
      <c r="A77" s="1" t="s">
        <v>88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3"/>
      <c r="N77" s="1"/>
      <c r="O77" s="1"/>
    </row>
    <row r="78" spans="1:60" x14ac:dyDescent="0.25">
      <c r="A78" s="1" t="s">
        <v>89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3"/>
      <c r="N78" s="1"/>
      <c r="O78" s="1"/>
    </row>
    <row r="79" spans="1:60" x14ac:dyDescent="0.25">
      <c r="A79" s="1" t="s">
        <v>90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3"/>
      <c r="N79" s="1"/>
      <c r="O79" s="1"/>
    </row>
    <row r="80" spans="1:60" x14ac:dyDescent="0.25">
      <c r="A80" s="1" t="s">
        <v>91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3"/>
      <c r="N80" s="1"/>
      <c r="O80" s="1"/>
    </row>
    <row r="81" spans="1:15" x14ac:dyDescent="0.25">
      <c r="A81" s="1" t="s">
        <v>92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3"/>
      <c r="N81" s="1"/>
      <c r="O81" s="1"/>
    </row>
    <row r="84" spans="1:15" x14ac:dyDescent="0.25">
      <c r="A84" t="s">
        <v>226</v>
      </c>
    </row>
    <row r="85" spans="1:15" x14ac:dyDescent="0.25">
      <c r="A85" t="s">
        <v>227</v>
      </c>
    </row>
  </sheetData>
  <sheetProtection selectLockedCells="1"/>
  <mergeCells count="21">
    <mergeCell ref="AI20:AJ20"/>
    <mergeCell ref="A3:K3"/>
    <mergeCell ref="B10:O10"/>
    <mergeCell ref="B11:O11"/>
    <mergeCell ref="D14:O14"/>
    <mergeCell ref="F20:H20"/>
    <mergeCell ref="J20:L20"/>
    <mergeCell ref="N20:O20"/>
    <mergeCell ref="Q20:S20"/>
    <mergeCell ref="U20:V20"/>
    <mergeCell ref="X20:Z20"/>
    <mergeCell ref="AB20:AC20"/>
    <mergeCell ref="AE20:AG20"/>
    <mergeCell ref="AI21:AI22"/>
    <mergeCell ref="AJ21:AJ22"/>
    <mergeCell ref="N21:N22"/>
    <mergeCell ref="O21:O22"/>
    <mergeCell ref="U21:U22"/>
    <mergeCell ref="V21:V22"/>
    <mergeCell ref="AB21:AB22"/>
    <mergeCell ref="AC21:AC22"/>
  </mergeCells>
  <dataValidations count="2">
    <dataValidation type="list" allowBlank="1" showInputMessage="1" showErrorMessage="1" sqref="D16">
      <formula1>"TOU, non-TOU"</formula1>
    </dataValidation>
    <dataValidation type="list" allowBlank="1" showInputMessage="1" showErrorMessage="1" sqref="E48:E49 E51:E62 E37:E46 E67 E23:E35">
      <formula1>#REF!</formula1>
    </dataValidation>
  </dataValidations>
  <printOptions horizontalCentered="1"/>
  <pageMargins left="0.3" right="0.35" top="0.92" bottom="0.7" header="0.56999999999999995" footer="0.41"/>
  <pageSetup paperSize="256" scale="60" fitToHeight="0" orientation="landscape" r:id="rId1"/>
  <headerFooter>
    <oddHeader xml:space="preserve">&amp;RToronto Hydro-Electric System Limited
</oddHeader>
    <oddFooter>&amp;C&amp;A</oddFooter>
  </headerFooter>
  <ignoredErrors>
    <ignoredError sqref="F24:F25 F36:J36 F26:F34 F38 F37 F56:J60 F39:F44 F48:J50 F23 H23:J23 H24:J25 H26:I34 H37:I37 H39:I45 F52:J53 F51 H51:J51 F54 H54:J54 H38:J38 F47:G47 I47:J47" unlockedFormula="1"/>
    <ignoredError sqref="G38" formula="1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1857" r:id="rId4" name="Option Button 1">
              <controlPr defaultSize="0" autoFill="0" autoLine="0" autoPict="0">
                <anchor moveWithCells="1">
                  <from>
                    <xdr:col>9</xdr:col>
                    <xdr:colOff>361950</xdr:colOff>
                    <xdr:row>82</xdr:row>
                    <xdr:rowOff>0</xdr:rowOff>
                  </from>
                  <to>
                    <xdr:col>17</xdr:col>
                    <xdr:colOff>190500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58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82</xdr:row>
                    <xdr:rowOff>0</xdr:rowOff>
                  </from>
                  <to>
                    <xdr:col>9</xdr:col>
                    <xdr:colOff>628650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59" r:id="rId6" name="Option Button 3">
              <controlPr defaultSize="0" autoFill="0" autoLine="0" autoPict="0">
                <anchor moveWithCells="1">
                  <from>
                    <xdr:col>9</xdr:col>
                    <xdr:colOff>361950</xdr:colOff>
                    <xdr:row>82</xdr:row>
                    <xdr:rowOff>0</xdr:rowOff>
                  </from>
                  <to>
                    <xdr:col>17</xdr:col>
                    <xdr:colOff>190500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60" r:id="rId7" name="Option Button 4">
              <controlPr defaultSize="0" autoFill="0" autoLine="0" autoPict="0">
                <anchor moveWithCells="1">
                  <from>
                    <xdr:col>6</xdr:col>
                    <xdr:colOff>381000</xdr:colOff>
                    <xdr:row>82</xdr:row>
                    <xdr:rowOff>0</xdr:rowOff>
                  </from>
                  <to>
                    <xdr:col>9</xdr:col>
                    <xdr:colOff>628650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61" r:id="rId8" name="Option Button 5">
              <controlPr defaultSize="0" autoFill="0" autoLine="0" autoPict="0">
                <anchor moveWithCells="1">
                  <from>
                    <xdr:col>9</xdr:col>
                    <xdr:colOff>361950</xdr:colOff>
                    <xdr:row>82</xdr:row>
                    <xdr:rowOff>0</xdr:rowOff>
                  </from>
                  <to>
                    <xdr:col>17</xdr:col>
                    <xdr:colOff>190500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62" r:id="rId9" name="Option Button 6">
              <controlPr defaultSize="0" autoFill="0" autoLine="0" autoPict="0">
                <anchor moveWithCells="1">
                  <from>
                    <xdr:col>6</xdr:col>
                    <xdr:colOff>381000</xdr:colOff>
                    <xdr:row>82</xdr:row>
                    <xdr:rowOff>0</xdr:rowOff>
                  </from>
                  <to>
                    <xdr:col>9</xdr:col>
                    <xdr:colOff>628650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63" r:id="rId10" name="Option Button 7">
              <controlPr defaultSize="0" autoFill="0" autoLine="0" autoPict="0">
                <anchor moveWithCells="1">
                  <from>
                    <xdr:col>9</xdr:col>
                    <xdr:colOff>361950</xdr:colOff>
                    <xdr:row>82</xdr:row>
                    <xdr:rowOff>0</xdr:rowOff>
                  </from>
                  <to>
                    <xdr:col>17</xdr:col>
                    <xdr:colOff>190500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64" r:id="rId11" name="Option Button 8">
              <controlPr defaultSize="0" autoFill="0" autoLine="0" autoPict="0">
                <anchor moveWithCells="1">
                  <from>
                    <xdr:col>6</xdr:col>
                    <xdr:colOff>381000</xdr:colOff>
                    <xdr:row>82</xdr:row>
                    <xdr:rowOff>0</xdr:rowOff>
                  </from>
                  <to>
                    <xdr:col>9</xdr:col>
                    <xdr:colOff>628650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65" r:id="rId12" name="Option Button 9">
              <controlPr defaultSize="0" autoFill="0" autoLine="0" autoPict="0">
                <anchor moveWithCells="1">
                  <from>
                    <xdr:col>9</xdr:col>
                    <xdr:colOff>361950</xdr:colOff>
                    <xdr:row>82</xdr:row>
                    <xdr:rowOff>0</xdr:rowOff>
                  </from>
                  <to>
                    <xdr:col>17</xdr:col>
                    <xdr:colOff>190500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66" r:id="rId13" name="Option Button 10">
              <controlPr defaultSize="0" autoFill="0" autoLine="0" autoPict="0">
                <anchor moveWithCells="1">
                  <from>
                    <xdr:col>6</xdr:col>
                    <xdr:colOff>381000</xdr:colOff>
                    <xdr:row>82</xdr:row>
                    <xdr:rowOff>0</xdr:rowOff>
                  </from>
                  <to>
                    <xdr:col>9</xdr:col>
                    <xdr:colOff>628650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67" r:id="rId14" name="Option Button 11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68" r:id="rId15" name="Option Button 12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628650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69" r:id="rId16" name="Option Button 13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70" r:id="rId17" name="Option Button 14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628650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71" r:id="rId18" name="Option Button 15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72" r:id="rId19" name="Option Button 16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628650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73" r:id="rId20" name="Option Button 17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74" r:id="rId21" name="Option Button 18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628650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75" r:id="rId22" name="Option Button 19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76" r:id="rId23" name="Option Button 20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628650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77" r:id="rId24" name="Option Button 21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78" r:id="rId25" name="Option Button 22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628650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79" r:id="rId26" name="Option Button 23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80" r:id="rId27" name="Option Button 24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628650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81" r:id="rId28" name="Option Button 25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82" r:id="rId29" name="Option Button 26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628650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83" r:id="rId30" name="Option Button 27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84" r:id="rId31" name="Option Button 28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628650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85" r:id="rId32" name="Option Button 29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86" r:id="rId33" name="Option Button 30">
              <controlPr defaultSize="0" autoFill="0" autoLine="0" autoPict="0">
                <anchor moveWithCells="1">
                  <from>
                    <xdr:col>6</xdr:col>
                    <xdr:colOff>381000</xdr:colOff>
                    <xdr:row>81</xdr:row>
                    <xdr:rowOff>0</xdr:rowOff>
                  </from>
                  <to>
                    <xdr:col>9</xdr:col>
                    <xdr:colOff>628650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87" r:id="rId34" name="Option Button 31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89" r:id="rId35" name="Option Button 33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91" r:id="rId36" name="Option Button 35">
              <controlPr defaultSize="0" autoFill="0" autoLine="0" autoPict="0">
                <anchor moveWithCells="1">
                  <from>
                    <xdr:col>9</xdr:col>
                    <xdr:colOff>361950</xdr:colOff>
                    <xdr:row>81</xdr:row>
                    <xdr:rowOff>0</xdr:rowOff>
                  </from>
                  <to>
                    <xdr:col>17</xdr:col>
                    <xdr:colOff>190500</xdr:colOff>
                    <xdr:row>83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25</vt:i4>
      </vt:variant>
    </vt:vector>
  </HeadingPairs>
  <TitlesOfParts>
    <vt:vector size="51" baseType="lpstr">
      <vt:lpstr>Table Bill Impact</vt:lpstr>
      <vt:lpstr>Summary - NC to RTSR</vt:lpstr>
      <vt:lpstr>Summary</vt:lpstr>
      <vt:lpstr>Rates</vt:lpstr>
      <vt:lpstr>Residential CND</vt:lpstr>
      <vt:lpstr>Residential CND (10%)</vt:lpstr>
      <vt:lpstr>Residential BRT</vt:lpstr>
      <vt:lpstr>Residential BRT (10%)</vt:lpstr>
      <vt:lpstr>GS&lt;50 CND</vt:lpstr>
      <vt:lpstr>GS&lt;50 BRT</vt:lpstr>
      <vt:lpstr>GS 50-999 kW CND</vt:lpstr>
      <vt:lpstr>GS 50-999 kW BRT</vt:lpstr>
      <vt:lpstr>GS 50-999 kW BRT&lt;1000</vt:lpstr>
      <vt:lpstr>GS 1000-4999 CND</vt:lpstr>
      <vt:lpstr>GS 1000-4999 BRT</vt:lpstr>
      <vt:lpstr>LARGE CND</vt:lpstr>
      <vt:lpstr>EMB CND WNH</vt:lpstr>
      <vt:lpstr>EMB CND HON</vt:lpstr>
      <vt:lpstr>EMB BRT BPI</vt:lpstr>
      <vt:lpstr>EMB BRT HON 1</vt:lpstr>
      <vt:lpstr>EMB BRT HON 2</vt:lpstr>
      <vt:lpstr>STREET LIGHTING BRT</vt:lpstr>
      <vt:lpstr>STREET LIGHTING CND</vt:lpstr>
      <vt:lpstr>USL CND</vt:lpstr>
      <vt:lpstr>USL BRT</vt:lpstr>
      <vt:lpstr>SENTINEL BRT</vt:lpstr>
      <vt:lpstr>'EMB BRT BPI'!Print_Area</vt:lpstr>
      <vt:lpstr>'EMB BRT HON 1'!Print_Area</vt:lpstr>
      <vt:lpstr>'EMB BRT HON 2'!Print_Area</vt:lpstr>
      <vt:lpstr>'EMB CND HON'!Print_Area</vt:lpstr>
      <vt:lpstr>'EMB CND WNH'!Print_Area</vt:lpstr>
      <vt:lpstr>'GS 1000-4999 BRT'!Print_Area</vt:lpstr>
      <vt:lpstr>'GS 1000-4999 CND'!Print_Area</vt:lpstr>
      <vt:lpstr>'GS 50-999 kW BRT'!Print_Area</vt:lpstr>
      <vt:lpstr>'GS 50-999 kW BRT&lt;1000'!Print_Area</vt:lpstr>
      <vt:lpstr>'GS 50-999 kW CND'!Print_Area</vt:lpstr>
      <vt:lpstr>'GS&lt;50 BRT'!Print_Area</vt:lpstr>
      <vt:lpstr>'GS&lt;50 CND'!Print_Area</vt:lpstr>
      <vt:lpstr>'LARGE CND'!Print_Area</vt:lpstr>
      <vt:lpstr>Rates!Print_Area</vt:lpstr>
      <vt:lpstr>'Residential BRT'!Print_Area</vt:lpstr>
      <vt:lpstr>'Residential BRT (10%)'!Print_Area</vt:lpstr>
      <vt:lpstr>'Residential CND'!Print_Area</vt:lpstr>
      <vt:lpstr>'Residential CND (10%)'!Print_Area</vt:lpstr>
      <vt:lpstr>'SENTINEL BRT'!Print_Area</vt:lpstr>
      <vt:lpstr>'STREET LIGHTING BRT'!Print_Area</vt:lpstr>
      <vt:lpstr>'STREET LIGHTING CND'!Print_Area</vt:lpstr>
      <vt:lpstr>'Table Bill Impact'!Print_Area</vt:lpstr>
      <vt:lpstr>'USL BRT'!Print_Area</vt:lpstr>
      <vt:lpstr>'USL CND'!Print_Area</vt:lpstr>
      <vt:lpstr>Rates!Print_Titles</vt:lpstr>
    </vt:vector>
  </TitlesOfParts>
  <Company>Cambridge and North Dumfries Hydro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Calhoun</dc:creator>
  <cp:lastModifiedBy>Grace Williams</cp:lastModifiedBy>
  <cp:lastPrinted>2018-04-25T15:59:50Z</cp:lastPrinted>
  <dcterms:created xsi:type="dcterms:W3CDTF">2013-08-28T15:11:04Z</dcterms:created>
  <dcterms:modified xsi:type="dcterms:W3CDTF">2018-04-25T17:39:28Z</dcterms:modified>
</cp:coreProperties>
</file>