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0" yWindow="-40" windowWidth="23040" windowHeight="12860" firstSheet="1" activeTab="6"/>
  </bookViews>
  <sheets>
    <sheet name="EGD_standalone" sheetId="1" r:id="rId1"/>
    <sheet name="UGL standalone" sheetId="2" r:id="rId2"/>
    <sheet name="Amalco" sheetId="5" r:id="rId3"/>
    <sheet name="EGD_Price cap" sheetId="3" r:id="rId4"/>
    <sheet name="UGL Price cap" sheetId="4" r:id="rId5"/>
    <sheet name="ICM Impacts" sheetId="6" r:id="rId6"/>
    <sheet name="ICM Impacts_Rev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a1" localSheetId="4">#N/A</definedName>
    <definedName name="____a1" localSheetId="1">#N/A</definedName>
    <definedName name="____a1">#N/A</definedName>
    <definedName name="___a1" localSheetId="4">#N/A</definedName>
    <definedName name="___a1" localSheetId="1">#N/A</definedName>
    <definedName name="___a1">#N/A</definedName>
    <definedName name="__a1" localSheetId="4">#N/A</definedName>
    <definedName name="__a1" localSheetId="1">#N/A</definedName>
    <definedName name="__a1">#N/A</definedName>
    <definedName name="__gen1" localSheetId="3">#REF!</definedName>
    <definedName name="__gen1" localSheetId="6">#REF!</definedName>
    <definedName name="__gen1" localSheetId="4">#REF!</definedName>
    <definedName name="__gen1">#REF!</definedName>
    <definedName name="__Gen2" localSheetId="3">#REF!</definedName>
    <definedName name="__Gen2" localSheetId="6">#REF!</definedName>
    <definedName name="__Gen2" localSheetId="4">#REF!</definedName>
    <definedName name="__Gen2">#REF!</definedName>
    <definedName name="__gen3" localSheetId="3">#REF!</definedName>
    <definedName name="__gen3" localSheetId="6">#REF!</definedName>
    <definedName name="__gen3" localSheetId="4">#REF!</definedName>
    <definedName name="__gen3">#REF!</definedName>
    <definedName name="__Gen4" localSheetId="3">#REF!</definedName>
    <definedName name="__Gen4" localSheetId="6">#REF!</definedName>
    <definedName name="__Gen4" localSheetId="4">#REF!</definedName>
    <definedName name="__Gen4">#REF!</definedName>
    <definedName name="__Gen5" localSheetId="3">#REF!</definedName>
    <definedName name="__Gen5" localSheetId="6">#REF!</definedName>
    <definedName name="__Gen5" localSheetId="4">#REF!</definedName>
    <definedName name="__Gen5">#REF!</definedName>
    <definedName name="__IntlFixup" hidden="1">TRUE</definedName>
    <definedName name="_a1" localSheetId="4">#N/A</definedName>
    <definedName name="_a1" localSheetId="1">#N/A</definedName>
    <definedName name="_a1">#N/A</definedName>
    <definedName name="_gen1" localSheetId="3">#REF!</definedName>
    <definedName name="_gen1" localSheetId="6">#REF!</definedName>
    <definedName name="_gen1" localSheetId="4">#REF!</definedName>
    <definedName name="_gen1">#REF!</definedName>
    <definedName name="_Gen2" localSheetId="3">#REF!</definedName>
    <definedName name="_Gen2" localSheetId="6">#REF!</definedName>
    <definedName name="_Gen2" localSheetId="4">#REF!</definedName>
    <definedName name="_Gen2">#REF!</definedName>
    <definedName name="_gen3" localSheetId="3">#REF!</definedName>
    <definedName name="_gen3" localSheetId="6">#REF!</definedName>
    <definedName name="_gen3" localSheetId="4">#REF!</definedName>
    <definedName name="_gen3">#REF!</definedName>
    <definedName name="_Gen4" localSheetId="3">#REF!</definedName>
    <definedName name="_Gen4" localSheetId="6">#REF!</definedName>
    <definedName name="_Gen4" localSheetId="4">#REF!</definedName>
    <definedName name="_Gen4">#REF!</definedName>
    <definedName name="_Gen5" localSheetId="3">#REF!</definedName>
    <definedName name="_Gen5" localSheetId="6">#REF!</definedName>
    <definedName name="_Gen5" localSheetId="4">#REF!</definedName>
    <definedName name="_Gen5">#REF!</definedName>
    <definedName name="_Key1" localSheetId="3" hidden="1">#REF!</definedName>
    <definedName name="_Key1" localSheetId="6" hidden="1">#REF!</definedName>
    <definedName name="_Key1" localSheetId="4" hidden="1">#REF!</definedName>
    <definedName name="_Key1" hidden="1">#REF!</definedName>
    <definedName name="_Order1" hidden="1">255</definedName>
    <definedName name="_Order2" hidden="1">255</definedName>
    <definedName name="_Sort" localSheetId="3" hidden="1">#REF!</definedName>
    <definedName name="_Sort" localSheetId="6" hidden="1">#REF!</definedName>
    <definedName name="_Sort" localSheetId="4" hidden="1">#REF!</definedName>
    <definedName name="_Sort" hidden="1">#REF!</definedName>
    <definedName name="adds" localSheetId="3">#REF!</definedName>
    <definedName name="adds" localSheetId="6">#REF!</definedName>
    <definedName name="adds" localSheetId="4">#REF!</definedName>
    <definedName name="adds">#REF!</definedName>
    <definedName name="analysis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scount" hidden="1">1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TickmarkLS" localSheetId="3" hidden="1">#REF!</definedName>
    <definedName name="AS2TickmarkLS" localSheetId="6" hidden="1">#REF!</definedName>
    <definedName name="AS2TickmarkLS" localSheetId="4" hidden="1">#REF!</definedName>
    <definedName name="AS2TickmarkLS" hidden="1">#REF!</definedName>
    <definedName name="AS2VersionLS" hidden="1">300</definedName>
    <definedName name="BasePD">'[1]Base Year'!$J$54</definedName>
    <definedName name="BasePS">'[1]Base Year'!$J$100</definedName>
    <definedName name="BaseRE">'[1]Base Year'!$J$102</definedName>
    <definedName name="BaseRevenue">'[1]Base Year'!$J$21</definedName>
    <definedName name="BaseRevenueGrowth">'[1]Base Year'!$J$22</definedName>
    <definedName name="BaseSalesExpense">'[1]Base Year'!$J$28</definedName>
    <definedName name="BaseSTD">'[1]Base Year'!$J$87</definedName>
    <definedName name="BasetaxRate">'[1]Base Year'!$J$49</definedName>
    <definedName name="BaseTP">'[1]Base Year'!$J$89</definedName>
    <definedName name="BG_Del" hidden="1">15</definedName>
    <definedName name="BG_Ins" hidden="1">4</definedName>
    <definedName name="BG_Mod" hidden="1">6</definedName>
    <definedName name="BreakevenAnalysis">[1]Assumptions!$A$1</definedName>
    <definedName name="BSDate">'[1]Base Year'!$J$60</definedName>
    <definedName name="BUDSALE" localSheetId="3">#REF!</definedName>
    <definedName name="BUDSALE" localSheetId="6">#REF!</definedName>
    <definedName name="BUDSALE" localSheetId="4">#REF!</definedName>
    <definedName name="BUDSALE">#REF!</definedName>
    <definedName name="BUDTOTLS" localSheetId="3">#REF!</definedName>
    <definedName name="BUDTOTLS" localSheetId="6">#REF!</definedName>
    <definedName name="BUDTOTLS" localSheetId="4">#REF!</definedName>
    <definedName name="BUDTOTLS">#REF!</definedName>
    <definedName name="BUDTSRV" localSheetId="3">#REF!</definedName>
    <definedName name="BUDTSRV" localSheetId="6">#REF!</definedName>
    <definedName name="BUDTSRV" localSheetId="4">#REF!</definedName>
    <definedName name="BUDTSRV">#REF!</definedName>
    <definedName name="CAP_TAX_RATE">[2]WFeasoParam!$B$6</definedName>
    <definedName name="cashprint" localSheetId="3">#REF!</definedName>
    <definedName name="cashprint" localSheetId="6">#REF!</definedName>
    <definedName name="cashprint" localSheetId="4">#REF!</definedName>
    <definedName name="cashprint">#REF!</definedName>
    <definedName name="CONSTRUCTION_1">[2]WFeasoParam!$B$9</definedName>
    <definedName name="curr_mth" localSheetId="3">#REF!</definedName>
    <definedName name="curr_mth" localSheetId="6">#REF!</definedName>
    <definedName name="curr_mth" localSheetId="4">#REF!</definedName>
    <definedName name="curr_mth">#REF!</definedName>
    <definedName name="d" localSheetId="4" hidden="1">{"edcredit",#N/A,FALSE,"edcredit"}</definedName>
    <definedName name="d" localSheetId="1" hidden="1">{"edcredit",#N/A,FALSE,"edcredit"}</definedName>
    <definedName name="d" hidden="1">{"edcredit",#N/A,FALSE,"edcredit"}</definedName>
    <definedName name="deducts" localSheetId="3">#REF!</definedName>
    <definedName name="deducts" localSheetId="6">#REF!</definedName>
    <definedName name="deducts" localSheetId="4">#REF!</definedName>
    <definedName name="deducts">#REF!</definedName>
    <definedName name="DeprExp1">[3]Definitions!$B$15</definedName>
    <definedName name="DeprRate">[3]Definitions!$B$35</definedName>
    <definedName name="Distribution_Plant" localSheetId="3">'[4]CapExp &amp; Other Input'!#REF!</definedName>
    <definedName name="Distribution_Plant" localSheetId="6">'[4]CapExp &amp; Other Input'!#REF!</definedName>
    <definedName name="Distribution_Plant" localSheetId="4">'[4]CapExp &amp; Other Input'!#REF!</definedName>
    <definedName name="Distribution_Plant">'[4]CapExp &amp; Other Input'!#REF!</definedName>
    <definedName name="dkdkdk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uh" localSheetId="4" hidden="1">{"edcredit",#N/A,FALSE,"edcredit"}</definedName>
    <definedName name="duh" localSheetId="1" hidden="1">{"edcredit",#N/A,FALSE,"edcredit"}</definedName>
    <definedName name="duh" hidden="1">{"edcredit",#N/A,FALSE,"edcredit"}</definedName>
    <definedName name="ej" localSheetId="4" hidden="1">{"Page 1",#N/A,FALSE,"Sheet1";"Page 2",#N/A,FALSE,"Sheet1"}</definedName>
    <definedName name="ej" localSheetId="1" hidden="1">{"Page 1",#N/A,FALSE,"Sheet1";"Page 2",#N/A,FALSE,"Sheet1"}</definedName>
    <definedName name="ej" hidden="1">{"Page 1",#N/A,FALSE,"Sheet1";"Page 2",#N/A,FALSE,"Sheet1"}</definedName>
    <definedName name="essbase12month" localSheetId="4" hidden="1">{"balsheet",#N/A,FALSE,"A"}</definedName>
    <definedName name="essbase12month" localSheetId="1" hidden="1">{"balsheet",#N/A,FALSE,"A"}</definedName>
    <definedName name="essbase12month" hidden="1">{"balsheet",#N/A,FALSE,"A"}</definedName>
    <definedName name="ESTSALE" localSheetId="3">#REF!</definedName>
    <definedName name="ESTSALE" localSheetId="6">#REF!</definedName>
    <definedName name="ESTSALE" localSheetId="4">#REF!</definedName>
    <definedName name="ESTSALE">#REF!</definedName>
    <definedName name="ESTTOTLS" localSheetId="3">#REF!</definedName>
    <definedName name="ESTTOTLS" localSheetId="6">#REF!</definedName>
    <definedName name="ESTTOTLS" localSheetId="4">#REF!</definedName>
    <definedName name="ESTTOTLS">#REF!</definedName>
    <definedName name="ESTTSRV" localSheetId="3">#REF!</definedName>
    <definedName name="ESTTSRV" localSheetId="6">#REF!</definedName>
    <definedName name="ESTTSRV" localSheetId="4">#REF!</definedName>
    <definedName name="ESTTSRV">#REF!</definedName>
    <definedName name="EV__EVCOM_OPTIONS__" hidden="1">8</definedName>
    <definedName name="EV__EXPOPTIONS__" hidden="1">0</definedName>
    <definedName name="EV__LASTREFTIME__" hidden="1">42402.6029050926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xt_AcctsPybl" localSheetId="3">#REF!</definedName>
    <definedName name="ext_AcctsPybl" localSheetId="6">#REF!</definedName>
    <definedName name="ext_AcctsPybl" localSheetId="4">#REF!</definedName>
    <definedName name="ext_AcctsPybl">#REF!</definedName>
    <definedName name="ext_TaxesPybl" localSheetId="3">#REF!</definedName>
    <definedName name="ext_TaxesPybl" localSheetId="6">#REF!</definedName>
    <definedName name="ext_TaxesPybl" localSheetId="4">#REF!</definedName>
    <definedName name="ext_TaxesPybl">#REF!</definedName>
    <definedName name="finance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SCAL_MTH" localSheetId="3">#REF!</definedName>
    <definedName name="FISCAL_MTH" localSheetId="6">#REF!</definedName>
    <definedName name="FISCAL_MTH" localSheetId="4">#REF!</definedName>
    <definedName name="FISCAL_MTH">#REF!</definedName>
    <definedName name="gap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C_LAG">[2]WFeasoParam!$B$17</definedName>
    <definedName name="gen1_grp" localSheetId="3">#REF!</definedName>
    <definedName name="gen1_grp" localSheetId="6">#REF!</definedName>
    <definedName name="gen1_grp" localSheetId="4">#REF!</definedName>
    <definedName name="gen1_grp">#REF!</definedName>
    <definedName name="Gen2_grp" localSheetId="3">#REF!</definedName>
    <definedName name="Gen2_grp" localSheetId="6">#REF!</definedName>
    <definedName name="Gen2_grp" localSheetId="4">#REF!</definedName>
    <definedName name="Gen2_grp">#REF!</definedName>
    <definedName name="gen3_grp" localSheetId="3">#REF!</definedName>
    <definedName name="gen3_grp" localSheetId="6">#REF!</definedName>
    <definedName name="gen3_grp" localSheetId="4">#REF!</definedName>
    <definedName name="gen3_grp">#REF!</definedName>
    <definedName name="Gen5_grp" localSheetId="3">#REF!</definedName>
    <definedName name="Gen5_grp" localSheetId="6">#REF!</definedName>
    <definedName name="Gen5_grp" localSheetId="4">#REF!</definedName>
    <definedName name="Gen5_grp">#REF!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jj" localSheetId="4" hidden="1">{"Page 1",#N/A,FALSE,"Sheet1";"Page 2",#N/A,FALSE,"Sheet1"}</definedName>
    <definedName name="jj" localSheetId="1" hidden="1">{"Page 1",#N/A,FALSE,"Sheet1";"Page 2",#N/A,FALSE,"Sheet1"}</definedName>
    <definedName name="jj" hidden="1">{"Page 1",#N/A,FALSE,"Sheet1";"Page 2",#N/A,FALSE,"Sheet1"}</definedName>
    <definedName name="k" localSheetId="4" hidden="1">{"Page 1",#N/A,FALSE,"Sheet1";"Page 2",#N/A,FALSE,"Sheet1"}</definedName>
    <definedName name="k" localSheetId="1" hidden="1">{"Page 1",#N/A,FALSE,"Sheet1";"Page 2",#N/A,FALSE,"Sheet1"}</definedName>
    <definedName name="k" hidden="1">{"Page 1",#N/A,FALSE,"Sheet1";"Page 2",#N/A,FALSE,"Sheet1"}</definedName>
    <definedName name="large.corp.tax">'[5]LCT &amp; Cap Tax'!$A$1:$I$70</definedName>
    <definedName name="lkjh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l" localSheetId="4" hidden="1">{#N/A,#N/A,FALSE,"Aging Summary";#N/A,#N/A,FALSE,"Ratio Analysis";#N/A,#N/A,FALSE,"Test 120 Day Accts";#N/A,#N/A,FALSE,"Tickmarks"}</definedName>
    <definedName name="ll" localSheetId="1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m" localSheetId="4" hidden="1">{"Page 1",#N/A,FALSE,"Sheet1";"Page 2",#N/A,FALSE,"Sheet1"}</definedName>
    <definedName name="m" localSheetId="1" hidden="1">{"Page 1",#N/A,FALSE,"Sheet1";"Page 2",#N/A,FALSE,"Sheet1"}</definedName>
    <definedName name="m" hidden="1">{"Page 1",#N/A,FALSE,"Sheet1";"Page 2",#N/A,FALSE,"Sheet1"}</definedName>
    <definedName name="May1Forecast" localSheetId="4" hidden="1">{"Page 1",#N/A,FALSE,"Sheet1";"Page 2",#N/A,FALSE,"Sheet1"}</definedName>
    <definedName name="May1Forecast" localSheetId="1" hidden="1">{"Page 1",#N/A,FALSE,"Sheet1";"Page 2",#N/A,FALSE,"Sheet1"}</definedName>
    <definedName name="May1Forecast" hidden="1">{"Page 1",#N/A,FALSE,"Sheet1";"Page 2",#N/A,FALSE,"Sheet1"}</definedName>
    <definedName name="MayForecast" localSheetId="4" hidden="1">{"Page 1",#N/A,FALSE,"Sheet1";"Page 2",#N/A,FALSE,"Sheet1"}</definedName>
    <definedName name="MayForecast" localSheetId="1" hidden="1">{"Page 1",#N/A,FALSE,"Sheet1";"Page 2",#N/A,FALSE,"Sheet1"}</definedName>
    <definedName name="MayForecast" hidden="1">{"Page 1",#N/A,FALSE,"Sheet1";"Page 2",#N/A,FALSE,"Sheet1"}</definedName>
    <definedName name="Meter_Installations" localSheetId="3">'[4]CapExp &amp; Other Input'!#REF!</definedName>
    <definedName name="Meter_Installations" localSheetId="6">'[4]CapExp &amp; Other Input'!#REF!</definedName>
    <definedName name="Meter_Installations" localSheetId="4">'[4]CapExp &amp; Other Input'!#REF!</definedName>
    <definedName name="Meter_Installations">'[4]CapExp &amp; Other Input'!#REF!</definedName>
    <definedName name="month" localSheetId="3">#REF!</definedName>
    <definedName name="month" localSheetId="6">#REF!</definedName>
    <definedName name="month" localSheetId="4">#REF!</definedName>
    <definedName name="month">#REF!</definedName>
    <definedName name="month_desc" localSheetId="3">#REF!</definedName>
    <definedName name="month_desc" localSheetId="6">#REF!</definedName>
    <definedName name="month_desc" localSheetId="4">#REF!</definedName>
    <definedName name="month_desc">#REF!</definedName>
    <definedName name="Month_Table" localSheetId="3">[6]Input!#REF!</definedName>
    <definedName name="Month_Table" localSheetId="6">[6]Input!#REF!</definedName>
    <definedName name="Month_Table" localSheetId="4">[6]Input!#REF!</definedName>
    <definedName name="Month_Table">[6]Input!#REF!</definedName>
    <definedName name="mth" localSheetId="3">#REF!</definedName>
    <definedName name="mth" localSheetId="6">#REF!</definedName>
    <definedName name="mth" localSheetId="4">#REF!</definedName>
    <definedName name="mth">#REF!</definedName>
    <definedName name="Mth_rate">[7]Vlookup!$A$4:$F$28</definedName>
    <definedName name="MUNI_TAX_RATE">[2]WFeasoParam!$B$5</definedName>
    <definedName name="mypassword" hidden="1">"chuck"</definedName>
    <definedName name="n" localSheetId="4" hidden="1">{"Page 1",#N/A,FALSE,"Sheet1";"Page 2",#N/A,FALSE,"Sheet1"}</definedName>
    <definedName name="n" localSheetId="1" hidden="1">{"Page 1",#N/A,FALSE,"Sheet1";"Page 2",#N/A,FALSE,"Sheet1"}</definedName>
    <definedName name="n" hidden="1">{"Page 1",#N/A,FALSE,"Sheet1";"Page 2",#N/A,FALSE,"Sheet1"}</definedName>
    <definedName name="NameArea" localSheetId="4">#N/A</definedName>
    <definedName name="NameArea" localSheetId="1">#N/A</definedName>
    <definedName name="NameArea">#N/A</definedName>
    <definedName name="NPV_IND_CUSTOMERS" localSheetId="3">#REF!</definedName>
    <definedName name="NPV_IND_CUSTOMERS" localSheetId="6">#REF!</definedName>
    <definedName name="NPV_IND_CUSTOMERS" localSheetId="4">#REF!</definedName>
    <definedName name="NPV_IND_CUSTOMERS">#REF!</definedName>
    <definedName name="Number_of_month" localSheetId="3">#REF!</definedName>
    <definedName name="Number_of_month" localSheetId="6">#REF!</definedName>
    <definedName name="Number_of_month" localSheetId="4">#REF!</definedName>
    <definedName name="Number_of_month">#REF!</definedName>
    <definedName name="O_M_LEAD">[2]WFeasoParam!$B$16</definedName>
    <definedName name="p" localSheetId="4" hidden="1">{"Page 1",#N/A,FALSE,"Sheet1";"Page 2",#N/A,FALSE,"Sheet1"}</definedName>
    <definedName name="p" localSheetId="1" hidden="1">{"Page 1",#N/A,FALSE,"Sheet1";"Page 2",#N/A,FALSE,"Sheet1"}</definedName>
    <definedName name="p" hidden="1">{"Page 1",#N/A,FALSE,"Sheet1";"Page 2",#N/A,FALSE,"Sheet1"}</definedName>
    <definedName name="part.6" localSheetId="3">#REF!</definedName>
    <definedName name="part.6" localSheetId="6">#REF!</definedName>
    <definedName name="part.6" localSheetId="4">#REF!</definedName>
    <definedName name="part.6">#REF!</definedName>
    <definedName name="Print1" localSheetId="4">#N/A</definedName>
    <definedName name="Print1" localSheetId="1">#N/A</definedName>
    <definedName name="Print1">#N/A</definedName>
    <definedName name="Print2" localSheetId="4">#N/A</definedName>
    <definedName name="Print2" localSheetId="1">#N/A</definedName>
    <definedName name="Print2">#N/A</definedName>
    <definedName name="Print3" localSheetId="4">#N/A</definedName>
    <definedName name="Print3" localSheetId="1">#N/A</definedName>
    <definedName name="Print3">#N/A</definedName>
    <definedName name="Print4" localSheetId="4">#N/A</definedName>
    <definedName name="Print4" localSheetId="1">#N/A</definedName>
    <definedName name="Print4">#N/A</definedName>
    <definedName name="Print5" localSheetId="4">#N/A</definedName>
    <definedName name="Print5" localSheetId="1">#N/A</definedName>
    <definedName name="Print5">#N/A</definedName>
    <definedName name="Print6" localSheetId="4">#N/A</definedName>
    <definedName name="Print6" localSheetId="1">#N/A</definedName>
    <definedName name="Print6">#N/A</definedName>
    <definedName name="PrintAP" localSheetId="4">#N/A</definedName>
    <definedName name="PrintAP" localSheetId="1">#N/A</definedName>
    <definedName name="PrintAP">#N/A</definedName>
    <definedName name="PrintAR" localSheetId="4">#N/A</definedName>
    <definedName name="PrintAR" localSheetId="1">#N/A</definedName>
    <definedName name="PrintAR">#N/A</definedName>
    <definedName name="Printpref" localSheetId="4">#N/A</definedName>
    <definedName name="Printpref" localSheetId="1">#N/A</definedName>
    <definedName name="Printpref">#N/A</definedName>
    <definedName name="prov.cap.tax">'[5]LCT &amp; Cap Tax'!$J$71:$Q$111</definedName>
    <definedName name="rap" localSheetId="4" hidden="1">{"Page 1",#N/A,FALSE,"Sheet1";"Page 2",#N/A,FALSE,"Sheet1"}</definedName>
    <definedName name="rap" localSheetId="1" hidden="1">{"Page 1",#N/A,FALSE,"Sheet1";"Page 2",#N/A,FALSE,"Sheet1"}</definedName>
    <definedName name="rap" hidden="1">{"Page 1",#N/A,FALSE,"Sheet1";"Page 2",#N/A,FALSE,"Sheet1"}</definedName>
    <definedName name="Rate" localSheetId="4" hidden="1">{#N/A,#N/A,TRUE,"Explanation";#N/A,#N/A,TRUE,"GS AvgUses_sector"}</definedName>
    <definedName name="Rate" localSheetId="1" hidden="1">{#N/A,#N/A,TRUE,"Explanation";#N/A,#N/A,TRUE,"GS AvgUses_sector"}</definedName>
    <definedName name="Rate" hidden="1">{#N/A,#N/A,TRUE,"Explanation";#N/A,#N/A,TRUE,"GS AvgUses_sector"}</definedName>
    <definedName name="report_date" localSheetId="3">#REF!</definedName>
    <definedName name="report_date" localSheetId="6">#REF!</definedName>
    <definedName name="report_date" localSheetId="4">#REF!</definedName>
    <definedName name="report_date">#REF!</definedName>
    <definedName name="rngCopyFormulasSource" localSheetId="3" hidden="1">'[8]CIN-14'!#REF!</definedName>
    <definedName name="rngCopyFormulasSource" localSheetId="6" hidden="1">'[8]CIN-14'!#REF!</definedName>
    <definedName name="rngCopyFormulasSource" localSheetId="4" hidden="1">'[8]CIN-14'!#REF!</definedName>
    <definedName name="rngCopyFormulasSource" hidden="1">'[8]CIN-14'!#REF!</definedName>
    <definedName name="RORpretax">[3]Definitions!$B$36</definedName>
    <definedName name="sc" localSheetId="4" hidden="1">{"Page 1",#N/A,FALSE,"Sheet1";"Page 2",#N/A,FALSE,"Sheet1"}</definedName>
    <definedName name="sc" localSheetId="1" hidden="1">{"Page 1",#N/A,FALSE,"Sheet1";"Page 2",#N/A,FALSE,"Sheet1"}</definedName>
    <definedName name="sc" hidden="1">{"Page 1",#N/A,FALSE,"Sheet1";"Page 2",#N/A,FALSE,"Sheet1"}</definedName>
    <definedName name="sch10print" localSheetId="3">#REF!</definedName>
    <definedName name="sch10print" localSheetId="6">#REF!</definedName>
    <definedName name="sch10print" localSheetId="4">#REF!</definedName>
    <definedName name="sch10print">#REF!</definedName>
    <definedName name="sch3data" localSheetId="3">#REF!</definedName>
    <definedName name="sch3data" localSheetId="6">#REF!</definedName>
    <definedName name="sch3data" localSheetId="4">#REF!</definedName>
    <definedName name="sch3data">#REF!</definedName>
    <definedName name="sch3data_grp" localSheetId="3">#REF!</definedName>
    <definedName name="sch3data_grp" localSheetId="6">#REF!</definedName>
    <definedName name="sch3data_grp" localSheetId="4">#REF!</definedName>
    <definedName name="sch3data_grp">#REF!</definedName>
    <definedName name="sch3print" localSheetId="3">#REF!</definedName>
    <definedName name="sch3print" localSheetId="6">#REF!</definedName>
    <definedName name="sch3print" localSheetId="4">#REF!</definedName>
    <definedName name="sch3print">#REF!</definedName>
    <definedName name="sch4_2data" localSheetId="3">#REF!</definedName>
    <definedName name="sch4_2data" localSheetId="6">#REF!</definedName>
    <definedName name="sch4_2data" localSheetId="4">#REF!</definedName>
    <definedName name="sch4_2data">#REF!</definedName>
    <definedName name="sch4_2data_grp" localSheetId="3">#REF!</definedName>
    <definedName name="sch4_2data_grp" localSheetId="6">#REF!</definedName>
    <definedName name="sch4_2data_grp" localSheetId="4">#REF!</definedName>
    <definedName name="sch4_2data_grp">#REF!</definedName>
    <definedName name="sch4_2data1" localSheetId="3">#REF!</definedName>
    <definedName name="sch4_2data1" localSheetId="6">#REF!</definedName>
    <definedName name="sch4_2data1" localSheetId="4">#REF!</definedName>
    <definedName name="sch4_2data1">#REF!</definedName>
    <definedName name="sch4_2data1_grp" localSheetId="3">#REF!</definedName>
    <definedName name="sch4_2data1_grp" localSheetId="6">#REF!</definedName>
    <definedName name="sch4_2data1_grp" localSheetId="4">#REF!</definedName>
    <definedName name="sch4_2data1_grp">#REF!</definedName>
    <definedName name="sch4_2print" localSheetId="3">#REF!</definedName>
    <definedName name="sch4_2print" localSheetId="6">#REF!</definedName>
    <definedName name="sch4_2print" localSheetId="4">#REF!</definedName>
    <definedName name="sch4_2print">#REF!</definedName>
    <definedName name="sch4_3print" localSheetId="3">#REF!</definedName>
    <definedName name="sch4_3print" localSheetId="6">#REF!</definedName>
    <definedName name="sch4_3print" localSheetId="4">#REF!</definedName>
    <definedName name="sch4_3print">#REF!</definedName>
    <definedName name="sch4data" localSheetId="3">#REF!</definedName>
    <definedName name="sch4data" localSheetId="6">#REF!</definedName>
    <definedName name="sch4data" localSheetId="4">#REF!</definedName>
    <definedName name="sch4data">#REF!</definedName>
    <definedName name="sch4data_grp" localSheetId="3">#REF!</definedName>
    <definedName name="sch4data_grp" localSheetId="6">#REF!</definedName>
    <definedName name="sch4data_grp" localSheetId="4">#REF!</definedName>
    <definedName name="sch4data_grp">#REF!</definedName>
    <definedName name="sch4print" localSheetId="3">#REF!</definedName>
    <definedName name="sch4print" localSheetId="6">#REF!</definedName>
    <definedName name="sch4print" localSheetId="4">#REF!</definedName>
    <definedName name="sch4print">#REF!</definedName>
    <definedName name="sch5_1data" localSheetId="3">#REF!</definedName>
    <definedName name="sch5_1data" localSheetId="6">#REF!</definedName>
    <definedName name="sch5_1data" localSheetId="4">#REF!</definedName>
    <definedName name="sch5_1data">#REF!</definedName>
    <definedName name="sch5_1data_grp" localSheetId="3">#REF!</definedName>
    <definedName name="sch5_1data_grp" localSheetId="6">#REF!</definedName>
    <definedName name="sch5_1data_grp" localSheetId="4">#REF!</definedName>
    <definedName name="sch5_1data_grp">#REF!</definedName>
    <definedName name="sch5_1print" localSheetId="3">#REF!</definedName>
    <definedName name="sch5_1print" localSheetId="6">#REF!</definedName>
    <definedName name="sch5_1print" localSheetId="4">#REF!</definedName>
    <definedName name="sch5_1print">#REF!</definedName>
    <definedName name="sch5_2data" localSheetId="3">#REF!</definedName>
    <definedName name="sch5_2data" localSheetId="6">#REF!</definedName>
    <definedName name="sch5_2data" localSheetId="4">#REF!</definedName>
    <definedName name="sch5_2data">#REF!</definedName>
    <definedName name="sch5_2data_grp" localSheetId="3">#REF!</definedName>
    <definedName name="sch5_2data_grp" localSheetId="6">#REF!</definedName>
    <definedName name="sch5_2data_grp" localSheetId="4">#REF!</definedName>
    <definedName name="sch5_2data_grp">#REF!</definedName>
    <definedName name="sch5_2print" localSheetId="3">#REF!</definedName>
    <definedName name="sch5_2print" localSheetId="6">#REF!</definedName>
    <definedName name="sch5_2print" localSheetId="4">#REF!</definedName>
    <definedName name="sch5_2print">#REF!</definedName>
    <definedName name="sch5_3data" localSheetId="3">#REF!</definedName>
    <definedName name="sch5_3data" localSheetId="6">#REF!</definedName>
    <definedName name="sch5_3data" localSheetId="4">#REF!</definedName>
    <definedName name="sch5_3data">#REF!</definedName>
    <definedName name="sch5_3data_grp" localSheetId="3">#REF!</definedName>
    <definedName name="sch5_3data_grp" localSheetId="6">#REF!</definedName>
    <definedName name="sch5_3data_grp" localSheetId="4">#REF!</definedName>
    <definedName name="sch5_3data_grp">#REF!</definedName>
    <definedName name="sch5_3print" localSheetId="3">#REF!</definedName>
    <definedName name="sch5_3print" localSheetId="6">#REF!</definedName>
    <definedName name="sch5_3print" localSheetId="4">#REF!</definedName>
    <definedName name="sch5_3print">#REF!</definedName>
    <definedName name="sch5_4print" localSheetId="3">#REF!</definedName>
    <definedName name="sch5_4print" localSheetId="6">#REF!</definedName>
    <definedName name="sch5_4print" localSheetId="4">#REF!</definedName>
    <definedName name="sch5_4print">#REF!</definedName>
    <definedName name="sch5_5print" localSheetId="3">#REF!</definedName>
    <definedName name="sch5_5print" localSheetId="6">#REF!</definedName>
    <definedName name="sch5_5print" localSheetId="4">#REF!</definedName>
    <definedName name="sch5_5print">#REF!</definedName>
    <definedName name="sch5_6print" localSheetId="3">#REF!</definedName>
    <definedName name="sch5_6print" localSheetId="6">#REF!</definedName>
    <definedName name="sch5_6print" localSheetId="4">#REF!</definedName>
    <definedName name="sch5_6print">#REF!</definedName>
    <definedName name="sch5data" localSheetId="3">#REF!</definedName>
    <definedName name="sch5data" localSheetId="6">#REF!</definedName>
    <definedName name="sch5data" localSheetId="4">#REF!</definedName>
    <definedName name="sch5data">#REF!</definedName>
    <definedName name="sch5print" localSheetId="3">#REF!</definedName>
    <definedName name="sch5print" localSheetId="6">#REF!</definedName>
    <definedName name="sch5print" localSheetId="4">#REF!</definedName>
    <definedName name="sch5print">#REF!</definedName>
    <definedName name="sch6data" localSheetId="3">#REF!</definedName>
    <definedName name="sch6data" localSheetId="6">#REF!</definedName>
    <definedName name="sch6data" localSheetId="4">#REF!</definedName>
    <definedName name="sch6data">#REF!</definedName>
    <definedName name="sch6data_grp" localSheetId="3">#REF!</definedName>
    <definedName name="sch6data_grp" localSheetId="6">#REF!</definedName>
    <definedName name="sch6data_grp" localSheetId="4">#REF!</definedName>
    <definedName name="sch6data_grp">#REF!</definedName>
    <definedName name="sch6print" localSheetId="3">#REF!</definedName>
    <definedName name="sch6print" localSheetId="6">#REF!</definedName>
    <definedName name="sch6print" localSheetId="4">#REF!</definedName>
    <definedName name="sch6print">#REF!</definedName>
    <definedName name="sch7_1_1print">'[9]Sched7-1-1 '!$D$1:$L$28</definedName>
    <definedName name="sch7_1_2print">'[9]Sched7-1-2'!$D$1:$K$28</definedName>
    <definedName name="sch7_1_3print">'[9]Sched7-1-3'!$D$1:$M$30</definedName>
    <definedName name="sch7_1_4print">'[9]Sched7-1-4'!$D$1:$L$20</definedName>
    <definedName name="sch7_1_5print" localSheetId="3">#REF!</definedName>
    <definedName name="sch7_1_5print" localSheetId="6">#REF!</definedName>
    <definedName name="sch7_1_5print" localSheetId="4">#REF!</definedName>
    <definedName name="sch7_1_5print">#REF!</definedName>
    <definedName name="sch7_1_6print" localSheetId="3">#REF!</definedName>
    <definedName name="sch7_1_6print" localSheetId="6">#REF!</definedName>
    <definedName name="sch7_1_6print" localSheetId="4">#REF!</definedName>
    <definedName name="sch7_1_6print">#REF!</definedName>
    <definedName name="sch7_1_7print" localSheetId="3">#REF!</definedName>
    <definedName name="sch7_1_7print" localSheetId="6">#REF!</definedName>
    <definedName name="sch7_1_7print" localSheetId="4">#REF!</definedName>
    <definedName name="sch7_1_7print">#REF!</definedName>
    <definedName name="sch7_1print" localSheetId="3">#REF!</definedName>
    <definedName name="sch7_1print" localSheetId="6">#REF!</definedName>
    <definedName name="sch7_1print" localSheetId="4">#REF!</definedName>
    <definedName name="sch7_1print">#REF!</definedName>
    <definedName name="sch7_2data" localSheetId="3">#REF!</definedName>
    <definedName name="sch7_2data" localSheetId="6">#REF!</definedName>
    <definedName name="sch7_2data" localSheetId="4">#REF!</definedName>
    <definedName name="sch7_2data">#REF!</definedName>
    <definedName name="sch7_2data_grp" localSheetId="3">#REF!</definedName>
    <definedName name="sch7_2data_grp" localSheetId="6">#REF!</definedName>
    <definedName name="sch7_2data_grp" localSheetId="4">#REF!</definedName>
    <definedName name="sch7_2data_grp">#REF!</definedName>
    <definedName name="sch7_2print" localSheetId="3">#REF!</definedName>
    <definedName name="sch7_2print" localSheetId="6">#REF!</definedName>
    <definedName name="sch7_2print" localSheetId="4">#REF!</definedName>
    <definedName name="sch7_2print">#REF!</definedName>
    <definedName name="sch7_2WPprint" localSheetId="3">#REF!</definedName>
    <definedName name="sch7_2WPprint" localSheetId="6">#REF!</definedName>
    <definedName name="sch7_2WPprint" localSheetId="4">#REF!</definedName>
    <definedName name="sch7_2WPprint">#REF!</definedName>
    <definedName name="sch7_3print" localSheetId="3">#REF!</definedName>
    <definedName name="sch7_3print" localSheetId="6">#REF!</definedName>
    <definedName name="sch7_3print" localSheetId="4">#REF!</definedName>
    <definedName name="sch7_3print">#REF!</definedName>
    <definedName name="sch7_4print" localSheetId="3">#REF!</definedName>
    <definedName name="sch7_4print" localSheetId="6">#REF!</definedName>
    <definedName name="sch7_4print" localSheetId="4">#REF!</definedName>
    <definedName name="sch7_4print">#REF!</definedName>
    <definedName name="sch7_5print" localSheetId="3">#REF!</definedName>
    <definedName name="sch7_5print" localSheetId="6">#REF!</definedName>
    <definedName name="sch7_5print" localSheetId="4">#REF!</definedName>
    <definedName name="sch7_5print">#REF!</definedName>
    <definedName name="sch7_6print" localSheetId="3">#REF!</definedName>
    <definedName name="sch7_6print" localSheetId="6">#REF!</definedName>
    <definedName name="sch7_6print" localSheetId="4">#REF!</definedName>
    <definedName name="sch7_6print">#REF!</definedName>
    <definedName name="sch7data" localSheetId="3">#REF!</definedName>
    <definedName name="sch7data" localSheetId="6">#REF!</definedName>
    <definedName name="sch7data" localSheetId="4">#REF!</definedName>
    <definedName name="sch7data">#REF!</definedName>
    <definedName name="sch7data_grp" localSheetId="3">#REF!</definedName>
    <definedName name="sch7data_grp" localSheetId="6">#REF!</definedName>
    <definedName name="sch7data_grp" localSheetId="4">#REF!</definedName>
    <definedName name="sch7data_grp">#REF!</definedName>
    <definedName name="sch7data1" localSheetId="3">#REF!</definedName>
    <definedName name="sch7data1" localSheetId="6">#REF!</definedName>
    <definedName name="sch7data1" localSheetId="4">#REF!</definedName>
    <definedName name="sch7data1">#REF!</definedName>
    <definedName name="sch7data1_grp" localSheetId="3">#REF!</definedName>
    <definedName name="sch7data1_grp" localSheetId="6">#REF!</definedName>
    <definedName name="sch7data1_grp" localSheetId="4">#REF!</definedName>
    <definedName name="sch7data1_grp">#REF!</definedName>
    <definedName name="sch7data2" localSheetId="3">#REF!</definedName>
    <definedName name="sch7data2" localSheetId="6">#REF!</definedName>
    <definedName name="sch7data2" localSheetId="4">#REF!</definedName>
    <definedName name="sch7data2">#REF!</definedName>
    <definedName name="sch7data2_grp" localSheetId="3">#REF!</definedName>
    <definedName name="sch7data2_grp" localSheetId="6">#REF!</definedName>
    <definedName name="sch7data2_grp" localSheetId="4">#REF!</definedName>
    <definedName name="sch7data2_grp">#REF!</definedName>
    <definedName name="sch7data3" localSheetId="3">#REF!</definedName>
    <definedName name="sch7data3" localSheetId="6">#REF!</definedName>
    <definedName name="sch7data3" localSheetId="4">#REF!</definedName>
    <definedName name="sch7data3">#REF!</definedName>
    <definedName name="sch7data3_grp" localSheetId="3">#REF!</definedName>
    <definedName name="sch7data3_grp" localSheetId="6">#REF!</definedName>
    <definedName name="sch7data3_grp" localSheetId="4">#REF!</definedName>
    <definedName name="sch7data3_grp">#REF!</definedName>
    <definedName name="sch7data4" localSheetId="3">#REF!</definedName>
    <definedName name="sch7data4" localSheetId="6">#REF!</definedName>
    <definedName name="sch7data4" localSheetId="4">#REF!</definedName>
    <definedName name="sch7data4">#REF!</definedName>
    <definedName name="sch7data4_grp" localSheetId="3">#REF!</definedName>
    <definedName name="sch7data4_grp" localSheetId="6">#REF!</definedName>
    <definedName name="sch7data4_grp" localSheetId="4">#REF!</definedName>
    <definedName name="sch7data4_grp">#REF!</definedName>
    <definedName name="sch7MUNprint" localSheetId="3">#REF!</definedName>
    <definedName name="sch7MUNprint" localSheetId="6">#REF!</definedName>
    <definedName name="sch7MUNprint" localSheetId="4">#REF!</definedName>
    <definedName name="sch7MUNprint">#REF!</definedName>
    <definedName name="sch7print" localSheetId="3">#REF!</definedName>
    <definedName name="sch7print" localSheetId="6">#REF!</definedName>
    <definedName name="sch7print" localSheetId="4">#REF!</definedName>
    <definedName name="sch7print">#REF!</definedName>
    <definedName name="sch8_1data" localSheetId="3">#REF!</definedName>
    <definedName name="sch8_1data" localSheetId="6">#REF!</definedName>
    <definedName name="sch8_1data" localSheetId="4">#REF!</definedName>
    <definedName name="sch8_1data">#REF!</definedName>
    <definedName name="sch8_1data_grp" localSheetId="3">#REF!</definedName>
    <definedName name="sch8_1data_grp" localSheetId="6">#REF!</definedName>
    <definedName name="sch8_1data_grp" localSheetId="4">#REF!</definedName>
    <definedName name="sch8_1data_grp">#REF!</definedName>
    <definedName name="sch8_2data" localSheetId="3">#REF!</definedName>
    <definedName name="sch8_2data" localSheetId="6">#REF!</definedName>
    <definedName name="sch8_2data" localSheetId="4">#REF!</definedName>
    <definedName name="sch8_2data">#REF!</definedName>
    <definedName name="sch8_2data_grp" localSheetId="3">#REF!</definedName>
    <definedName name="sch8_2data_grp" localSheetId="6">#REF!</definedName>
    <definedName name="sch8_2data_grp" localSheetId="4">#REF!</definedName>
    <definedName name="sch8_2data_grp">#REF!</definedName>
    <definedName name="sch8data" localSheetId="3">#REF!</definedName>
    <definedName name="sch8data" localSheetId="6">#REF!</definedName>
    <definedName name="sch8data" localSheetId="4">#REF!</definedName>
    <definedName name="sch8data">#REF!</definedName>
    <definedName name="sch8data_grp" localSheetId="3">#REF!</definedName>
    <definedName name="sch8data_grp" localSheetId="6">#REF!</definedName>
    <definedName name="sch8data_grp" localSheetId="4">#REF!</definedName>
    <definedName name="sch8data_grp">#REF!</definedName>
    <definedName name="sch8print" localSheetId="3">#REF!</definedName>
    <definedName name="sch8print" localSheetId="6">#REF!</definedName>
    <definedName name="sch8print" localSheetId="4">#REF!</definedName>
    <definedName name="sch8print">#REF!</definedName>
    <definedName name="sch9print" localSheetId="3">#REF!</definedName>
    <definedName name="sch9print" localSheetId="6">#REF!</definedName>
    <definedName name="sch9print" localSheetId="4">#REF!</definedName>
    <definedName name="sch9print">#REF!</definedName>
    <definedName name="sdfg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poc" localSheetId="4" hidden="1">{"Page 1",#N/A,FALSE,"Sheet1";"Page 2",#N/A,FALSE,"Sheet1"}</definedName>
    <definedName name="spoc" localSheetId="1" hidden="1">{"Page 1",#N/A,FALSE,"Sheet1";"Page 2",#N/A,FALSE,"Sheet1"}</definedName>
    <definedName name="spoc" hidden="1">{"Page 1",#N/A,FALSE,"Sheet1";"Page 2",#N/A,FALSE,"Sheet1"}</definedName>
    <definedName name="sub_PSH" localSheetId="3">#REF!</definedName>
    <definedName name="sub_PSH" localSheetId="6">#REF!</definedName>
    <definedName name="sub_PSH" localSheetId="4">#REF!</definedName>
    <definedName name="sub_PSH">#REF!</definedName>
    <definedName name="TAX_RATE">[2]WFeasoParam!$B$4</definedName>
    <definedName name="test1" localSheetId="4" hidden="1">{"Page 1",#N/A,FALSE,"Sheet1";"Page 2",#N/A,FALSE,"Sheet1"}</definedName>
    <definedName name="test1" localSheetId="1" hidden="1">{"Page 1",#N/A,FALSE,"Sheet1";"Page 2",#N/A,FALSE,"Sheet1"}</definedName>
    <definedName name="test1" hidden="1">{"Page 1",#N/A,FALSE,"Sheet1";"Page 2",#N/A,FALSE,"Sheet1"}</definedName>
    <definedName name="test2" localSheetId="4" hidden="1">{"Page 1",#N/A,FALSE,"Sheet1";"Page 2",#N/A,FALSE,"Sheet1"}</definedName>
    <definedName name="test2" localSheetId="1" hidden="1">{"Page 1",#N/A,FALSE,"Sheet1";"Page 2",#N/A,FALSE,"Sheet1"}</definedName>
    <definedName name="test2" hidden="1">{"Page 1",#N/A,FALSE,"Sheet1";"Page 2",#N/A,FALSE,"Sheet1"}</definedName>
    <definedName name="testpage" localSheetId="4" hidden="1">{"Page 1",#N/A,FALSE,"Sheet1";"Page 2",#N/A,FALSE,"Sheet1"}</definedName>
    <definedName name="testpage" localSheetId="1" hidden="1">{"Page 1",#N/A,FALSE,"Sheet1";"Page 2",#N/A,FALSE,"Sheet1"}</definedName>
    <definedName name="testpage" hidden="1">{"Page 1",#N/A,FALSE,"Sheet1";"Page 2",#N/A,FALSE,"Sheet1"}</definedName>
    <definedName name="TextRefCopyRangeCount" hidden="1">6</definedName>
    <definedName name="Threshold">[3]Definitions!$B$11</definedName>
    <definedName name="WACC">[2]WFeasoParam!$B$1</definedName>
    <definedName name="wrn.AccumDepr.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alsheet." localSheetId="4" hidden="1">{"balsheet",#N/A,FALSE,"A"}</definedName>
    <definedName name="wrn.balsheet." localSheetId="1" hidden="1">{"balsheet",#N/A,FALSE,"A"}</definedName>
    <definedName name="wrn.balsheet." hidden="1">{"balsheet",#N/A,FALSE,"A"}</definedName>
    <definedName name="wrn.C3T2S4." localSheetId="4" hidden="1">{#N/A,#N/A,TRUE,"Explanation";#N/A,#N/A,TRUE,"GS AvgUses_sector"}</definedName>
    <definedName name="wrn.C3T2S4." localSheetId="1" hidden="1">{#N/A,#N/A,TRUE,"Explanation";#N/A,#N/A,TRUE,"GS AvgUses_sector"}</definedName>
    <definedName name="wrn.C3T2S4." hidden="1">{#N/A,#N/A,TRUE,"Explanation";#N/A,#N/A,TRUE,"GS AvgUses_sector"}</definedName>
    <definedName name="wrn.CGE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mpare." localSheetId="4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4" hidden="1">{"year1",#N/A,FALSE,"compare";"year2",#N/A,FALSE,"compare";"year3",#N/A,FALSE,"compare";"year4",#N/A,FALSE,"compare";"year5",#N/A,FALSE,"compare"}</definedName>
    <definedName name="wrn.compare5yrs." localSheetId="1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localSheetId="4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localSheetId="4" hidden="1">{"datatable",#N/A,FALSE,"Cust.Adds_Volumes"}</definedName>
    <definedName name="wrn.custadds_volumes." localSheetId="1" hidden="1">{"datatable",#N/A,FALSE,"Cust.Adds_Volumes"}</definedName>
    <definedName name="wrn.custadds_volumes." hidden="1">{"datatable",#N/A,FALSE,"Cust.Adds_Volumes"}</definedName>
    <definedName name="wrn.Depreciation._.Expense.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dcredit." localSheetId="4" hidden="1">{"edcredit",#N/A,FALSE,"edcredit"}</definedName>
    <definedName name="wrn.edcredit." localSheetId="1" hidden="1">{"edcredit",#N/A,FALSE,"edcredit"}</definedName>
    <definedName name="wrn.edcredit." hidden="1">{"edcredit",#N/A,FALSE,"edcredit"}</definedName>
    <definedName name="wrn.Effective._.Capital._.Expenditures.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First._.Report." localSheetId="4" hidden="1">{"Test1",#N/A,FALSE,"Test 1"}</definedName>
    <definedName name="wrn.First._.Report." localSheetId="1" hidden="1">{"Test1",#N/A,FALSE,"Test 1"}</definedName>
    <definedName name="wrn.First._.Report." hidden="1">{"Test1",#N/A,FALSE,"Test 1"}</definedName>
    <definedName name="wrn.Gross._.PPE.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localSheetId="4" hidden="1">{"income",#N/A,FALSE,"income_statement"}</definedName>
    <definedName name="wrn.income." localSheetId="1" hidden="1">{"income",#N/A,FALSE,"income_statement"}</definedName>
    <definedName name="wrn.income." hidden="1">{"income",#N/A,FALSE,"income_statement"}</definedName>
    <definedName name="wrn.Input._.Items." localSheetId="4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localSheetId="4" hidden="1">{"OM_data",#N/A,FALSE,"O&amp;M Data Table";"OM_regulatory_adjustments",#N/A,FALSE,"O&amp;M Data Table";"OM_select_data",#N/A,FALSE,"O&amp;M Data Table"}</definedName>
    <definedName name="wrn.OMreport." localSheetId="1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Page._.1." localSheetId="4" hidden="1">{"Page 1",#N/A,FALSE,"Sheet1";"Page 2",#N/A,FALSE,"Sheet1"}</definedName>
    <definedName name="wrn.Page._.1." localSheetId="1" hidden="1">{"Page 1",#N/A,FALSE,"Sheet1";"Page 2",#N/A,FALSE,"Sheet1"}</definedName>
    <definedName name="wrn.Page._.1." hidden="1">{"Page 1",#N/A,FALSE,"Sheet1";"Page 2",#N/A,FALSE,"Sheet1"}</definedName>
    <definedName name="wrn.PCC." localSheetId="4" hidden="1">{"INPUTS",#N/A,TRUE,"PCC";"RESULTS1",#N/A,TRUE,"PCC";"RESULTS2",#N/A,TRUE,"PCC"}</definedName>
    <definedName name="wrn.PCC." localSheetId="1" hidden="1">{"INPUTS",#N/A,TRUE,"PCC";"RESULTS1",#N/A,TRUE,"PCC";"RESULTS2",#N/A,TRUE,"PCC"}</definedName>
    <definedName name="wrn.PCC." hidden="1">{"INPUTS",#N/A,TRUE,"PCC";"RESULTS1",#N/A,TRUE,"PCC";"RESULTS2",#N/A,TRUE,"PCC"}</definedName>
    <definedName name="wrn.Rate._.Base." localSheetId="4" hidden="1">{"Rate Base",#N/A,FALSE,"Sheet1"}</definedName>
    <definedName name="wrn.Rate._.Base." localSheetId="1" hidden="1">{"Rate Base",#N/A,FALSE,"Sheet1"}</definedName>
    <definedName name="wrn.Rate._.Base." hidden="1">{"Rate Base",#N/A,FALSE,"Sheet1"}</definedName>
    <definedName name="wrn.revenue." localSheetId="4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SUMMARY." localSheetId="4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" localSheetId="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Unit._.Financials.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" localSheetId="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x" localSheetId="4" hidden="1">{"Page 1",#N/A,FALSE,"Sheet1";"Page 2",#N/A,FALSE,"Sheet1"}</definedName>
    <definedName name="x" localSheetId="1" hidden="1">{"Page 1",#N/A,FALSE,"Sheet1";"Page 2",#N/A,FALSE,"Sheet1"}</definedName>
    <definedName name="x" hidden="1">{"Page 1",#N/A,FALSE,"Sheet1";"Page 2",#N/A,FALSE,"Sheet1"}</definedName>
    <definedName name="z" localSheetId="4" hidden="1">{"Page 1",#N/A,FALSE,"Sheet1";"Page 2",#N/A,FALSE,"Sheet1"}</definedName>
    <definedName name="z" localSheetId="1" hidden="1">{"Page 1",#N/A,FALSE,"Sheet1";"Page 2",#N/A,FALSE,"Sheet1"}</definedName>
    <definedName name="z" hidden="1">{"Page 1",#N/A,FALSE,"Sheet1";"Page 2",#N/A,FALSE,"Sheet1"}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7" l="1"/>
  <c r="F70" i="3"/>
  <c r="F71" i="4"/>
  <c r="B10" i="7"/>
  <c r="B11" i="7"/>
  <c r="B12" i="7"/>
  <c r="C9" i="7"/>
  <c r="G70" i="3"/>
  <c r="G71" i="4"/>
  <c r="C10" i="7"/>
  <c r="C11" i="7"/>
  <c r="C12" i="7"/>
  <c r="D9" i="7"/>
  <c r="H70" i="3"/>
  <c r="H71" i="4"/>
  <c r="D10" i="7"/>
  <c r="D11" i="7"/>
  <c r="D12" i="7"/>
  <c r="E9" i="7"/>
  <c r="I70" i="3"/>
  <c r="I71" i="4"/>
  <c r="E10" i="7"/>
  <c r="E11" i="7"/>
  <c r="E12" i="7"/>
  <c r="F9" i="7"/>
  <c r="J70" i="3"/>
  <c r="J71" i="4"/>
  <c r="F10" i="7"/>
  <c r="F11" i="7"/>
  <c r="F12" i="7"/>
  <c r="G9" i="7"/>
  <c r="K70" i="3"/>
  <c r="K71" i="4"/>
  <c r="G10" i="7"/>
  <c r="G11" i="7"/>
  <c r="G12" i="7"/>
  <c r="H9" i="7"/>
  <c r="L70" i="3"/>
  <c r="L71" i="4"/>
  <c r="H10" i="7"/>
  <c r="H11" i="7"/>
  <c r="H12" i="7"/>
  <c r="I9" i="7"/>
  <c r="M70" i="3"/>
  <c r="M71" i="4"/>
  <c r="I10" i="7"/>
  <c r="I11" i="7"/>
  <c r="I12" i="7"/>
  <c r="J9" i="7"/>
  <c r="N70" i="3"/>
  <c r="N71" i="4"/>
  <c r="J10" i="7"/>
  <c r="J11" i="7"/>
  <c r="J12" i="7"/>
  <c r="K9" i="7"/>
  <c r="O70" i="3"/>
  <c r="O71" i="4"/>
  <c r="K10" i="7"/>
  <c r="K11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L14" i="7"/>
  <c r="C14" i="7"/>
  <c r="D14" i="7"/>
  <c r="E14" i="7"/>
  <c r="F14" i="7"/>
  <c r="G14" i="7"/>
  <c r="H14" i="7"/>
  <c r="I14" i="7"/>
  <c r="J14" i="7"/>
  <c r="K14" i="7"/>
  <c r="B14" i="7"/>
  <c r="K22" i="7"/>
  <c r="B11" i="6"/>
  <c r="C11" i="6"/>
  <c r="D11" i="6"/>
  <c r="E11" i="6"/>
  <c r="F11" i="6"/>
  <c r="G11" i="6"/>
  <c r="H11" i="6"/>
  <c r="I11" i="6"/>
  <c r="J11" i="6"/>
  <c r="K11" i="6"/>
  <c r="B70" i="7"/>
  <c r="K54" i="7"/>
  <c r="J54" i="7"/>
  <c r="I54" i="7"/>
  <c r="H54" i="7"/>
  <c r="G54" i="7"/>
  <c r="F54" i="7"/>
  <c r="E54" i="7"/>
  <c r="D54" i="7"/>
  <c r="C54" i="7"/>
  <c r="B54" i="7"/>
  <c r="O66" i="4"/>
  <c r="K46" i="7"/>
  <c r="N66" i="4"/>
  <c r="J46" i="7"/>
  <c r="M66" i="4"/>
  <c r="I46" i="7"/>
  <c r="L66" i="4"/>
  <c r="H46" i="7"/>
  <c r="K66" i="4"/>
  <c r="G46" i="7"/>
  <c r="J66" i="4"/>
  <c r="F46" i="7"/>
  <c r="I66" i="4"/>
  <c r="E46" i="7"/>
  <c r="H66" i="4"/>
  <c r="D46" i="7"/>
  <c r="G66" i="4"/>
  <c r="C46" i="7"/>
  <c r="F66" i="4"/>
  <c r="B46" i="7"/>
  <c r="B49" i="7"/>
  <c r="B51" i="7"/>
  <c r="K37" i="7"/>
  <c r="J37" i="7"/>
  <c r="I37" i="7"/>
  <c r="H37" i="7"/>
  <c r="G37" i="7"/>
  <c r="F37" i="7"/>
  <c r="E37" i="7"/>
  <c r="D37" i="7"/>
  <c r="C37" i="7"/>
  <c r="B37" i="7"/>
  <c r="B40" i="7"/>
  <c r="F54" i="3"/>
  <c r="F56" i="3"/>
  <c r="G56" i="3"/>
  <c r="H56" i="3"/>
  <c r="I56" i="3"/>
  <c r="J56" i="3"/>
  <c r="K56" i="3"/>
  <c r="L56" i="3"/>
  <c r="M56" i="3"/>
  <c r="N56" i="3"/>
  <c r="O56" i="3"/>
  <c r="O58" i="3"/>
  <c r="O42" i="3"/>
  <c r="O15" i="3"/>
  <c r="O43" i="3"/>
  <c r="G44" i="3"/>
  <c r="H44" i="3"/>
  <c r="I44" i="3"/>
  <c r="J44" i="3"/>
  <c r="K44" i="3"/>
  <c r="L44" i="3"/>
  <c r="M44" i="3"/>
  <c r="N44" i="3"/>
  <c r="O44" i="3"/>
  <c r="O46" i="3"/>
  <c r="O48" i="3"/>
  <c r="O24" i="1"/>
  <c r="O25" i="1"/>
  <c r="O65" i="3"/>
  <c r="K31" i="7"/>
  <c r="N58" i="3"/>
  <c r="N42" i="3"/>
  <c r="N15" i="3"/>
  <c r="N43" i="3"/>
  <c r="N46" i="3"/>
  <c r="N48" i="3"/>
  <c r="N24" i="1"/>
  <c r="N25" i="1"/>
  <c r="N65" i="3"/>
  <c r="J31" i="7"/>
  <c r="M58" i="3"/>
  <c r="M42" i="3"/>
  <c r="M15" i="3"/>
  <c r="M43" i="3"/>
  <c r="M46" i="3"/>
  <c r="M48" i="3"/>
  <c r="M24" i="1"/>
  <c r="M25" i="1"/>
  <c r="M65" i="3"/>
  <c r="I31" i="7"/>
  <c r="I67" i="7"/>
  <c r="I5" i="7"/>
  <c r="L58" i="3"/>
  <c r="L42" i="3"/>
  <c r="L15" i="3"/>
  <c r="L43" i="3"/>
  <c r="L46" i="3"/>
  <c r="L48" i="3"/>
  <c r="L24" i="1"/>
  <c r="L25" i="1"/>
  <c r="L65" i="3"/>
  <c r="H31" i="7"/>
  <c r="H67" i="7"/>
  <c r="H5" i="7"/>
  <c r="K58" i="3"/>
  <c r="K42" i="3"/>
  <c r="K15" i="3"/>
  <c r="K43" i="3"/>
  <c r="K46" i="3"/>
  <c r="K48" i="3"/>
  <c r="K24" i="1"/>
  <c r="K25" i="1"/>
  <c r="K65" i="3"/>
  <c r="G31" i="7"/>
  <c r="J58" i="3"/>
  <c r="J42" i="3"/>
  <c r="J15" i="3"/>
  <c r="J43" i="3"/>
  <c r="J46" i="3"/>
  <c r="J48" i="3"/>
  <c r="J24" i="1"/>
  <c r="J25" i="1"/>
  <c r="J65" i="3"/>
  <c r="F31" i="7"/>
  <c r="F67" i="7"/>
  <c r="F5" i="7"/>
  <c r="I58" i="3"/>
  <c r="I42" i="3"/>
  <c r="I15" i="3"/>
  <c r="I43" i="3"/>
  <c r="I46" i="3"/>
  <c r="I48" i="3"/>
  <c r="I24" i="1"/>
  <c r="I25" i="1"/>
  <c r="I65" i="3"/>
  <c r="E31" i="7"/>
  <c r="E67" i="7"/>
  <c r="E5" i="7"/>
  <c r="H58" i="3"/>
  <c r="H42" i="3"/>
  <c r="H15" i="3"/>
  <c r="H43" i="3"/>
  <c r="H46" i="3"/>
  <c r="H48" i="3"/>
  <c r="H24" i="1"/>
  <c r="H25" i="1"/>
  <c r="H65" i="3"/>
  <c r="D31" i="7"/>
  <c r="D67" i="7"/>
  <c r="D5" i="7"/>
  <c r="G58" i="3"/>
  <c r="G42" i="3"/>
  <c r="G15" i="3"/>
  <c r="G43" i="3"/>
  <c r="G46" i="3"/>
  <c r="G48" i="3"/>
  <c r="G24" i="1"/>
  <c r="G25" i="1"/>
  <c r="G65" i="3"/>
  <c r="C31" i="7"/>
  <c r="F65" i="3"/>
  <c r="B31" i="7"/>
  <c r="B34" i="7"/>
  <c r="L25" i="7"/>
  <c r="L23" i="7"/>
  <c r="K24" i="7"/>
  <c r="J22" i="7"/>
  <c r="J24" i="7"/>
  <c r="I22" i="7"/>
  <c r="I24" i="7"/>
  <c r="H22" i="7"/>
  <c r="H24" i="7"/>
  <c r="G22" i="7"/>
  <c r="G24" i="7"/>
  <c r="F22" i="7"/>
  <c r="F24" i="7"/>
  <c r="E22" i="7"/>
  <c r="E24" i="7"/>
  <c r="D22" i="7"/>
  <c r="D24" i="7"/>
  <c r="C22" i="7"/>
  <c r="B22" i="7"/>
  <c r="L22" i="7"/>
  <c r="B24" i="7"/>
  <c r="B17" i="7"/>
  <c r="L21" i="7"/>
  <c r="L20" i="7"/>
  <c r="F57" i="4"/>
  <c r="G57" i="4"/>
  <c r="H57" i="4"/>
  <c r="I57" i="4"/>
  <c r="J57" i="4"/>
  <c r="K57" i="4"/>
  <c r="L57" i="4"/>
  <c r="M57" i="4"/>
  <c r="N57" i="4"/>
  <c r="O57" i="4"/>
  <c r="O59" i="4"/>
  <c r="O43" i="4"/>
  <c r="O15" i="4"/>
  <c r="O44" i="4"/>
  <c r="G45" i="4"/>
  <c r="H45" i="4"/>
  <c r="I45" i="4"/>
  <c r="J45" i="4"/>
  <c r="K45" i="4"/>
  <c r="L45" i="4"/>
  <c r="M45" i="4"/>
  <c r="N45" i="4"/>
  <c r="O45" i="4"/>
  <c r="O47" i="4"/>
  <c r="O49" i="4"/>
  <c r="K16" i="7"/>
  <c r="N59" i="4"/>
  <c r="N43" i="4"/>
  <c r="N15" i="4"/>
  <c r="N44" i="4"/>
  <c r="N47" i="4"/>
  <c r="N49" i="4"/>
  <c r="J16" i="7"/>
  <c r="M59" i="4"/>
  <c r="M43" i="4"/>
  <c r="M15" i="4"/>
  <c r="M44" i="4"/>
  <c r="M47" i="4"/>
  <c r="M49" i="4"/>
  <c r="I16" i="7"/>
  <c r="L59" i="4"/>
  <c r="L43" i="4"/>
  <c r="L15" i="4"/>
  <c r="L44" i="4"/>
  <c r="L47" i="4"/>
  <c r="L49" i="4"/>
  <c r="H16" i="7"/>
  <c r="K59" i="4"/>
  <c r="K43" i="4"/>
  <c r="K15" i="4"/>
  <c r="K44" i="4"/>
  <c r="K47" i="4"/>
  <c r="K49" i="4"/>
  <c r="G16" i="7"/>
  <c r="J59" i="4"/>
  <c r="J43" i="4"/>
  <c r="J15" i="4"/>
  <c r="J44" i="4"/>
  <c r="J47" i="4"/>
  <c r="J49" i="4"/>
  <c r="F16" i="7"/>
  <c r="I59" i="4"/>
  <c r="I43" i="4"/>
  <c r="I15" i="4"/>
  <c r="I44" i="4"/>
  <c r="I47" i="4"/>
  <c r="I49" i="4"/>
  <c r="E16" i="7"/>
  <c r="H59" i="4"/>
  <c r="H43" i="4"/>
  <c r="H15" i="4"/>
  <c r="H44" i="4"/>
  <c r="H47" i="4"/>
  <c r="H49" i="4"/>
  <c r="D16" i="7"/>
  <c r="G59" i="4"/>
  <c r="G43" i="4"/>
  <c r="G15" i="4"/>
  <c r="G44" i="4"/>
  <c r="G47" i="4"/>
  <c r="G49" i="4"/>
  <c r="C16" i="7"/>
  <c r="F58" i="3"/>
  <c r="F42" i="3"/>
  <c r="F15" i="3"/>
  <c r="F43" i="3"/>
  <c r="F46" i="3"/>
  <c r="F48" i="3"/>
  <c r="F59" i="4"/>
  <c r="F43" i="4"/>
  <c r="F15" i="4"/>
  <c r="F44" i="4"/>
  <c r="F47" i="4"/>
  <c r="F49" i="4"/>
  <c r="B16" i="7"/>
  <c r="L11" i="7"/>
  <c r="C3" i="7"/>
  <c r="D3" i="7"/>
  <c r="E3" i="7"/>
  <c r="F3" i="7"/>
  <c r="G3" i="7"/>
  <c r="H3" i="7"/>
  <c r="I3" i="7"/>
  <c r="J3" i="7"/>
  <c r="K3" i="7"/>
  <c r="B42" i="7"/>
  <c r="B43" i="7"/>
  <c r="G71" i="7"/>
  <c r="L10" i="7"/>
  <c r="J63" i="7"/>
  <c r="C71" i="7"/>
  <c r="K71" i="7"/>
  <c r="G26" i="7"/>
  <c r="G17" i="7"/>
  <c r="K26" i="7"/>
  <c r="K17" i="7"/>
  <c r="B63" i="7"/>
  <c r="F26" i="7"/>
  <c r="F17" i="7"/>
  <c r="J26" i="7"/>
  <c r="J17" i="7"/>
  <c r="B67" i="7"/>
  <c r="B5" i="7"/>
  <c r="D26" i="7"/>
  <c r="D17" i="7"/>
  <c r="H26" i="7"/>
  <c r="H17" i="7"/>
  <c r="E71" i="7"/>
  <c r="I71" i="7"/>
  <c r="F63" i="7"/>
  <c r="J67" i="7"/>
  <c r="J5" i="7"/>
  <c r="E26" i="7"/>
  <c r="E17" i="7"/>
  <c r="I26" i="7"/>
  <c r="I17" i="7"/>
  <c r="B32" i="7"/>
  <c r="C30" i="7"/>
  <c r="C32" i="7"/>
  <c r="D30" i="7"/>
  <c r="D32" i="7"/>
  <c r="E30" i="7"/>
  <c r="L37" i="7"/>
  <c r="B38" i="7"/>
  <c r="C36" i="7"/>
  <c r="F71" i="7"/>
  <c r="J71" i="7"/>
  <c r="L9" i="7"/>
  <c r="B26" i="7"/>
  <c r="L16" i="7"/>
  <c r="C67" i="7"/>
  <c r="C5" i="7"/>
  <c r="C63" i="7"/>
  <c r="G67" i="7"/>
  <c r="G5" i="7"/>
  <c r="G63" i="7"/>
  <c r="K67" i="7"/>
  <c r="K5" i="7"/>
  <c r="K63" i="7"/>
  <c r="D71" i="7"/>
  <c r="H71" i="7"/>
  <c r="C24" i="7"/>
  <c r="B71" i="7"/>
  <c r="B72" i="7"/>
  <c r="C70" i="7"/>
  <c r="C74" i="7"/>
  <c r="B55" i="7"/>
  <c r="C53" i="7"/>
  <c r="B57" i="7"/>
  <c r="B59" i="7"/>
  <c r="B47" i="7"/>
  <c r="C45" i="7"/>
  <c r="B62" i="7"/>
  <c r="D63" i="7"/>
  <c r="H63" i="7"/>
  <c r="E63" i="7"/>
  <c r="I63" i="7"/>
  <c r="L5" i="7"/>
  <c r="B74" i="7"/>
  <c r="B6" i="7"/>
  <c r="C26" i="7"/>
  <c r="L26" i="7"/>
  <c r="C17" i="7"/>
  <c r="D34" i="7"/>
  <c r="C34" i="7"/>
  <c r="C38" i="7"/>
  <c r="D36" i="7"/>
  <c r="C40" i="7"/>
  <c r="B60" i="7"/>
  <c r="C55" i="7"/>
  <c r="D53" i="7"/>
  <c r="C57" i="7"/>
  <c r="B66" i="7"/>
  <c r="B64" i="7"/>
  <c r="E34" i="7"/>
  <c r="E32" i="7"/>
  <c r="F30" i="7"/>
  <c r="C72" i="7"/>
  <c r="D70" i="7"/>
  <c r="C6" i="7"/>
  <c r="C47" i="7"/>
  <c r="D45" i="7"/>
  <c r="C49" i="7"/>
  <c r="C51" i="7"/>
  <c r="L17" i="7"/>
  <c r="L24" i="7"/>
  <c r="B68" i="7"/>
  <c r="B76" i="7"/>
  <c r="B4" i="7"/>
  <c r="B7" i="7"/>
  <c r="D40" i="7"/>
  <c r="D42" i="7"/>
  <c r="D43" i="7"/>
  <c r="D38" i="7"/>
  <c r="E36" i="7"/>
  <c r="C42" i="7"/>
  <c r="C43" i="7"/>
  <c r="D47" i="7"/>
  <c r="E45" i="7"/>
  <c r="D49" i="7"/>
  <c r="D51" i="7"/>
  <c r="D57" i="7"/>
  <c r="D55" i="7"/>
  <c r="E53" i="7"/>
  <c r="D72" i="7"/>
  <c r="E70" i="7"/>
  <c r="D74" i="7"/>
  <c r="D6" i="7"/>
  <c r="C62" i="7"/>
  <c r="B65" i="7"/>
  <c r="F34" i="7"/>
  <c r="F32" i="7"/>
  <c r="G30" i="7"/>
  <c r="C59" i="7"/>
  <c r="B77" i="7"/>
  <c r="E40" i="7"/>
  <c r="E42" i="7"/>
  <c r="E43" i="7"/>
  <c r="E38" i="7"/>
  <c r="F36" i="7"/>
  <c r="E57" i="7"/>
  <c r="E55" i="7"/>
  <c r="F53" i="7"/>
  <c r="E49" i="7"/>
  <c r="E51" i="7"/>
  <c r="E59" i="7"/>
  <c r="E47" i="7"/>
  <c r="F45" i="7"/>
  <c r="C66" i="7"/>
  <c r="C64" i="7"/>
  <c r="C60" i="7"/>
  <c r="E74" i="7"/>
  <c r="E6" i="7"/>
  <c r="E72" i="7"/>
  <c r="F70" i="7"/>
  <c r="D59" i="7"/>
  <c r="G32" i="7"/>
  <c r="H30" i="7"/>
  <c r="G34" i="7"/>
  <c r="C68" i="7"/>
  <c r="C76" i="7"/>
  <c r="C4" i="7"/>
  <c r="C7" i="7"/>
  <c r="F40" i="7"/>
  <c r="F42" i="7"/>
  <c r="F43" i="7"/>
  <c r="F38" i="7"/>
  <c r="G36" i="7"/>
  <c r="F74" i="7"/>
  <c r="F6" i="7"/>
  <c r="F72" i="7"/>
  <c r="G70" i="7"/>
  <c r="F49" i="7"/>
  <c r="F51" i="7"/>
  <c r="F47" i="7"/>
  <c r="G45" i="7"/>
  <c r="E60" i="7"/>
  <c r="H32" i="7"/>
  <c r="I30" i="7"/>
  <c r="H34" i="7"/>
  <c r="C65" i="7"/>
  <c r="D62" i="7"/>
  <c r="F55" i="7"/>
  <c r="G53" i="7"/>
  <c r="F57" i="7"/>
  <c r="D60" i="7"/>
  <c r="C77" i="7"/>
  <c r="G38" i="7"/>
  <c r="H36" i="7"/>
  <c r="G40" i="7"/>
  <c r="G42" i="7"/>
  <c r="G43" i="7"/>
  <c r="F59" i="7"/>
  <c r="D66" i="7"/>
  <c r="D64" i="7"/>
  <c r="G72" i="7"/>
  <c r="H70" i="7"/>
  <c r="G74" i="7"/>
  <c r="G6" i="7"/>
  <c r="G47" i="7"/>
  <c r="H45" i="7"/>
  <c r="G49" i="7"/>
  <c r="G51" i="7"/>
  <c r="G55" i="7"/>
  <c r="H53" i="7"/>
  <c r="G57" i="7"/>
  <c r="I34" i="7"/>
  <c r="I32" i="7"/>
  <c r="J30" i="7"/>
  <c r="D68" i="7"/>
  <c r="D76" i="7"/>
  <c r="D4" i="7"/>
  <c r="D7" i="7"/>
  <c r="H40" i="7"/>
  <c r="H42" i="7"/>
  <c r="H43" i="7"/>
  <c r="H38" i="7"/>
  <c r="I36" i="7"/>
  <c r="H57" i="7"/>
  <c r="H55" i="7"/>
  <c r="I53" i="7"/>
  <c r="H72" i="7"/>
  <c r="I70" i="7"/>
  <c r="H74" i="7"/>
  <c r="H6" i="7"/>
  <c r="J34" i="7"/>
  <c r="J32" i="7"/>
  <c r="K30" i="7"/>
  <c r="G59" i="7"/>
  <c r="D65" i="7"/>
  <c r="E62" i="7"/>
  <c r="H47" i="7"/>
  <c r="I45" i="7"/>
  <c r="H49" i="7"/>
  <c r="H51" i="7"/>
  <c r="F60" i="7"/>
  <c r="H59" i="7"/>
  <c r="D77" i="7"/>
  <c r="I38" i="7"/>
  <c r="J36" i="7"/>
  <c r="I40" i="7"/>
  <c r="I42" i="7"/>
  <c r="I43" i="7"/>
  <c r="H60" i="7"/>
  <c r="I74" i="7"/>
  <c r="I6" i="7"/>
  <c r="I72" i="7"/>
  <c r="J70" i="7"/>
  <c r="I49" i="7"/>
  <c r="I51" i="7"/>
  <c r="I47" i="7"/>
  <c r="J45" i="7"/>
  <c r="K32" i="7"/>
  <c r="K34" i="7"/>
  <c r="I57" i="7"/>
  <c r="I55" i="7"/>
  <c r="J53" i="7"/>
  <c r="G60" i="7"/>
  <c r="E66" i="7"/>
  <c r="E64" i="7"/>
  <c r="E68" i="7"/>
  <c r="E76" i="7"/>
  <c r="E4" i="7"/>
  <c r="E7" i="7"/>
  <c r="J40" i="7"/>
  <c r="J42" i="7"/>
  <c r="J43" i="7"/>
  <c r="J38" i="7"/>
  <c r="K36" i="7"/>
  <c r="J74" i="7"/>
  <c r="J6" i="7"/>
  <c r="J72" i="7"/>
  <c r="K70" i="7"/>
  <c r="K74" i="7"/>
  <c r="J55" i="7"/>
  <c r="K53" i="7"/>
  <c r="J57" i="7"/>
  <c r="J49" i="7"/>
  <c r="J51" i="7"/>
  <c r="J47" i="7"/>
  <c r="K45" i="7"/>
  <c r="E65" i="7"/>
  <c r="F62" i="7"/>
  <c r="I59" i="7"/>
  <c r="K38" i="7"/>
  <c r="K40" i="7"/>
  <c r="K42" i="7"/>
  <c r="K43" i="7"/>
  <c r="E77" i="7"/>
  <c r="K55" i="7"/>
  <c r="K57" i="7"/>
  <c r="F66" i="7"/>
  <c r="F64" i="7"/>
  <c r="K47" i="7"/>
  <c r="K49" i="7"/>
  <c r="K51" i="7"/>
  <c r="K59" i="7"/>
  <c r="K72" i="7"/>
  <c r="K6" i="7"/>
  <c r="I60" i="7"/>
  <c r="J59" i="7"/>
  <c r="F68" i="7"/>
  <c r="F76" i="7"/>
  <c r="F4" i="7"/>
  <c r="F7" i="7"/>
  <c r="J60" i="7"/>
  <c r="K60" i="7"/>
  <c r="G62" i="7"/>
  <c r="F65" i="7"/>
  <c r="F77" i="7"/>
  <c r="G66" i="7"/>
  <c r="G64" i="7"/>
  <c r="G68" i="7"/>
  <c r="G76" i="7"/>
  <c r="G77" i="7"/>
  <c r="G4" i="7"/>
  <c r="G7" i="7"/>
  <c r="G65" i="7"/>
  <c r="H62" i="7"/>
  <c r="H66" i="7"/>
  <c r="H64" i="7"/>
  <c r="H68" i="7"/>
  <c r="H76" i="7"/>
  <c r="H77" i="7"/>
  <c r="H4" i="7"/>
  <c r="H7" i="7"/>
  <c r="H65" i="7"/>
  <c r="I62" i="7"/>
  <c r="I66" i="7"/>
  <c r="I64" i="7"/>
  <c r="I68" i="7"/>
  <c r="I76" i="7"/>
  <c r="I77" i="7"/>
  <c r="I4" i="7"/>
  <c r="I7" i="7"/>
  <c r="I65" i="7"/>
  <c r="J62" i="7"/>
  <c r="J66" i="7"/>
  <c r="J64" i="7"/>
  <c r="J68" i="7"/>
  <c r="J76" i="7"/>
  <c r="J77" i="7"/>
  <c r="J4" i="7"/>
  <c r="J7" i="7"/>
  <c r="K62" i="7"/>
  <c r="K66" i="7"/>
  <c r="J65" i="7"/>
  <c r="K64" i="7"/>
  <c r="K65" i="7"/>
  <c r="K68" i="7"/>
  <c r="K76" i="7"/>
  <c r="K4" i="7"/>
  <c r="K7" i="7"/>
  <c r="B70" i="6"/>
  <c r="F46" i="6"/>
  <c r="E46" i="6"/>
  <c r="D46" i="6"/>
  <c r="C46" i="6"/>
  <c r="B46" i="6"/>
  <c r="B62" i="6"/>
  <c r="K37" i="6"/>
  <c r="C54" i="6"/>
  <c r="D54" i="6"/>
  <c r="E54" i="6"/>
  <c r="F54" i="6"/>
  <c r="G54" i="6"/>
  <c r="H54" i="6"/>
  <c r="I54" i="6"/>
  <c r="J54" i="6"/>
  <c r="K54" i="6"/>
  <c r="B54" i="6"/>
  <c r="B57" i="6"/>
  <c r="G46" i="6"/>
  <c r="H46" i="6"/>
  <c r="I46" i="6"/>
  <c r="J46" i="6"/>
  <c r="K46" i="6"/>
  <c r="C37" i="6"/>
  <c r="D37" i="6"/>
  <c r="E37" i="6"/>
  <c r="F37" i="6"/>
  <c r="G37" i="6"/>
  <c r="H37" i="6"/>
  <c r="I37" i="6"/>
  <c r="J37" i="6"/>
  <c r="C31" i="6"/>
  <c r="C67" i="6"/>
  <c r="D31" i="6"/>
  <c r="E31" i="6"/>
  <c r="E63" i="6"/>
  <c r="F31" i="6"/>
  <c r="G31" i="6"/>
  <c r="G67" i="6"/>
  <c r="H31" i="6"/>
  <c r="I31" i="6"/>
  <c r="I63" i="6"/>
  <c r="J31" i="6"/>
  <c r="K31" i="6"/>
  <c r="K67" i="6"/>
  <c r="B31" i="6"/>
  <c r="B32" i="6"/>
  <c r="C30" i="6"/>
  <c r="B37" i="6"/>
  <c r="B40" i="6"/>
  <c r="H71" i="6"/>
  <c r="B34" i="6"/>
  <c r="J63" i="6"/>
  <c r="F63" i="6"/>
  <c r="B55" i="6"/>
  <c r="C53" i="6"/>
  <c r="K77" i="7"/>
  <c r="I71" i="6"/>
  <c r="E71" i="6"/>
  <c r="H63" i="6"/>
  <c r="D63" i="6"/>
  <c r="D71" i="6"/>
  <c r="B38" i="6"/>
  <c r="C36" i="6"/>
  <c r="B63" i="6"/>
  <c r="B64" i="6"/>
  <c r="C62" i="6"/>
  <c r="C66" i="6"/>
  <c r="C68" i="6"/>
  <c r="B71" i="6"/>
  <c r="B74" i="6"/>
  <c r="H67" i="6"/>
  <c r="D67" i="6"/>
  <c r="K71" i="6"/>
  <c r="G71" i="6"/>
  <c r="C71" i="6"/>
  <c r="B42" i="6"/>
  <c r="B43" i="6"/>
  <c r="J71" i="6"/>
  <c r="F71" i="6"/>
  <c r="J67" i="6"/>
  <c r="F67" i="6"/>
  <c r="B67" i="6"/>
  <c r="I67" i="6"/>
  <c r="E67" i="6"/>
  <c r="G63" i="6"/>
  <c r="B49" i="6"/>
  <c r="B51" i="6"/>
  <c r="B59" i="6"/>
  <c r="K63" i="6"/>
  <c r="C63" i="6"/>
  <c r="B66" i="6"/>
  <c r="C38" i="6"/>
  <c r="D36" i="6"/>
  <c r="D40" i="6"/>
  <c r="C57" i="6"/>
  <c r="C55" i="6"/>
  <c r="D53" i="6"/>
  <c r="B47" i="6"/>
  <c r="C45" i="6"/>
  <c r="C49" i="6"/>
  <c r="C51" i="6"/>
  <c r="D38" i="6"/>
  <c r="E36" i="6"/>
  <c r="C40" i="6"/>
  <c r="C34" i="6"/>
  <c r="C32" i="6"/>
  <c r="D30" i="6"/>
  <c r="J20" i="6"/>
  <c r="J22" i="6"/>
  <c r="J24" i="6"/>
  <c r="F20" i="6"/>
  <c r="F22" i="6"/>
  <c r="F24" i="6"/>
  <c r="B20" i="6"/>
  <c r="B22" i="6"/>
  <c r="B24" i="6"/>
  <c r="L23" i="6"/>
  <c r="L21" i="6"/>
  <c r="L19" i="6"/>
  <c r="K20" i="6"/>
  <c r="K22" i="6"/>
  <c r="K24" i="6"/>
  <c r="I20" i="6"/>
  <c r="I22" i="6"/>
  <c r="I24" i="6"/>
  <c r="H20" i="6"/>
  <c r="H22" i="6"/>
  <c r="H24" i="6"/>
  <c r="G20" i="6"/>
  <c r="G22" i="6"/>
  <c r="G24" i="6"/>
  <c r="E20" i="6"/>
  <c r="E22" i="6"/>
  <c r="E24" i="6"/>
  <c r="D20" i="6"/>
  <c r="D22" i="6"/>
  <c r="D24" i="6"/>
  <c r="C20" i="6"/>
  <c r="C22" i="6"/>
  <c r="C24" i="6"/>
  <c r="L18" i="6"/>
  <c r="K14" i="6"/>
  <c r="J14" i="6"/>
  <c r="I14" i="6"/>
  <c r="H14" i="6"/>
  <c r="G14" i="6"/>
  <c r="F14" i="6"/>
  <c r="E14" i="6"/>
  <c r="D14" i="6"/>
  <c r="C14" i="6"/>
  <c r="B14" i="6"/>
  <c r="K10" i="6"/>
  <c r="J10" i="6"/>
  <c r="I10" i="6"/>
  <c r="H10" i="6"/>
  <c r="G10" i="6"/>
  <c r="F10" i="6"/>
  <c r="E10" i="6"/>
  <c r="D10" i="6"/>
  <c r="C10" i="6"/>
  <c r="B10" i="6"/>
  <c r="K6" i="6"/>
  <c r="K9" i="6"/>
  <c r="J6" i="6"/>
  <c r="J9" i="6"/>
  <c r="I6" i="6"/>
  <c r="I9" i="6"/>
  <c r="I12" i="6"/>
  <c r="H6" i="6"/>
  <c r="H9" i="6"/>
  <c r="G6" i="6"/>
  <c r="G9" i="6"/>
  <c r="F6" i="6"/>
  <c r="F9" i="6"/>
  <c r="E6" i="6"/>
  <c r="E9" i="6"/>
  <c r="E12" i="6"/>
  <c r="D6" i="6"/>
  <c r="D9" i="6"/>
  <c r="C6" i="6"/>
  <c r="C9" i="6"/>
  <c r="B6" i="6"/>
  <c r="B9" i="6"/>
  <c r="K5" i="6"/>
  <c r="J5" i="6"/>
  <c r="I5" i="6"/>
  <c r="H5" i="6"/>
  <c r="G5" i="6"/>
  <c r="F5" i="6"/>
  <c r="E5" i="6"/>
  <c r="D5" i="6"/>
  <c r="C5" i="6"/>
  <c r="B5" i="6"/>
  <c r="C3" i="6"/>
  <c r="D3" i="6"/>
  <c r="E3" i="6"/>
  <c r="F3" i="6"/>
  <c r="G3" i="6"/>
  <c r="H3" i="6"/>
  <c r="I3" i="6"/>
  <c r="J3" i="6"/>
  <c r="K3" i="6"/>
  <c r="L22" i="6"/>
  <c r="C59" i="6"/>
  <c r="B68" i="6"/>
  <c r="B76" i="6"/>
  <c r="B77" i="6"/>
  <c r="C64" i="6"/>
  <c r="D62" i="6"/>
  <c r="D15" i="6"/>
  <c r="H15" i="6"/>
  <c r="B72" i="6"/>
  <c r="C70" i="6"/>
  <c r="C74" i="6"/>
  <c r="C76" i="6"/>
  <c r="E15" i="6"/>
  <c r="I15" i="6"/>
  <c r="B15" i="6"/>
  <c r="F15" i="6"/>
  <c r="J15" i="6"/>
  <c r="C15" i="6"/>
  <c r="G15" i="6"/>
  <c r="K15" i="6"/>
  <c r="C42" i="6"/>
  <c r="C43" i="6"/>
  <c r="B60" i="6"/>
  <c r="C60" i="6"/>
  <c r="B65" i="6"/>
  <c r="C72" i="6"/>
  <c r="D70" i="6"/>
  <c r="J12" i="6"/>
  <c r="F12" i="6"/>
  <c r="D12" i="6"/>
  <c r="H12" i="6"/>
  <c r="L10" i="6"/>
  <c r="D57" i="6"/>
  <c r="D55" i="6"/>
  <c r="E53" i="6"/>
  <c r="C47" i="6"/>
  <c r="D45" i="6"/>
  <c r="D49" i="6"/>
  <c r="D51" i="6"/>
  <c r="E38" i="6"/>
  <c r="F36" i="6"/>
  <c r="E40" i="6"/>
  <c r="D34" i="6"/>
  <c r="D42" i="6"/>
  <c r="D43" i="6"/>
  <c r="D32" i="6"/>
  <c r="E30" i="6"/>
  <c r="C12" i="6"/>
  <c r="G12" i="6"/>
  <c r="K12" i="6"/>
  <c r="L14" i="6"/>
  <c r="L5" i="6"/>
  <c r="L20" i="6"/>
  <c r="L24" i="6"/>
  <c r="L11" i="6"/>
  <c r="B12" i="6"/>
  <c r="B7" i="6"/>
  <c r="C4" i="6"/>
  <c r="C7" i="6"/>
  <c r="D4" i="6"/>
  <c r="D7" i="6"/>
  <c r="E4" i="6"/>
  <c r="E7" i="6"/>
  <c r="F4" i="6"/>
  <c r="F7" i="6"/>
  <c r="G4" i="6"/>
  <c r="G7" i="6"/>
  <c r="H4" i="6"/>
  <c r="H7" i="6"/>
  <c r="I4" i="6"/>
  <c r="I7" i="6"/>
  <c r="J4" i="6"/>
  <c r="J7" i="6"/>
  <c r="K4" i="6"/>
  <c r="K7" i="6"/>
  <c r="L9" i="6"/>
  <c r="F75" i="4"/>
  <c r="F79" i="4"/>
  <c r="F82" i="4"/>
  <c r="D64" i="6"/>
  <c r="E62" i="6"/>
  <c r="E64" i="6"/>
  <c r="D66" i="6"/>
  <c r="D68" i="6"/>
  <c r="C77" i="6"/>
  <c r="D59" i="6"/>
  <c r="D60" i="6"/>
  <c r="C65" i="6"/>
  <c r="L15" i="6"/>
  <c r="D74" i="6"/>
  <c r="D76" i="6"/>
  <c r="D72" i="6"/>
  <c r="E70" i="6"/>
  <c r="E55" i="6"/>
  <c r="F53" i="6"/>
  <c r="E57" i="6"/>
  <c r="D47" i="6"/>
  <c r="E45" i="6"/>
  <c r="E49" i="6"/>
  <c r="E51" i="6"/>
  <c r="F38" i="6"/>
  <c r="G36" i="6"/>
  <c r="F40" i="6"/>
  <c r="E32" i="6"/>
  <c r="F30" i="6"/>
  <c r="E34" i="6"/>
  <c r="E42" i="6"/>
  <c r="E43" i="6"/>
  <c r="L12" i="6"/>
  <c r="E59" i="6"/>
  <c r="D77" i="6"/>
  <c r="F62" i="6"/>
  <c r="E66" i="6"/>
  <c r="E68" i="6"/>
  <c r="E60" i="6"/>
  <c r="D65" i="6"/>
  <c r="F64" i="6"/>
  <c r="F66" i="6"/>
  <c r="F68" i="6"/>
  <c r="E72" i="6"/>
  <c r="F70" i="6"/>
  <c r="E74" i="6"/>
  <c r="E47" i="6"/>
  <c r="F45" i="6"/>
  <c r="F49" i="6"/>
  <c r="F51" i="6"/>
  <c r="F55" i="6"/>
  <c r="G53" i="6"/>
  <c r="F57" i="6"/>
  <c r="G38" i="6"/>
  <c r="H36" i="6"/>
  <c r="G40" i="6"/>
  <c r="F32" i="6"/>
  <c r="G30" i="6"/>
  <c r="F34" i="6"/>
  <c r="F42" i="6"/>
  <c r="F43" i="6"/>
  <c r="O24" i="5"/>
  <c r="F15" i="5"/>
  <c r="G15" i="5"/>
  <c r="H15" i="5"/>
  <c r="I15" i="5"/>
  <c r="J15" i="5"/>
  <c r="K15" i="5"/>
  <c r="L15" i="5"/>
  <c r="M15" i="5"/>
  <c r="N15" i="5"/>
  <c r="O15" i="5"/>
  <c r="G5" i="5"/>
  <c r="H5" i="5"/>
  <c r="I5" i="5"/>
  <c r="J5" i="5"/>
  <c r="K5" i="5"/>
  <c r="L5" i="5"/>
  <c r="M5" i="5"/>
  <c r="N5" i="5"/>
  <c r="O5" i="5"/>
  <c r="I75" i="4"/>
  <c r="G64" i="4"/>
  <c r="G54" i="4"/>
  <c r="G34" i="4"/>
  <c r="H34" i="4"/>
  <c r="O18" i="5"/>
  <c r="N18" i="5"/>
  <c r="K18" i="5"/>
  <c r="J18" i="5"/>
  <c r="G18" i="5"/>
  <c r="F18" i="5"/>
  <c r="G5" i="4"/>
  <c r="H5" i="4"/>
  <c r="G63" i="3"/>
  <c r="H63" i="3"/>
  <c r="I63" i="3"/>
  <c r="J63" i="3"/>
  <c r="K63" i="3"/>
  <c r="L63" i="3"/>
  <c r="M63" i="3"/>
  <c r="N63" i="3"/>
  <c r="O63" i="3"/>
  <c r="G53" i="3"/>
  <c r="H53" i="3"/>
  <c r="I53" i="3"/>
  <c r="J53" i="3"/>
  <c r="K53" i="3"/>
  <c r="L53" i="3"/>
  <c r="M53" i="3"/>
  <c r="N53" i="3"/>
  <c r="O53" i="3"/>
  <c r="G33" i="3"/>
  <c r="H33" i="3"/>
  <c r="I33" i="3"/>
  <c r="J33" i="3"/>
  <c r="K33" i="3"/>
  <c r="L33" i="3"/>
  <c r="M33" i="3"/>
  <c r="N33" i="3"/>
  <c r="O33" i="3"/>
  <c r="G5" i="3"/>
  <c r="H5" i="3"/>
  <c r="I5" i="3"/>
  <c r="J5" i="3"/>
  <c r="K5" i="3"/>
  <c r="L5" i="3"/>
  <c r="M5" i="3"/>
  <c r="N5" i="3"/>
  <c r="O5" i="3"/>
  <c r="G72" i="2"/>
  <c r="G58" i="2"/>
  <c r="G36" i="2"/>
  <c r="G3" i="2"/>
  <c r="H3" i="2"/>
  <c r="I3" i="2"/>
  <c r="J3" i="2"/>
  <c r="K3" i="2"/>
  <c r="L3" i="2"/>
  <c r="M3" i="2"/>
  <c r="N3" i="2"/>
  <c r="O3" i="2"/>
  <c r="G74" i="1"/>
  <c r="G60" i="1"/>
  <c r="G38" i="1"/>
  <c r="G3" i="1"/>
  <c r="H3" i="1"/>
  <c r="I3" i="1"/>
  <c r="J3" i="1"/>
  <c r="K3" i="1"/>
  <c r="L3" i="1"/>
  <c r="M3" i="1"/>
  <c r="N3" i="1"/>
  <c r="O3" i="1"/>
  <c r="F59" i="6"/>
  <c r="F60" i="6"/>
  <c r="E76" i="6"/>
  <c r="E77" i="6"/>
  <c r="G62" i="6"/>
  <c r="G64" i="6"/>
  <c r="E65" i="6"/>
  <c r="F72" i="6"/>
  <c r="G70" i="6"/>
  <c r="F74" i="6"/>
  <c r="F76" i="6"/>
  <c r="G57" i="6"/>
  <c r="G55" i="6"/>
  <c r="H53" i="6"/>
  <c r="F47" i="6"/>
  <c r="G45" i="6"/>
  <c r="G49" i="6"/>
  <c r="G51" i="6"/>
  <c r="H38" i="6"/>
  <c r="I36" i="6"/>
  <c r="H40" i="6"/>
  <c r="G32" i="6"/>
  <c r="H30" i="6"/>
  <c r="G34" i="6"/>
  <c r="G42" i="6"/>
  <c r="G43" i="6"/>
  <c r="H24" i="4"/>
  <c r="L24" i="4"/>
  <c r="N75" i="4"/>
  <c r="H18" i="5"/>
  <c r="L18" i="5"/>
  <c r="M75" i="4"/>
  <c r="M18" i="5"/>
  <c r="I24" i="4"/>
  <c r="M24" i="4"/>
  <c r="I18" i="5"/>
  <c r="L75" i="4"/>
  <c r="H75" i="4"/>
  <c r="F12" i="4"/>
  <c r="J75" i="4"/>
  <c r="I79" i="4"/>
  <c r="O75" i="4"/>
  <c r="K75" i="4"/>
  <c r="G75" i="4"/>
  <c r="N17" i="5"/>
  <c r="N19" i="5"/>
  <c r="J17" i="5"/>
  <c r="J19" i="5"/>
  <c r="L17" i="5"/>
  <c r="H17" i="5"/>
  <c r="O17" i="5"/>
  <c r="K17" i="5"/>
  <c r="G17" i="5"/>
  <c r="F17" i="5"/>
  <c r="M17" i="5"/>
  <c r="I17" i="5"/>
  <c r="G65" i="1"/>
  <c r="G67" i="1"/>
  <c r="I18" i="1"/>
  <c r="K65" i="1"/>
  <c r="I65" i="1"/>
  <c r="I67" i="1"/>
  <c r="L18" i="1"/>
  <c r="H18" i="1"/>
  <c r="I24" i="5"/>
  <c r="J24" i="5"/>
  <c r="G24" i="5"/>
  <c r="M24" i="5"/>
  <c r="H24" i="5"/>
  <c r="O24" i="4"/>
  <c r="H54" i="4"/>
  <c r="N23" i="3"/>
  <c r="F74" i="3"/>
  <c r="J74" i="3"/>
  <c r="F23" i="3"/>
  <c r="J23" i="3"/>
  <c r="I23" i="3"/>
  <c r="M23" i="3"/>
  <c r="I74" i="3"/>
  <c r="M74" i="3"/>
  <c r="N74" i="3"/>
  <c r="F12" i="3"/>
  <c r="G23" i="3"/>
  <c r="K23" i="3"/>
  <c r="O23" i="3"/>
  <c r="G74" i="3"/>
  <c r="K74" i="3"/>
  <c r="O74" i="3"/>
  <c r="H23" i="3"/>
  <c r="L23" i="3"/>
  <c r="H74" i="3"/>
  <c r="L74" i="3"/>
  <c r="H72" i="2"/>
  <c r="O63" i="2"/>
  <c r="G63" i="2"/>
  <c r="K63" i="2"/>
  <c r="H36" i="2"/>
  <c r="H58" i="2"/>
  <c r="N63" i="2"/>
  <c r="J63" i="2"/>
  <c r="I5" i="4"/>
  <c r="K24" i="4"/>
  <c r="G24" i="4"/>
  <c r="I34" i="4"/>
  <c r="F24" i="4"/>
  <c r="J24" i="4"/>
  <c r="N24" i="4"/>
  <c r="H64" i="4"/>
  <c r="I54" i="4"/>
  <c r="L63" i="2"/>
  <c r="H63" i="2"/>
  <c r="M63" i="2"/>
  <c r="I63" i="2"/>
  <c r="J65" i="2"/>
  <c r="H38" i="1"/>
  <c r="O65" i="1"/>
  <c r="M65" i="1"/>
  <c r="H60" i="1"/>
  <c r="L65" i="1"/>
  <c r="H74" i="1"/>
  <c r="N18" i="1"/>
  <c r="J18" i="1"/>
  <c r="M18" i="1"/>
  <c r="O18" i="1"/>
  <c r="K18" i="1"/>
  <c r="G18" i="1"/>
  <c r="H65" i="1"/>
  <c r="N65" i="1"/>
  <c r="J65" i="1"/>
  <c r="O16" i="2"/>
  <c r="F16" i="2"/>
  <c r="K16" i="2"/>
  <c r="G16" i="2"/>
  <c r="L16" i="2"/>
  <c r="H16" i="2"/>
  <c r="N16" i="2"/>
  <c r="J16" i="2"/>
  <c r="M16" i="2"/>
  <c r="I16" i="2"/>
  <c r="G47" i="2"/>
  <c r="N47" i="2"/>
  <c r="F63" i="2"/>
  <c r="K47" i="2"/>
  <c r="O47" i="2"/>
  <c r="F47" i="2"/>
  <c r="J47" i="2"/>
  <c r="L47" i="2"/>
  <c r="H47" i="2"/>
  <c r="F18" i="1"/>
  <c r="F49" i="1"/>
  <c r="J49" i="1"/>
  <c r="N49" i="1"/>
  <c r="G49" i="1"/>
  <c r="K49" i="1"/>
  <c r="O49" i="1"/>
  <c r="F65" i="1"/>
  <c r="I47" i="2"/>
  <c r="M47" i="2"/>
  <c r="I49" i="1"/>
  <c r="M49" i="1"/>
  <c r="H49" i="1"/>
  <c r="L49" i="1"/>
  <c r="F77" i="6"/>
  <c r="G59" i="6"/>
  <c r="G66" i="6"/>
  <c r="G68" i="6"/>
  <c r="G60" i="6"/>
  <c r="F65" i="6"/>
  <c r="H62" i="6"/>
  <c r="H64" i="6"/>
  <c r="G74" i="6"/>
  <c r="G72" i="6"/>
  <c r="H70" i="6"/>
  <c r="H55" i="6"/>
  <c r="I53" i="6"/>
  <c r="H57" i="6"/>
  <c r="G47" i="6"/>
  <c r="H45" i="6"/>
  <c r="H49" i="6"/>
  <c r="H51" i="6"/>
  <c r="I38" i="6"/>
  <c r="J36" i="6"/>
  <c r="I40" i="6"/>
  <c r="H32" i="6"/>
  <c r="I30" i="6"/>
  <c r="H34" i="6"/>
  <c r="H42" i="6"/>
  <c r="H43" i="6"/>
  <c r="O79" i="4"/>
  <c r="M79" i="4"/>
  <c r="M82" i="4"/>
  <c r="G79" i="4"/>
  <c r="J79" i="4"/>
  <c r="O82" i="4"/>
  <c r="H79" i="4"/>
  <c r="I82" i="4"/>
  <c r="L79" i="4"/>
  <c r="K79" i="4"/>
  <c r="N79" i="4"/>
  <c r="J26" i="5"/>
  <c r="H19" i="5"/>
  <c r="I19" i="5"/>
  <c r="G19" i="5"/>
  <c r="L19" i="5"/>
  <c r="O19" i="5"/>
  <c r="F19" i="5"/>
  <c r="M19" i="5"/>
  <c r="K19" i="5"/>
  <c r="N65" i="2"/>
  <c r="N67" i="2"/>
  <c r="N93" i="2"/>
  <c r="K67" i="1"/>
  <c r="N24" i="5"/>
  <c r="K24" i="5"/>
  <c r="F24" i="5"/>
  <c r="L24" i="5"/>
  <c r="F78" i="3"/>
  <c r="J78" i="3"/>
  <c r="O78" i="3"/>
  <c r="M78" i="3"/>
  <c r="L78" i="3"/>
  <c r="I78" i="3"/>
  <c r="K78" i="3"/>
  <c r="G78" i="3"/>
  <c r="N78" i="3"/>
  <c r="H78" i="3"/>
  <c r="I72" i="2"/>
  <c r="H65" i="2"/>
  <c r="K65" i="2"/>
  <c r="F65" i="2"/>
  <c r="I65" i="2"/>
  <c r="G65" i="2"/>
  <c r="M65" i="2"/>
  <c r="J67" i="2"/>
  <c r="J93" i="2"/>
  <c r="L65" i="2"/>
  <c r="I36" i="2"/>
  <c r="I58" i="2"/>
  <c r="O65" i="2"/>
  <c r="I64" i="4"/>
  <c r="J5" i="4"/>
  <c r="J54" i="4"/>
  <c r="J34" i="4"/>
  <c r="K69" i="1"/>
  <c r="K40" i="1"/>
  <c r="I74" i="1"/>
  <c r="I69" i="1"/>
  <c r="I78" i="1"/>
  <c r="G69" i="1"/>
  <c r="G40" i="1"/>
  <c r="N67" i="1"/>
  <c r="I60" i="1"/>
  <c r="O67" i="1"/>
  <c r="H67" i="1"/>
  <c r="M67" i="1"/>
  <c r="F67" i="1"/>
  <c r="J67" i="1"/>
  <c r="L67" i="1"/>
  <c r="I38" i="1"/>
  <c r="H59" i="6"/>
  <c r="G76" i="6"/>
  <c r="G77" i="6"/>
  <c r="I62" i="6"/>
  <c r="I64" i="6"/>
  <c r="H66" i="6"/>
  <c r="H68" i="6"/>
  <c r="H60" i="6"/>
  <c r="G65" i="6"/>
  <c r="H72" i="6"/>
  <c r="I70" i="6"/>
  <c r="H74" i="6"/>
  <c r="H47" i="6"/>
  <c r="I45" i="6"/>
  <c r="I49" i="6"/>
  <c r="I51" i="6"/>
  <c r="I55" i="6"/>
  <c r="J53" i="6"/>
  <c r="I57" i="6"/>
  <c r="J38" i="6"/>
  <c r="K36" i="6"/>
  <c r="J40" i="6"/>
  <c r="I32" i="6"/>
  <c r="J30" i="6"/>
  <c r="I34" i="6"/>
  <c r="I42" i="6"/>
  <c r="I43" i="6"/>
  <c r="J88" i="2"/>
  <c r="J76" i="2"/>
  <c r="K95" i="1"/>
  <c r="J28" i="5"/>
  <c r="N82" i="4"/>
  <c r="H82" i="4"/>
  <c r="J82" i="4"/>
  <c r="K82" i="4"/>
  <c r="F16" i="4"/>
  <c r="L82" i="4"/>
  <c r="G82" i="4"/>
  <c r="F26" i="5"/>
  <c r="F28" i="5"/>
  <c r="N26" i="5"/>
  <c r="N28" i="5"/>
  <c r="I26" i="5"/>
  <c r="I28" i="5"/>
  <c r="L26" i="5"/>
  <c r="L28" i="5"/>
  <c r="K26" i="5"/>
  <c r="O26" i="5"/>
  <c r="M26" i="5"/>
  <c r="H26" i="5"/>
  <c r="G26" i="5"/>
  <c r="K67" i="2"/>
  <c r="I40" i="1"/>
  <c r="G95" i="1"/>
  <c r="G96" i="1"/>
  <c r="K78" i="1"/>
  <c r="K80" i="1"/>
  <c r="I95" i="1"/>
  <c r="I96" i="1"/>
  <c r="K38" i="2"/>
  <c r="H67" i="2"/>
  <c r="H38" i="2"/>
  <c r="N76" i="2"/>
  <c r="J72" i="2"/>
  <c r="I67" i="2"/>
  <c r="J38" i="2"/>
  <c r="O67" i="2"/>
  <c r="N38" i="2"/>
  <c r="N88" i="2"/>
  <c r="N94" i="2"/>
  <c r="J78" i="2"/>
  <c r="J94" i="2"/>
  <c r="J58" i="2"/>
  <c r="J36" i="2"/>
  <c r="J90" i="2"/>
  <c r="K93" i="2"/>
  <c r="K88" i="2"/>
  <c r="L67" i="2"/>
  <c r="M67" i="2"/>
  <c r="G67" i="2"/>
  <c r="F67" i="2"/>
  <c r="K5" i="4"/>
  <c r="K54" i="4"/>
  <c r="J64" i="4"/>
  <c r="K34" i="4"/>
  <c r="J81" i="2"/>
  <c r="N81" i="2"/>
  <c r="L69" i="1"/>
  <c r="F69" i="1"/>
  <c r="H69" i="1"/>
  <c r="G90" i="1"/>
  <c r="J74" i="1"/>
  <c r="G78" i="1"/>
  <c r="I80" i="1"/>
  <c r="J60" i="1"/>
  <c r="K96" i="1"/>
  <c r="J38" i="1"/>
  <c r="J69" i="1"/>
  <c r="M69" i="1"/>
  <c r="O69" i="1"/>
  <c r="N69" i="1"/>
  <c r="I90" i="1"/>
  <c r="K90" i="1"/>
  <c r="I83" i="1"/>
  <c r="K83" i="1"/>
  <c r="I66" i="6"/>
  <c r="I68" i="6"/>
  <c r="I59" i="6"/>
  <c r="H76" i="6"/>
  <c r="H77" i="6"/>
  <c r="H65" i="6"/>
  <c r="J62" i="6"/>
  <c r="J66" i="6"/>
  <c r="J68" i="6"/>
  <c r="I60" i="6"/>
  <c r="I72" i="6"/>
  <c r="J70" i="6"/>
  <c r="I74" i="6"/>
  <c r="I76" i="6"/>
  <c r="I77" i="6"/>
  <c r="J57" i="6"/>
  <c r="J55" i="6"/>
  <c r="K53" i="6"/>
  <c r="I47" i="6"/>
  <c r="J45" i="6"/>
  <c r="J49" i="6"/>
  <c r="J51" i="6"/>
  <c r="K38" i="6"/>
  <c r="K40" i="6"/>
  <c r="J32" i="6"/>
  <c r="K30" i="6"/>
  <c r="J34" i="6"/>
  <c r="J42" i="6"/>
  <c r="J43" i="6"/>
  <c r="G83" i="1"/>
  <c r="K76" i="2"/>
  <c r="G16" i="4"/>
  <c r="F18" i="4"/>
  <c r="G28" i="5"/>
  <c r="M28" i="5"/>
  <c r="F16" i="3"/>
  <c r="H28" i="5"/>
  <c r="O28" i="5"/>
  <c r="K28" i="5"/>
  <c r="G16" i="3"/>
  <c r="G98" i="1"/>
  <c r="K98" i="1"/>
  <c r="K72" i="2"/>
  <c r="H76" i="2"/>
  <c r="H88" i="2"/>
  <c r="H93" i="2"/>
  <c r="N78" i="2"/>
  <c r="G38" i="2"/>
  <c r="G88" i="2"/>
  <c r="G76" i="2"/>
  <c r="G93" i="2"/>
  <c r="K94" i="2"/>
  <c r="K81" i="2"/>
  <c r="K58" i="2"/>
  <c r="M88" i="2"/>
  <c r="M76" i="2"/>
  <c r="M93" i="2"/>
  <c r="M38" i="2"/>
  <c r="K78" i="2"/>
  <c r="O38" i="2"/>
  <c r="O93" i="2"/>
  <c r="O76" i="2"/>
  <c r="O88" i="2"/>
  <c r="N82" i="2"/>
  <c r="N90" i="2"/>
  <c r="I88" i="2"/>
  <c r="I93" i="2"/>
  <c r="I38" i="2"/>
  <c r="I76" i="2"/>
  <c r="J82" i="2"/>
  <c r="L38" i="2"/>
  <c r="L88" i="2"/>
  <c r="L76" i="2"/>
  <c r="L93" i="2"/>
  <c r="F93" i="2"/>
  <c r="F38" i="2"/>
  <c r="F88" i="2"/>
  <c r="F76" i="2"/>
  <c r="K90" i="2"/>
  <c r="K36" i="2"/>
  <c r="J96" i="2"/>
  <c r="N96" i="2"/>
  <c r="K64" i="4"/>
  <c r="L5" i="4"/>
  <c r="L34" i="4"/>
  <c r="L54" i="4"/>
  <c r="N90" i="1"/>
  <c r="N95" i="1"/>
  <c r="N83" i="1"/>
  <c r="N78" i="1"/>
  <c r="N40" i="1"/>
  <c r="M90" i="1"/>
  <c r="M95" i="1"/>
  <c r="M83" i="1"/>
  <c r="M40" i="1"/>
  <c r="M78" i="1"/>
  <c r="K60" i="1"/>
  <c r="I98" i="1"/>
  <c r="G92" i="1"/>
  <c r="K84" i="1"/>
  <c r="I92" i="1"/>
  <c r="G80" i="1"/>
  <c r="F40" i="1"/>
  <c r="F95" i="1"/>
  <c r="F83" i="1"/>
  <c r="F90" i="1"/>
  <c r="F78" i="1"/>
  <c r="G84" i="1"/>
  <c r="O90" i="1"/>
  <c r="O95" i="1"/>
  <c r="O78" i="1"/>
  <c r="O40" i="1"/>
  <c r="J40" i="1"/>
  <c r="J90" i="1"/>
  <c r="J78" i="1"/>
  <c r="J95" i="1"/>
  <c r="K38" i="1"/>
  <c r="I84" i="1"/>
  <c r="K92" i="1"/>
  <c r="K74" i="1"/>
  <c r="H40" i="1"/>
  <c r="H90" i="1"/>
  <c r="H95" i="1"/>
  <c r="H78" i="1"/>
  <c r="L90" i="1"/>
  <c r="L40" i="1"/>
  <c r="L78" i="1"/>
  <c r="L95" i="1"/>
  <c r="J59" i="6"/>
  <c r="J64" i="6"/>
  <c r="K62" i="6"/>
  <c r="K66" i="6"/>
  <c r="K68" i="6"/>
  <c r="I65" i="6"/>
  <c r="J60" i="6"/>
  <c r="J74" i="6"/>
  <c r="J76" i="6"/>
  <c r="J72" i="6"/>
  <c r="K70" i="6"/>
  <c r="J47" i="6"/>
  <c r="K45" i="6"/>
  <c r="K49" i="6"/>
  <c r="K51" i="6"/>
  <c r="K57" i="6"/>
  <c r="K55" i="6"/>
  <c r="K32" i="6"/>
  <c r="K34" i="6"/>
  <c r="K42" i="6"/>
  <c r="K43" i="6"/>
  <c r="F22" i="2"/>
  <c r="I16" i="3"/>
  <c r="H16" i="4"/>
  <c r="G18" i="4"/>
  <c r="F28" i="4"/>
  <c r="H16" i="3"/>
  <c r="F18" i="3"/>
  <c r="H90" i="2"/>
  <c r="L81" i="2"/>
  <c r="H78" i="2"/>
  <c r="H94" i="2"/>
  <c r="L72" i="2"/>
  <c r="H81" i="2"/>
  <c r="L90" i="2"/>
  <c r="O94" i="2"/>
  <c r="M90" i="2"/>
  <c r="G78" i="2"/>
  <c r="F78" i="2"/>
  <c r="N84" i="2"/>
  <c r="F90" i="2"/>
  <c r="O81" i="2"/>
  <c r="L94" i="2"/>
  <c r="O90" i="2"/>
  <c r="M94" i="2"/>
  <c r="M81" i="2"/>
  <c r="K96" i="2"/>
  <c r="N98" i="2"/>
  <c r="L36" i="2"/>
  <c r="F94" i="2"/>
  <c r="F81" i="2"/>
  <c r="J84" i="2"/>
  <c r="I90" i="2"/>
  <c r="K82" i="2"/>
  <c r="L82" i="2"/>
  <c r="I78" i="2"/>
  <c r="G90" i="2"/>
  <c r="L78" i="2"/>
  <c r="I94" i="2"/>
  <c r="I81" i="2"/>
  <c r="O78" i="2"/>
  <c r="M78" i="2"/>
  <c r="L58" i="2"/>
  <c r="G94" i="2"/>
  <c r="G81" i="2"/>
  <c r="M54" i="4"/>
  <c r="L64" i="4"/>
  <c r="M34" i="4"/>
  <c r="M5" i="4"/>
  <c r="F84" i="1"/>
  <c r="M84" i="1"/>
  <c r="L96" i="1"/>
  <c r="L83" i="1"/>
  <c r="J92" i="1"/>
  <c r="O80" i="1"/>
  <c r="L60" i="1"/>
  <c r="N84" i="1"/>
  <c r="H80" i="1"/>
  <c r="L38" i="1"/>
  <c r="O96" i="1"/>
  <c r="O83" i="1"/>
  <c r="G86" i="1"/>
  <c r="K86" i="1"/>
  <c r="M80" i="1"/>
  <c r="M92" i="1"/>
  <c r="N96" i="1"/>
  <c r="K100" i="1"/>
  <c r="H96" i="1"/>
  <c r="H83" i="1"/>
  <c r="J83" i="1"/>
  <c r="J96" i="1"/>
  <c r="O92" i="1"/>
  <c r="N92" i="1"/>
  <c r="F92" i="1"/>
  <c r="L80" i="1"/>
  <c r="F96" i="1"/>
  <c r="L92" i="1"/>
  <c r="H92" i="1"/>
  <c r="L74" i="1"/>
  <c r="I86" i="1"/>
  <c r="J80" i="1"/>
  <c r="F80" i="1"/>
  <c r="M96" i="1"/>
  <c r="N80" i="1"/>
  <c r="K59" i="6"/>
  <c r="J77" i="6"/>
  <c r="K60" i="6"/>
  <c r="K64" i="6"/>
  <c r="J65" i="6"/>
  <c r="K74" i="6"/>
  <c r="K76" i="6"/>
  <c r="K72" i="6"/>
  <c r="K47" i="6"/>
  <c r="I16" i="4"/>
  <c r="F8" i="5"/>
  <c r="H18" i="4"/>
  <c r="G28" i="4"/>
  <c r="J16" i="3"/>
  <c r="F27" i="3"/>
  <c r="G18" i="3"/>
  <c r="H82" i="2"/>
  <c r="M72" i="2"/>
  <c r="H96" i="2"/>
  <c r="K84" i="2"/>
  <c r="G96" i="2"/>
  <c r="O96" i="2"/>
  <c r="I96" i="2"/>
  <c r="L84" i="2"/>
  <c r="M96" i="2"/>
  <c r="L96" i="2"/>
  <c r="I82" i="2"/>
  <c r="J98" i="2"/>
  <c r="N39" i="2"/>
  <c r="M82" i="2"/>
  <c r="F96" i="2"/>
  <c r="G82" i="2"/>
  <c r="M58" i="2"/>
  <c r="F82" i="2"/>
  <c r="M36" i="2"/>
  <c r="K98" i="2"/>
  <c r="O82" i="2"/>
  <c r="N54" i="4"/>
  <c r="N5" i="4"/>
  <c r="N34" i="4"/>
  <c r="M64" i="4"/>
  <c r="I100" i="1"/>
  <c r="F98" i="1"/>
  <c r="H84" i="1"/>
  <c r="O98" i="1"/>
  <c r="M60" i="1"/>
  <c r="J98" i="1"/>
  <c r="N98" i="1"/>
  <c r="G100" i="1"/>
  <c r="L84" i="1"/>
  <c r="M86" i="1"/>
  <c r="M98" i="1"/>
  <c r="M74" i="1"/>
  <c r="J84" i="1"/>
  <c r="H98" i="1"/>
  <c r="O84" i="1"/>
  <c r="M38" i="1"/>
  <c r="N86" i="1"/>
  <c r="K41" i="1"/>
  <c r="L98" i="1"/>
  <c r="F86" i="1"/>
  <c r="K77" i="6"/>
  <c r="K65" i="6"/>
  <c r="G22" i="2"/>
  <c r="F24" i="1"/>
  <c r="J16" i="4"/>
  <c r="G8" i="5"/>
  <c r="H28" i="4"/>
  <c r="I18" i="4"/>
  <c r="G27" i="3"/>
  <c r="H18" i="3"/>
  <c r="F7" i="5"/>
  <c r="K16" i="3"/>
  <c r="N72" i="2"/>
  <c r="H84" i="2"/>
  <c r="K39" i="2"/>
  <c r="G84" i="2"/>
  <c r="M84" i="2"/>
  <c r="O84" i="2"/>
  <c r="N36" i="2"/>
  <c r="N58" i="2"/>
  <c r="N40" i="2"/>
  <c r="I84" i="2"/>
  <c r="F84" i="2"/>
  <c r="J39" i="2"/>
  <c r="O98" i="2"/>
  <c r="L98" i="2"/>
  <c r="O5" i="4"/>
  <c r="O34" i="4"/>
  <c r="N64" i="4"/>
  <c r="O54" i="4"/>
  <c r="G41" i="1"/>
  <c r="K42" i="1"/>
  <c r="N38" i="1"/>
  <c r="N74" i="1"/>
  <c r="F100" i="1"/>
  <c r="M100" i="1"/>
  <c r="N100" i="1"/>
  <c r="I41" i="1"/>
  <c r="O86" i="1"/>
  <c r="J86" i="1"/>
  <c r="L86" i="1"/>
  <c r="N60" i="1"/>
  <c r="H86" i="1"/>
  <c r="I98" i="2"/>
  <c r="H22" i="2"/>
  <c r="K16" i="4"/>
  <c r="I28" i="4"/>
  <c r="J18" i="4"/>
  <c r="H8" i="5"/>
  <c r="H27" i="3"/>
  <c r="I18" i="3"/>
  <c r="L16" i="3"/>
  <c r="G7" i="5"/>
  <c r="F9" i="5"/>
  <c r="G98" i="2"/>
  <c r="F98" i="2"/>
  <c r="H98" i="2"/>
  <c r="O72" i="2"/>
  <c r="J100" i="1"/>
  <c r="J41" i="1"/>
  <c r="L39" i="2"/>
  <c r="M98" i="2"/>
  <c r="O39" i="2"/>
  <c r="O36" i="2"/>
  <c r="J40" i="2"/>
  <c r="N51" i="2"/>
  <c r="O58" i="2"/>
  <c r="K40" i="2"/>
  <c r="O64" i="4"/>
  <c r="M41" i="1"/>
  <c r="H100" i="1"/>
  <c r="I42" i="1"/>
  <c r="O74" i="1"/>
  <c r="K53" i="1"/>
  <c r="L100" i="1"/>
  <c r="N41" i="1"/>
  <c r="F41" i="1"/>
  <c r="O100" i="1"/>
  <c r="O60" i="1"/>
  <c r="O38" i="1"/>
  <c r="G42" i="1"/>
  <c r="I22" i="2"/>
  <c r="I39" i="2"/>
  <c r="F39" i="2"/>
  <c r="F40" i="2"/>
  <c r="J28" i="4"/>
  <c r="K18" i="4"/>
  <c r="L16" i="4"/>
  <c r="I8" i="5"/>
  <c r="M16" i="3"/>
  <c r="J18" i="3"/>
  <c r="I27" i="3"/>
  <c r="G9" i="5"/>
  <c r="H7" i="5"/>
  <c r="G39" i="2"/>
  <c r="G40" i="2"/>
  <c r="H39" i="2"/>
  <c r="L40" i="2"/>
  <c r="J51" i="2"/>
  <c r="O40" i="2"/>
  <c r="M39" i="2"/>
  <c r="K51" i="2"/>
  <c r="G53" i="1"/>
  <c r="J42" i="1"/>
  <c r="H41" i="1"/>
  <c r="O41" i="1"/>
  <c r="N42" i="1"/>
  <c r="F42" i="1"/>
  <c r="L41" i="1"/>
  <c r="I53" i="1"/>
  <c r="M42" i="1"/>
  <c r="J22" i="2"/>
  <c r="I40" i="2"/>
  <c r="L18" i="4"/>
  <c r="K28" i="4"/>
  <c r="J8" i="5"/>
  <c r="M16" i="4"/>
  <c r="H9" i="5"/>
  <c r="I7" i="5"/>
  <c r="N16" i="3"/>
  <c r="K18" i="3"/>
  <c r="J27" i="3"/>
  <c r="H40" i="2"/>
  <c r="G51" i="2"/>
  <c r="M40" i="2"/>
  <c r="F51" i="2"/>
  <c r="O51" i="2"/>
  <c r="L51" i="2"/>
  <c r="F53" i="1"/>
  <c r="O42" i="1"/>
  <c r="J53" i="1"/>
  <c r="M53" i="1"/>
  <c r="L42" i="1"/>
  <c r="N53" i="1"/>
  <c r="H42" i="1"/>
  <c r="K22" i="2"/>
  <c r="I51" i="2"/>
  <c r="L28" i="4"/>
  <c r="M18" i="4"/>
  <c r="K8" i="5"/>
  <c r="N16" i="4"/>
  <c r="I9" i="5"/>
  <c r="K27" i="3"/>
  <c r="L18" i="3"/>
  <c r="J7" i="5"/>
  <c r="O16" i="3"/>
  <c r="H51" i="2"/>
  <c r="M51" i="2"/>
  <c r="O53" i="1"/>
  <c r="H53" i="1"/>
  <c r="L53" i="1"/>
  <c r="L22" i="2"/>
  <c r="O16" i="4"/>
  <c r="L8" i="5"/>
  <c r="N18" i="4"/>
  <c r="M28" i="4"/>
  <c r="J9" i="5"/>
  <c r="K7" i="5"/>
  <c r="L27" i="3"/>
  <c r="M18" i="3"/>
  <c r="M22" i="2"/>
  <c r="M8" i="5"/>
  <c r="N28" i="4"/>
  <c r="O18" i="4"/>
  <c r="L7" i="5"/>
  <c r="K9" i="5"/>
  <c r="M27" i="3"/>
  <c r="N18" i="3"/>
  <c r="N22" i="2"/>
  <c r="N8" i="5"/>
  <c r="O28" i="4"/>
  <c r="M7" i="5"/>
  <c r="O18" i="3"/>
  <c r="N27" i="3"/>
  <c r="L9" i="5"/>
  <c r="O22" i="2"/>
  <c r="O8" i="5"/>
  <c r="M9" i="5"/>
  <c r="O27" i="3"/>
  <c r="N7" i="5"/>
  <c r="O7" i="5"/>
  <c r="N9" i="5"/>
  <c r="O9" i="5"/>
</calcChain>
</file>

<file path=xl/sharedStrings.xml><?xml version="1.0" encoding="utf-8"?>
<sst xmlns="http://schemas.openxmlformats.org/spreadsheetml/2006/main" count="418" uniqueCount="192">
  <si>
    <t>EGD</t>
  </si>
  <si>
    <t>(i) EGD Assumptions</t>
  </si>
  <si>
    <t>1. Distribution Revenues</t>
  </si>
  <si>
    <t>Customer Additions</t>
  </si>
  <si>
    <t>Escalation factor:</t>
  </si>
  <si>
    <t>1.2.1 GDPIPI</t>
  </si>
  <si>
    <t>1.2.2 Productivity factor</t>
  </si>
  <si>
    <t>1.2.3 Growth factor</t>
  </si>
  <si>
    <t>2. Utility O&amp;M ($M)</t>
  </si>
  <si>
    <t>Customer Care</t>
  </si>
  <si>
    <t>RCAM</t>
  </si>
  <si>
    <t>DSM</t>
  </si>
  <si>
    <t>Pension</t>
  </si>
  <si>
    <t xml:space="preserve">Departmental </t>
  </si>
  <si>
    <t>Total Utility O&amp;M</t>
  </si>
  <si>
    <t xml:space="preserve">3. Capital Additions, ICM threshold, Rate base and Depreciation </t>
  </si>
  <si>
    <t>Capital expenditures ($M)</t>
  </si>
  <si>
    <t>Rate Base ($M)</t>
  </si>
  <si>
    <t>Depreciation (weighted Average)</t>
  </si>
  <si>
    <t>ICM threshold ($M)</t>
  </si>
  <si>
    <t>ICM capital ($M)</t>
  </si>
  <si>
    <t>4. Cost of Capital</t>
  </si>
  <si>
    <t>Cost of long term debt</t>
  </si>
  <si>
    <t>Allowed ROE</t>
  </si>
  <si>
    <t>Taxes</t>
  </si>
  <si>
    <t>Income tax rate</t>
  </si>
  <si>
    <t>Municipal taxes ($M)</t>
  </si>
  <si>
    <t>(ii) EGD Revenues and Earnings - Stand Alone</t>
  </si>
  <si>
    <t>$ Millions</t>
  </si>
  <si>
    <t>Cost of Capital</t>
  </si>
  <si>
    <t xml:space="preserve"> Rate base</t>
  </si>
  <si>
    <t xml:space="preserve"> Required rate of return</t>
  </si>
  <si>
    <t>Cost of Service</t>
  </si>
  <si>
    <t xml:space="preserve"> Gas costs</t>
  </si>
  <si>
    <t xml:space="preserve"> Operation and maintenance</t>
  </si>
  <si>
    <t xml:space="preserve"> Depreciation and amortization</t>
  </si>
  <si>
    <t xml:space="preserve"> Fixed financing costs</t>
  </si>
  <si>
    <t xml:space="preserve"> Municipal and other taxes</t>
  </si>
  <si>
    <t>Other Revenues</t>
  </si>
  <si>
    <t>Income Taxes</t>
  </si>
  <si>
    <t>Total Revenues</t>
  </si>
  <si>
    <t>Utility Earnings</t>
  </si>
  <si>
    <t>(iii) EGD Rate Base</t>
  </si>
  <si>
    <t>Property, Plant, and Equipment</t>
  </si>
  <si>
    <t>Cost or redetermined value</t>
  </si>
  <si>
    <t>Accumulated depreciation</t>
  </si>
  <si>
    <t>Net property, plant, and equipment</t>
  </si>
  <si>
    <t>Affiliate shared Asset</t>
  </si>
  <si>
    <t>Net PP&amp;E in Rate base</t>
  </si>
  <si>
    <t>Allowance for working capital</t>
  </si>
  <si>
    <t>Total Rate base</t>
  </si>
  <si>
    <t>(iv) EGD Capital Structure</t>
  </si>
  <si>
    <t>Long term debt</t>
  </si>
  <si>
    <t>Principal</t>
  </si>
  <si>
    <t>Component</t>
  </si>
  <si>
    <t>Cost Rate</t>
  </si>
  <si>
    <t>Return Component</t>
  </si>
  <si>
    <t>Short term debt</t>
  </si>
  <si>
    <t>Preference Shares</t>
  </si>
  <si>
    <t>Common Equity</t>
  </si>
  <si>
    <t>Required Rate of Return</t>
  </si>
  <si>
    <t>(ii) EGD Revenues and Earnings - Price Cap</t>
  </si>
  <si>
    <t>Revenue Requirement</t>
  </si>
  <si>
    <t>2018 Revenue Requirement</t>
  </si>
  <si>
    <t>Less Rate smoothing</t>
  </si>
  <si>
    <t>Flow-through adjustments</t>
  </si>
  <si>
    <t>2018 Revenue Requirement for escalation</t>
  </si>
  <si>
    <t>Escalation factor</t>
  </si>
  <si>
    <t>GDPIPI LRP Forecast</t>
  </si>
  <si>
    <t>Growth factor</t>
  </si>
  <si>
    <t>Revenue Requirement with escalation</t>
  </si>
  <si>
    <t>Flow through</t>
  </si>
  <si>
    <t>ICM recovery</t>
  </si>
  <si>
    <t>Total flow-through</t>
  </si>
  <si>
    <t xml:space="preserve">Total Revenues </t>
  </si>
  <si>
    <t>(i) EGD ICM threshold calculation</t>
  </si>
  <si>
    <t>ICM THRESHOLD CALCULATION FORMULA</t>
  </si>
  <si>
    <t>ICM Threshold Value = 1 +[ (rb/d) * (g + PCI * (1 + g))] * ((1 + g) * (1 + PCI))^n-1  + 10%</t>
  </si>
  <si>
    <t>Threshold Factor</t>
  </si>
  <si>
    <t>Base year</t>
  </si>
  <si>
    <t>Ratebase</t>
  </si>
  <si>
    <t>Rebasing Depreciation Expense</t>
  </si>
  <si>
    <t>Growth rate</t>
  </si>
  <si>
    <t>PCI</t>
  </si>
  <si>
    <t>N - Number of years since rebasing</t>
  </si>
  <si>
    <t>ICM Multiplier</t>
  </si>
  <si>
    <t>ICM Threshold value</t>
  </si>
  <si>
    <t>(ii) EGD Growth factor</t>
  </si>
  <si>
    <t>2018 Distribution revenues</t>
  </si>
  <si>
    <t>Incremental Revenues from growth</t>
  </si>
  <si>
    <t>Distribution revenues @ 2018 frozen rates</t>
  </si>
  <si>
    <t>Growth factor (%)</t>
  </si>
  <si>
    <t>(i) Amalco Revenues - Price Cap</t>
  </si>
  <si>
    <t>UG</t>
  </si>
  <si>
    <t>Amalco Total Revenues</t>
  </si>
  <si>
    <t>(iii) EGD ICM Revenue Requirement</t>
  </si>
  <si>
    <t>ICM capital</t>
  </si>
  <si>
    <t>Total Revenue Requirement</t>
  </si>
  <si>
    <t>Earnings drag - To fund synergy capital</t>
  </si>
  <si>
    <t>Net synergies - after tax</t>
  </si>
  <si>
    <t>(ii) Amalco Utility Earnings with synergies</t>
  </si>
  <si>
    <t>Utility Earnings - Price cap</t>
  </si>
  <si>
    <t>Utility Earnings before synergies</t>
  </si>
  <si>
    <t>After-tax synergies from attachment 12 in the evidence EB-2017-0306:</t>
  </si>
  <si>
    <t>O&amp;M savings with synergies - after tax</t>
  </si>
  <si>
    <t>Utility Earnings with synergies</t>
  </si>
  <si>
    <t>Earnings sharing</t>
  </si>
  <si>
    <t>Amalco Utility Earnings after synergies</t>
  </si>
  <si>
    <t>UGL</t>
  </si>
  <si>
    <t>(i) UG Assumptions</t>
  </si>
  <si>
    <t xml:space="preserve">2. Utility O&amp;M </t>
  </si>
  <si>
    <t>Departmental &amp; Others</t>
  </si>
  <si>
    <t>(ii) UG Revenues and Earnings- Stand Alone</t>
  </si>
  <si>
    <t>(iii) UG Rate Base</t>
  </si>
  <si>
    <t>Property, Plant, and Equipment:</t>
  </si>
  <si>
    <t>(iv) UG Capital Structure</t>
  </si>
  <si>
    <t>(iii) UG Revenues and Earnings - Price Cap</t>
  </si>
  <si>
    <t>Flow-through adjustments &amp; others</t>
  </si>
  <si>
    <t>Accumulated deferred tax drawdown</t>
  </si>
  <si>
    <t>(i) UG ICM threshold calculation</t>
  </si>
  <si>
    <t>(ii) UG Growth factor</t>
  </si>
  <si>
    <t>(iii) UG ICM Revenue Requirement</t>
  </si>
  <si>
    <t>Incremental revenues from community expansions</t>
  </si>
  <si>
    <t>Revenue Requirement (Net)</t>
  </si>
  <si>
    <t>Table 1</t>
  </si>
  <si>
    <t>reference to FRPO 11a</t>
  </si>
  <si>
    <t>Table 2</t>
  </si>
  <si>
    <t>Table 3</t>
  </si>
  <si>
    <t>Table 4</t>
  </si>
  <si>
    <t>Table 5</t>
  </si>
  <si>
    <t>Table 6</t>
  </si>
  <si>
    <t>Table 7</t>
  </si>
  <si>
    <t>Table 8</t>
  </si>
  <si>
    <t>Table 10</t>
  </si>
  <si>
    <t>Amalco</t>
  </si>
  <si>
    <t>Table 9</t>
  </si>
  <si>
    <t>Table 11</t>
  </si>
  <si>
    <t>Table 12</t>
  </si>
  <si>
    <t>Table 13</t>
  </si>
  <si>
    <t>Table 14</t>
  </si>
  <si>
    <t>Table 15</t>
  </si>
  <si>
    <t>Table 16</t>
  </si>
  <si>
    <t>Table 17</t>
  </si>
  <si>
    <t>Impacts of ICM Proposal for Customers</t>
  </si>
  <si>
    <t>Totals</t>
  </si>
  <si>
    <t>Opening Rate Base</t>
  </si>
  <si>
    <t>New ICM Capital</t>
  </si>
  <si>
    <t>Depreciation</t>
  </si>
  <si>
    <t>Closing Rate Base</t>
  </si>
  <si>
    <t>Tax</t>
  </si>
  <si>
    <t>Total ICM Revenue</t>
  </si>
  <si>
    <t>Threshold Capital</t>
  </si>
  <si>
    <t>Maintenance</t>
  </si>
  <si>
    <t>Attachments</t>
  </si>
  <si>
    <t>ICM Eligible</t>
  </si>
  <si>
    <t>Total</t>
  </si>
  <si>
    <t>Board Presentation Page 22</t>
  </si>
  <si>
    <t>Subtotal Non-ICM</t>
  </si>
  <si>
    <t>Total Capital</t>
  </si>
  <si>
    <t>Subtotal Customers</t>
  </si>
  <si>
    <t>Synergy Investments</t>
  </si>
  <si>
    <t>Opening PP&amp;E</t>
  </si>
  <si>
    <t>addition for the year</t>
  </si>
  <si>
    <t>closing PP&amp;E</t>
  </si>
  <si>
    <t>PP&amp;E in ratebase</t>
  </si>
  <si>
    <t>Depreciation expense</t>
  </si>
  <si>
    <t>AoA addition</t>
  </si>
  <si>
    <t>EGD&amp;UG</t>
  </si>
  <si>
    <t>EGD rate base</t>
  </si>
  <si>
    <t>xcheck</t>
  </si>
  <si>
    <t>UG Rate base</t>
  </si>
  <si>
    <t>Notes</t>
  </si>
  <si>
    <t>Crosscheck</t>
  </si>
  <si>
    <t>No. To reflect average addition in rate base calculation</t>
  </si>
  <si>
    <t>A</t>
  </si>
  <si>
    <t>Yes</t>
  </si>
  <si>
    <t>No. To fix UG tax line</t>
  </si>
  <si>
    <t>Calc</t>
  </si>
  <si>
    <t>calc</t>
  </si>
  <si>
    <t xml:space="preserve">Opening PP&amp;E balance </t>
  </si>
  <si>
    <t>ICM capital - Average addition</t>
  </si>
  <si>
    <t>Note A:</t>
  </si>
  <si>
    <t>Rate Base - average of average</t>
  </si>
  <si>
    <t>Accumulated Depreciation - Average</t>
  </si>
  <si>
    <t>Incremental revenues from community expansion</t>
  </si>
  <si>
    <t>Net ICM revenue - to be collected from ratepayers</t>
  </si>
  <si>
    <t>Acummulated depreciation in ratebase</t>
  </si>
  <si>
    <t>Ending Accummulated depreciation</t>
  </si>
  <si>
    <t>Opening Accumulated depreciation</t>
  </si>
  <si>
    <t>Addition for the year</t>
  </si>
  <si>
    <t>Acummulated Depreciation in ratebase</t>
  </si>
  <si>
    <t>Total Ratebase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</si>
</sst>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(* #,##0_);_(* \(#,##0\);_(* &quot;-&quot;??_);_(@_)"/>
    <numFmt numFmtId="168" formatCode="0.0%"/>
    <numFmt numFmtId="169" formatCode="0."/>
    <numFmt numFmtId="170" formatCode="General_)"/>
    <numFmt numFmtId="171" formatCode="#,##0.0_);\(#,##0.0\)"/>
    <numFmt numFmtId="172" formatCode="0.000%"/>
    <numFmt numFmtId="173" formatCode="_(&quot;$&quot;* #,##0_);_(&quot;$&quot;* \(#,##0\);_(&quot;$&quot;* &quot;-&quot;??_);_(@_)"/>
    <numFmt numFmtId="174" formatCode="0.00_);[Red]\(0.00\)"/>
    <numFmt numFmtId="175" formatCode="0.000000"/>
    <numFmt numFmtId="176" formatCode="&quot;Terminal Value @&quot;\ 0.0\x\ &quot;Yr 2001 BCF&quot;"/>
    <numFmt numFmtId="177" formatCode="0&quot;%&quot;"/>
    <numFmt numFmtId="178" formatCode="&quot;$&quot;#,##0.0_);\(&quot;$&quot;#,##0.0\)"/>
    <numFmt numFmtId="179" formatCode="_ * #,##0_ ;_ * \-#,##0_ ;_ * &quot;-&quot;_ ;_ @_ "/>
    <numFmt numFmtId="180" formatCode="[Blue]General"/>
    <numFmt numFmtId="181" formatCode="#,##0.0\ \ \ _);\(#,##0.0\)"/>
    <numFmt numFmtId="182" formatCode="#,##0.0\ _]"/>
    <numFmt numFmtId="183" formatCode="0_);\(0\)"/>
    <numFmt numFmtId="184" formatCode="0.000_)"/>
    <numFmt numFmtId="185" formatCode=";;\N\A_o"/>
    <numFmt numFmtId="186" formatCode="#,##0.0_);[Red]\(#,##0.0\)"/>
    <numFmt numFmtId="187" formatCode="_(* #,##0.0_);_(* \(#,##0.0\);_(* &quot;-&quot;?_);_(@_)"/>
    <numFmt numFmtId="188" formatCode="#,##0.000_);[Red]\(#,##0.000\)"/>
    <numFmt numFmtId="189" formatCode="_(* #,##0_);_(* \(#,##0\)"/>
    <numFmt numFmtId="190" formatCode="&quot;$&quot;#,##0.0_);[Red]\(&quot;$&quot;#,##0.0\)"/>
    <numFmt numFmtId="191" formatCode="&quot;$&quot;#,##0.000_);[Red]\(&quot;$&quot;#,##0.000\)"/>
    <numFmt numFmtId="192" formatCode="#,##0.0"/>
    <numFmt numFmtId="193" formatCode="mm/dd/yy"/>
    <numFmt numFmtId="194" formatCode="mmm\-d\-yy"/>
    <numFmt numFmtId="195" formatCode="mmm\-d\-yyyy"/>
    <numFmt numFmtId="196" formatCode="mmmm\ yyyy"/>
    <numFmt numFmtId="197" formatCode="#,##0.000"/>
    <numFmt numFmtId="198" formatCode="0.0"/>
    <numFmt numFmtId="199" formatCode="&quot;$&quot;#,##0.0"/>
    <numFmt numFmtId="200" formatCode="&quot;$&quot;#,##0.00"/>
    <numFmt numFmtId="201" formatCode="0.00\x"/>
    <numFmt numFmtId="202" formatCode="#,##0.00&quot;£&quot;_);\(#,##0.00&quot;£&quot;\)"/>
    <numFmt numFmtId="203" formatCode="#,##0.00&quot;£&quot;_);[Red]\(#,##0.00&quot;£&quot;\)"/>
    <numFmt numFmtId="204" formatCode="_ * #,##0_)&quot;£&quot;_ ;_ * \(#,##0\)&quot;£&quot;_ ;_ * &quot;-&quot;_)&quot;£&quot;_ ;_ @_ "/>
    <numFmt numFmtId="205" formatCode="_([$€-2]* #,##0.00_);_([$€-2]* \(#,##0.00\);_([$€-2]* &quot;-&quot;??_)"/>
    <numFmt numFmtId="206" formatCode="0000000"/>
    <numFmt numFmtId="207" formatCode="_-* #,##0.0_-;\-* #,##0.0_-;_-* &quot;-&quot;??_-;_-@_-"/>
    <numFmt numFmtId="208" formatCode="###0_);\(###0\)"/>
    <numFmt numFmtId="209" formatCode="#,##0.000_);\(#,##0.000\)"/>
    <numFmt numFmtId="210" formatCode="_ * #,##0_)_£_ ;_ * \(#,##0\)_£_ ;_ * &quot;-&quot;_)_£_ ;_ @_ "/>
    <numFmt numFmtId="211" formatCode="#,##0.00&quot; $&quot;;\-#,##0.00&quot; $&quot;"/>
    <numFmt numFmtId="212" formatCode=";;;"/>
    <numFmt numFmtId="213" formatCode="#,##0.0000_);\(#,##0.0000\)"/>
    <numFmt numFmtId="214" formatCode="0.0%;[Red]\(0.0%\)"/>
    <numFmt numFmtId="215" formatCode="&quot;$&quot;#,##0"/>
    <numFmt numFmtId="216" formatCode="dd\-mmm\-yy_)"/>
    <numFmt numFmtId="217" formatCode="&quot;$&quot;#,##0\ ;\-&quot;$&quot;#,##0"/>
    <numFmt numFmtId="218" formatCode="@*."/>
    <numFmt numFmtId="219" formatCode="#,##0.00;\(#,##0.00\)"/>
    <numFmt numFmtId="220" formatCode="_ * #,##0.00_)&quot;£&quot;_ ;_ * \(#,##0.00\)&quot;£&quot;_ ;_ * &quot;-&quot;??_)&quot;£&quot;_ ;_ @_ "/>
    <numFmt numFmtId="221" formatCode="mm/dd/yy_)"/>
    <numFmt numFmtId="222" formatCode="_-* #,##0\ _P_t_s_-;\-* #,##0\ _P_t_s_-;_-* &quot;-&quot;\ _P_t_s_-;_-@_-"/>
    <numFmt numFmtId="223" formatCode="#,##0.0000_);[Red]\(#,##0.0000\)"/>
    <numFmt numFmtId="224" formatCode="&quot;Bs.&quot;#,##0.00_);[Red]\(&quot;Bs.&quot;#,##0.00\)"/>
    <numFmt numFmtId="225" formatCode="#,##0.0\x_)_);\(#,##0.0\x\)_);#,##0.0\x_)_);@_%_)"/>
    <numFmt numFmtId="226" formatCode="#,##0.00000;\-#,##0.00000"/>
    <numFmt numFmtId="227" formatCode="#,##0.0\x_);\(#,##0.0\x\);#,##0.0\x_);@_)"/>
    <numFmt numFmtId="228" formatCode="#,##0.0_);[Red]\(#,##0.0\);&quot;N/A &quot;"/>
    <numFmt numFmtId="229" formatCode="0.00_)"/>
    <numFmt numFmtId="230" formatCode="0.0000"/>
    <numFmt numFmtId="231" formatCode="#,##0,_);\(#,##0,\)"/>
    <numFmt numFmtId="232" formatCode="#,##0.0_)\ \ ;[Red]\(#,##0.0\)\ \ "/>
    <numFmt numFmtId="233" formatCode="0.0%;\(0.0%\)"/>
    <numFmt numFmtId="234" formatCode="###,###,##0,;\(###,###,##0,\);0"/>
    <numFmt numFmtId="235" formatCode="0.0%&quot;NetPPE/sales&quot;"/>
    <numFmt numFmtId="236" formatCode="#,##0\ "/>
    <numFmt numFmtId="237" formatCode="0.0%&quot;NWI/Sls&quot;"/>
    <numFmt numFmtId="238" formatCode="\C&quot;$&quot;#,##0.00;[Red]\(&quot;$&quot;#,##0.00\)"/>
    <numFmt numFmtId="239" formatCode="#,##0.00;[Red]\(#,##0.00\)"/>
    <numFmt numFmtId="240" formatCode="_-* #,##0\ &quot;F&quot;_-;\-* #,##0\ &quot;F&quot;_-;_-* &quot;-&quot;\ &quot;F&quot;_-;_-@_-"/>
    <numFmt numFmtId="241" formatCode="0%_);\(0%\)"/>
    <numFmt numFmtId="242" formatCode="#,##0.0\%_);\(#,##0.0\%\);#,##0.0\%_);@_%_)"/>
    <numFmt numFmtId="243" formatCode="0.0%&quot;Sales&quot;"/>
    <numFmt numFmtId="244" formatCode="_-* #,##0\ _F_-;\-* #,##0\ _F_-;_-* &quot;-&quot;\ _F_-;_-@_-"/>
    <numFmt numFmtId="245" formatCode="#,##0_ ;[Red]\(#,##0\)\ "/>
    <numFmt numFmtId="246" formatCode="_-* #,##0.00\ &quot;F&quot;_-;\-* #,##0.00\ &quot;F&quot;_-;_-* &quot;-&quot;??\ &quot;F&quot;_-;_-@_-"/>
    <numFmt numFmtId="247" formatCode="_-* #,##0.00\ _F_-;\-* #,##0.00\ _F_-;_-* &quot;-&quot;??\ _F_-;_-@_-"/>
    <numFmt numFmtId="248" formatCode="0.000"/>
    <numFmt numFmtId="249" formatCode="&quot;TFCF: &quot;#,##0_);[Red]&quot;No! &quot;\(#,##0\)"/>
    <numFmt numFmtId="250" formatCode="_-&quot;£&quot;* #,##0_-;\-&quot;£&quot;* #,##0_-;_-&quot;£&quot;* &quot;-&quot;_-;_-@_-"/>
    <numFmt numFmtId="251" formatCode="_-&quot;£&quot;* #,##0.00_-;\-&quot;£&quot;* #,##0.00_-;_-&quot;£&quot;* &quot;-&quot;??_-;_-@_-"/>
    <numFmt numFmtId="252" formatCode="#,##0.0\ \x"/>
  </numFmts>
  <fonts count="1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MS Sans Serif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  <scheme val="minor"/>
    </font>
    <font>
      <b/>
      <sz val="10"/>
      <color theme="1"/>
      <name val="Arial"/>
      <family val="2"/>
    </font>
    <font>
      <sz val="8"/>
      <name val="Times New Roman"/>
      <family val="1"/>
    </font>
    <font>
      <sz val="10"/>
      <name val="GillSans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name val="LJ Helvetica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indexed="16"/>
      <name val="Times New Roman"/>
      <family val="1"/>
    </font>
    <font>
      <sz val="10"/>
      <color indexed="12"/>
      <name val="Times New Roman"/>
      <family val="1"/>
    </font>
    <font>
      <b/>
      <sz val="10"/>
      <name val="Arial"/>
      <family val="2"/>
    </font>
    <font>
      <sz val="10"/>
      <color rgb="FF9C0006"/>
      <name val="Arial"/>
      <family val="2"/>
    </font>
    <font>
      <sz val="10"/>
      <color indexed="50"/>
      <name val="MS Sans Serif"/>
      <family val="2"/>
    </font>
    <font>
      <sz val="12"/>
      <name val="Arial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color indexed="12"/>
      <name val="Helvetica"/>
      <family val="2"/>
    </font>
    <font>
      <sz val="10"/>
      <name val="Tms Rmn"/>
    </font>
    <font>
      <sz val="12"/>
      <name val="Tms Rmn"/>
    </font>
    <font>
      <b/>
      <sz val="12"/>
      <name val="Times New Roman"/>
      <family val="1"/>
    </font>
    <font>
      <b/>
      <sz val="8"/>
      <color indexed="8"/>
      <name val="Arial"/>
      <family val="2"/>
    </font>
    <font>
      <b/>
      <sz val="10"/>
      <name val="MS Sans Serif"/>
      <family val="2"/>
    </font>
    <font>
      <b/>
      <sz val="10"/>
      <color indexed="9"/>
      <name val="Arial"/>
      <family val="2"/>
    </font>
    <font>
      <sz val="12"/>
      <name val="±¼¸²Ã¼"/>
      <charset val="129"/>
    </font>
    <font>
      <sz val="10"/>
      <color indexed="8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b/>
      <sz val="7"/>
      <name val="GillSans"/>
      <family val="2"/>
    </font>
    <font>
      <sz val="8"/>
      <name val="Arial"/>
      <family val="2"/>
    </font>
    <font>
      <sz val="11"/>
      <name val="Tms Rmn"/>
      <family val="1"/>
    </font>
    <font>
      <b/>
      <sz val="8"/>
      <name val="Times New Roman"/>
      <family val="1"/>
    </font>
    <font>
      <sz val="8"/>
      <color indexed="8"/>
      <name val="Arial MT"/>
    </font>
    <font>
      <sz val="11"/>
      <color indexed="8"/>
      <name val="Calibri"/>
      <family val="2"/>
    </font>
    <font>
      <sz val="11"/>
      <color indexed="8"/>
      <name val="Cambria"/>
      <family val="2"/>
    </font>
    <font>
      <sz val="12"/>
      <color indexed="24"/>
      <name val="Arial"/>
      <family val="2"/>
    </font>
    <font>
      <b/>
      <sz val="11"/>
      <name val="Times New Roman"/>
      <family val="1"/>
    </font>
    <font>
      <sz val="11"/>
      <name val="Book Antiqua"/>
      <family val="1"/>
    </font>
    <font>
      <sz val="8"/>
      <name val="Helv"/>
    </font>
    <font>
      <sz val="8"/>
      <color indexed="18"/>
      <name val="Times New Roman"/>
      <family val="1"/>
    </font>
    <font>
      <sz val="11"/>
      <name val="??"/>
      <family val="3"/>
      <charset val="129"/>
    </font>
    <font>
      <b/>
      <sz val="8"/>
      <name val="Arial"/>
      <family val="2"/>
    </font>
    <font>
      <sz val="8"/>
      <color indexed="12"/>
      <name val="Arial"/>
      <family val="2"/>
    </font>
    <font>
      <b/>
      <sz val="10"/>
      <name val="Times New Roman"/>
      <family val="1"/>
    </font>
    <font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sz val="8"/>
      <color indexed="8"/>
      <name val="Times New Roman"/>
      <family val="1"/>
    </font>
    <font>
      <i/>
      <sz val="9"/>
      <name val="Times New Roman"/>
      <family val="1"/>
    </font>
    <font>
      <i/>
      <sz val="10"/>
      <name val="Times New Roman"/>
      <family val="1"/>
    </font>
    <font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b/>
      <sz val="9"/>
      <name val="Times New Roman"/>
      <family val="1"/>
    </font>
    <font>
      <sz val="22"/>
      <name val="Times New Roman"/>
      <family val="1"/>
    </font>
    <font>
      <sz val="10"/>
      <color indexed="12"/>
      <name val="Arial"/>
      <family val="2"/>
    </font>
    <font>
      <sz val="10"/>
      <name val="MS Serif"/>
      <family val="1"/>
    </font>
    <font>
      <i/>
      <sz val="10"/>
      <color rgb="FF7F7F7F"/>
      <name val="Arial"/>
      <family val="2"/>
    </font>
    <font>
      <sz val="1"/>
      <color indexed="8"/>
      <name val="Courier"/>
      <family val="3"/>
    </font>
    <font>
      <sz val="18"/>
      <name val="Helv"/>
    </font>
    <font>
      <sz val="10"/>
      <name val="Helv"/>
    </font>
    <font>
      <i/>
      <sz val="1"/>
      <color indexed="8"/>
      <name val="Courier"/>
      <family val="3"/>
    </font>
    <font>
      <sz val="12"/>
      <name val="Arial MT"/>
    </font>
    <font>
      <b/>
      <sz val="10"/>
      <name val="Helv"/>
    </font>
    <font>
      <sz val="10"/>
      <color rgb="FF006100"/>
      <name val="Arial"/>
      <family val="2"/>
    </font>
    <font>
      <b/>
      <u/>
      <sz val="11"/>
      <color indexed="37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4"/>
      <name val="Times New Roman"/>
      <family val="1"/>
    </font>
    <font>
      <b/>
      <sz val="15"/>
      <color theme="3"/>
      <name val="Arial"/>
      <family val="2"/>
    </font>
    <font>
      <sz val="18"/>
      <color indexed="24"/>
      <name val="Arial"/>
      <family val="2"/>
    </font>
    <font>
      <b/>
      <sz val="13"/>
      <color theme="3"/>
      <name val="Arial"/>
      <family val="2"/>
    </font>
    <font>
      <sz val="8"/>
      <color indexed="24"/>
      <name val="Arial"/>
      <family val="2"/>
    </font>
    <font>
      <b/>
      <sz val="11"/>
      <color theme="3"/>
      <name val="Arial"/>
      <family val="2"/>
    </font>
    <font>
      <b/>
      <u/>
      <sz val="14"/>
      <name val="Arial Narrow"/>
      <family val="2"/>
    </font>
    <font>
      <sz val="10"/>
      <name val="Courier"/>
      <family val="3"/>
    </font>
    <font>
      <u/>
      <sz val="8"/>
      <color indexed="12"/>
      <name val="Times New Roman"/>
      <family val="1"/>
    </font>
    <font>
      <b/>
      <i/>
      <sz val="8"/>
      <color indexed="63"/>
      <name val="Arial"/>
      <family val="2"/>
    </font>
    <font>
      <sz val="10"/>
      <color rgb="FF3F3F76"/>
      <name val="Arial"/>
      <family val="2"/>
    </font>
    <font>
      <sz val="8"/>
      <color indexed="10"/>
      <name val="Arial"/>
      <family val="2"/>
    </font>
    <font>
      <sz val="8"/>
      <color indexed="39"/>
      <name val="Arial"/>
      <family val="2"/>
    </font>
    <font>
      <sz val="9"/>
      <name val="Arial"/>
      <family val="2"/>
    </font>
    <font>
      <sz val="12"/>
      <color indexed="37"/>
      <name val="swiss"/>
    </font>
    <font>
      <b/>
      <sz val="10"/>
      <color indexed="37"/>
      <name val="Arial MT"/>
    </font>
    <font>
      <i/>
      <sz val="10"/>
      <name val="Arial"/>
      <family val="2"/>
    </font>
    <font>
      <i/>
      <sz val="16"/>
      <name val="Times New Roman"/>
      <family val="1"/>
    </font>
    <font>
      <sz val="10"/>
      <color indexed="14"/>
      <name val="Arial"/>
      <family val="2"/>
    </font>
    <font>
      <sz val="10"/>
      <color rgb="FFFA7D00"/>
      <name val="Arial"/>
      <family val="2"/>
    </font>
    <font>
      <b/>
      <sz val="11"/>
      <color indexed="18"/>
      <name val="Arial"/>
      <family val="2"/>
    </font>
    <font>
      <sz val="12"/>
      <name val="MicroBoston"/>
    </font>
    <font>
      <sz val="14"/>
      <name val="Architecture"/>
      <family val="2"/>
    </font>
    <font>
      <sz val="8"/>
      <name val="Palatino"/>
      <family val="1"/>
    </font>
    <font>
      <sz val="10"/>
      <color rgb="FF9C650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Book Antiqua"/>
      <family val="1"/>
    </font>
    <font>
      <sz val="9"/>
      <color indexed="8"/>
      <name val="Arial"/>
      <family val="2"/>
    </font>
    <font>
      <sz val="11"/>
      <color theme="1"/>
      <name val="Cambria"/>
      <family val="2"/>
    </font>
    <font>
      <sz val="10"/>
      <name val="Comic Sans MS"/>
      <family val="4"/>
    </font>
    <font>
      <sz val="8"/>
      <name val="Helvetica"/>
      <family val="2"/>
    </font>
    <font>
      <b/>
      <sz val="10"/>
      <color rgb="FF3F3F3F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name val="Palatino"/>
      <family val="1"/>
    </font>
    <font>
      <sz val="10"/>
      <color indexed="55"/>
      <name val="Arial"/>
      <family val="2"/>
    </font>
    <font>
      <sz val="10"/>
      <color indexed="10"/>
      <name val="Arial"/>
      <family val="2"/>
    </font>
    <font>
      <sz val="14"/>
      <name val="Haettenschweiler"/>
      <family val="2"/>
    </font>
    <font>
      <sz val="10"/>
      <color indexed="18"/>
      <name val="Times New Roman"/>
      <family val="1"/>
    </font>
    <font>
      <u/>
      <sz val="10"/>
      <name val="GillSans"/>
      <family val="2"/>
    </font>
    <font>
      <sz val="10"/>
      <name val="GillSans Light"/>
      <family val="2"/>
    </font>
    <font>
      <b/>
      <sz val="16"/>
      <name val="Times New Roman"/>
      <family val="1"/>
    </font>
    <font>
      <sz val="8"/>
      <name val="Arial Narrow"/>
      <family val="2"/>
    </font>
    <font>
      <b/>
      <u/>
      <sz val="12"/>
      <name val="Arial Narrow"/>
      <family val="2"/>
    </font>
    <font>
      <sz val="9"/>
      <name val="Helv"/>
    </font>
    <font>
      <b/>
      <u/>
      <sz val="10"/>
      <name val="Arial Narrow"/>
      <family val="2"/>
    </font>
    <font>
      <i/>
      <sz val="12"/>
      <color indexed="12"/>
      <name val="Times New Roman"/>
      <family val="1"/>
    </font>
    <font>
      <b/>
      <sz val="9"/>
      <name val="Arial"/>
      <family val="2"/>
    </font>
    <font>
      <sz val="7"/>
      <name val="Times New Roman"/>
      <family val="1"/>
    </font>
    <font>
      <b/>
      <sz val="12"/>
      <name val="GillSans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b/>
      <sz val="8"/>
      <name val="Tms Rmn"/>
    </font>
    <font>
      <b/>
      <sz val="11"/>
      <name val="GillSans"/>
      <family val="2"/>
    </font>
    <font>
      <u/>
      <sz val="11"/>
      <name val="GillSans"/>
      <family val="2"/>
    </font>
    <font>
      <b/>
      <sz val="7"/>
      <color indexed="12"/>
      <name val="Arial"/>
      <family val="2"/>
    </font>
    <font>
      <sz val="12"/>
      <name val="Times New Roman"/>
      <family val="1"/>
    </font>
    <font>
      <i/>
      <sz val="12"/>
      <color indexed="8"/>
      <name val="Arial MT"/>
    </font>
    <font>
      <sz val="10"/>
      <color rgb="FFFF0000"/>
      <name val="Arial"/>
      <family val="2"/>
    </font>
    <font>
      <sz val="8"/>
      <color indexed="9"/>
      <name val="Arial"/>
      <family val="2"/>
    </font>
    <font>
      <b/>
      <i/>
      <sz val="12"/>
      <name val="Times New Roman"/>
      <family val="1"/>
    </font>
    <font>
      <i/>
      <sz val="14"/>
      <name val="Times New Roman"/>
      <family val="1"/>
    </font>
    <font>
      <i/>
      <sz val="12"/>
      <name val="Times New Roman"/>
      <family val="1"/>
    </font>
    <font>
      <b/>
      <i/>
      <sz val="9"/>
      <name val="Arial"/>
      <family val="2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8"/>
      </patternFill>
    </fill>
    <fill>
      <patternFill patternType="gray0625">
        <fgColor indexed="26"/>
        <b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6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thin">
        <color indexed="4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3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thick">
        <color indexed="17"/>
      </top>
      <bottom/>
      <diagonal/>
    </border>
    <border>
      <left/>
      <right/>
      <top/>
      <bottom style="thick">
        <color indexed="18"/>
      </bottom>
      <diagonal/>
    </border>
    <border>
      <left/>
      <right/>
      <top/>
      <bottom style="thin">
        <color indexed="1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54"/>
      </left>
      <right style="thin">
        <color indexed="54"/>
      </right>
      <top style="thin">
        <color indexed="9"/>
      </top>
      <bottom style="double">
        <color indexed="54"/>
      </bottom>
      <diagonal/>
    </border>
    <border>
      <left style="thin">
        <color indexed="9"/>
      </left>
      <right style="thin">
        <color indexed="50"/>
      </right>
      <top style="thin">
        <color indexed="9"/>
      </top>
      <bottom style="thin">
        <color indexed="50"/>
      </bottom>
      <diagonal/>
    </border>
    <border>
      <left/>
      <right/>
      <top style="medium">
        <color indexed="8"/>
      </top>
      <bottom/>
      <diagonal/>
    </border>
    <border>
      <left style="thin">
        <color indexed="9"/>
      </left>
      <right style="double">
        <color indexed="54"/>
      </right>
      <top style="thin">
        <color indexed="9"/>
      </top>
      <bottom style="thin">
        <color indexed="5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45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76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70" fontId="5" fillId="0" borderId="0"/>
    <xf numFmtId="171" fontId="5" fillId="0" borderId="0"/>
    <xf numFmtId="0" fontId="9" fillId="0" borderId="0"/>
    <xf numFmtId="0" fontId="9" fillId="0" borderId="0"/>
    <xf numFmtId="170" fontId="5" fillId="0" borderId="0"/>
    <xf numFmtId="17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3" fillId="0" borderId="0"/>
    <xf numFmtId="174" fontId="9" fillId="0" borderId="0">
      <alignment horizontal="right"/>
    </xf>
    <xf numFmtId="38" fontId="14" fillId="0" borderId="0"/>
    <xf numFmtId="0" fontId="14" fillId="0" borderId="0"/>
    <xf numFmtId="0" fontId="9" fillId="0" borderId="0" applyNumberFormat="0" applyFill="0" applyBorder="0" applyAlignment="0" applyProtection="0"/>
    <xf numFmtId="175" fontId="9" fillId="0" borderId="0">
      <alignment horizontal="left" wrapText="1"/>
    </xf>
    <xf numFmtId="175" fontId="9" fillId="0" borderId="0">
      <alignment horizontal="left" wrapText="1"/>
    </xf>
    <xf numFmtId="0" fontId="9" fillId="0" borderId="0" applyNumberFormat="0" applyFill="0" applyBorder="0" applyAlignment="0" applyProtection="0"/>
    <xf numFmtId="175" fontId="9" fillId="0" borderId="0">
      <alignment horizontal="left" wrapText="1"/>
    </xf>
    <xf numFmtId="175" fontId="9" fillId="0" borderId="0">
      <alignment horizontal="left" wrapText="1"/>
    </xf>
    <xf numFmtId="0" fontId="9" fillId="0" borderId="0" applyNumberFormat="0" applyFill="0" applyBorder="0" applyAlignment="0" applyProtection="0"/>
    <xf numFmtId="0" fontId="14" fillId="0" borderId="0"/>
    <xf numFmtId="175" fontId="9" fillId="0" borderId="0">
      <alignment horizontal="left" wrapText="1"/>
    </xf>
    <xf numFmtId="0" fontId="9" fillId="0" borderId="0" applyNumberFormat="0" applyFill="0" applyBorder="0" applyAlignment="0" applyProtection="0"/>
    <xf numFmtId="38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37" fontId="16" fillId="0" borderId="0"/>
    <xf numFmtId="0" fontId="14" fillId="0" borderId="0"/>
    <xf numFmtId="171" fontId="16" fillId="0" borderId="0"/>
    <xf numFmtId="39" fontId="16" fillId="0" borderId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178" fontId="19" fillId="0" borderId="0">
      <alignment horizontal="right"/>
      <protection locked="0"/>
    </xf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179" fontId="9" fillId="35" borderId="20">
      <alignment horizontal="center" vertical="center"/>
    </xf>
    <xf numFmtId="180" fontId="9" fillId="35" borderId="20">
      <alignment horizontal="center" vertical="center"/>
    </xf>
    <xf numFmtId="0" fontId="20" fillId="0" borderId="17"/>
    <xf numFmtId="181" fontId="12" fillId="0" borderId="0"/>
    <xf numFmtId="0" fontId="12" fillId="0" borderId="0" applyFont="0" applyFill="0" applyBorder="0" applyAlignment="0" applyProtection="0">
      <alignment horizontal="right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2" fontId="14" fillId="0" borderId="18" applyBorder="0"/>
    <xf numFmtId="170" fontId="21" fillId="0" borderId="0" applyNumberFormat="0">
      <alignment horizontal="center"/>
    </xf>
    <xf numFmtId="183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4" fontId="14" fillId="0" borderId="0"/>
    <xf numFmtId="0" fontId="22" fillId="3" borderId="0" applyNumberFormat="0" applyBorder="0" applyAlignment="0" applyProtection="0"/>
    <xf numFmtId="0" fontId="23" fillId="36" borderId="0"/>
    <xf numFmtId="43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37" borderId="0" applyNumberFormat="0" applyFill="0" applyBorder="0" applyAlignment="0" applyProtection="0">
      <protection locked="0"/>
    </xf>
    <xf numFmtId="14" fontId="27" fillId="0" borderId="0" applyNumberFormat="0" applyFill="0" applyBorder="0" applyAlignment="0" applyProtection="0">
      <alignment horizontal="center"/>
    </xf>
    <xf numFmtId="170" fontId="28" fillId="0" borderId="0" applyNumberFormat="0">
      <alignment horizontal="center"/>
    </xf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1" fillId="37" borderId="17" applyNumberFormat="0" applyFill="0" applyBorder="0" applyAlignment="0" applyProtection="0">
      <protection locked="0"/>
    </xf>
    <xf numFmtId="5" fontId="32" fillId="0" borderId="13" applyAlignment="0" applyProtection="0"/>
    <xf numFmtId="5" fontId="32" fillId="0" borderId="13" applyAlignment="0" applyProtection="0"/>
    <xf numFmtId="0" fontId="12" fillId="0" borderId="10" applyNumberFormat="0" applyFont="0" applyFill="0" applyAlignment="0" applyProtection="0"/>
    <xf numFmtId="0" fontId="12" fillId="0" borderId="21" applyNumberFormat="0" applyFont="0" applyFill="0" applyAlignment="0" applyProtection="0"/>
    <xf numFmtId="0" fontId="33" fillId="38" borderId="22" applyNumberFormat="0" applyFont="0" applyFill="0" applyAlignment="0" applyProtection="0">
      <alignment horizontal="left"/>
    </xf>
    <xf numFmtId="176" fontId="15" fillId="0" borderId="0" applyFont="0" applyFill="0" applyBorder="0" applyAlignment="0" applyProtection="0"/>
    <xf numFmtId="0" fontId="34" fillId="0" borderId="0"/>
    <xf numFmtId="0" fontId="35" fillId="0" borderId="0" applyFill="0" applyBorder="0" applyAlignment="0"/>
    <xf numFmtId="0" fontId="9" fillId="0" borderId="0" applyFill="0" applyBorder="0" applyAlignment="0"/>
    <xf numFmtId="0" fontId="9" fillId="0" borderId="0" applyFill="0" applyBorder="0" applyAlignment="0"/>
    <xf numFmtId="0" fontId="9" fillId="0" borderId="0" applyFill="0" applyBorder="0" applyAlignment="0"/>
    <xf numFmtId="0" fontId="9" fillId="0" borderId="0" applyFill="0" applyBorder="0" applyAlignment="0"/>
    <xf numFmtId="0" fontId="35" fillId="0" borderId="0" applyFill="0" applyBorder="0" applyAlignment="0"/>
    <xf numFmtId="0" fontId="9" fillId="0" borderId="0" applyFill="0" applyBorder="0" applyAlignment="0"/>
    <xf numFmtId="0" fontId="9" fillId="0" borderId="0" applyFill="0" applyBorder="0" applyAlignment="0"/>
    <xf numFmtId="0" fontId="36" fillId="6" borderId="4" applyNumberFormat="0" applyAlignment="0" applyProtection="0"/>
    <xf numFmtId="185" fontId="14" fillId="0" borderId="0"/>
    <xf numFmtId="170" fontId="12" fillId="39" borderId="0" applyNumberFormat="0" applyFont="0" applyBorder="0" applyAlignment="0"/>
    <xf numFmtId="0" fontId="37" fillId="7" borderId="7" applyNumberFormat="0" applyAlignment="0" applyProtection="0"/>
    <xf numFmtId="0" fontId="38" fillId="0" borderId="23" applyNumberFormat="0" applyFill="0" applyBorder="0" applyProtection="0">
      <alignment horizontal="left" vertical="center"/>
    </xf>
    <xf numFmtId="0" fontId="38" fillId="0" borderId="23" applyNumberFormat="0" applyFill="0" applyBorder="0" applyProtection="0">
      <alignment horizontal="left" vertical="center"/>
    </xf>
    <xf numFmtId="0" fontId="38" fillId="0" borderId="23" applyNumberFormat="0" applyFill="0" applyBorder="0" applyProtection="0">
      <alignment horizontal="right" vertical="center"/>
    </xf>
    <xf numFmtId="0" fontId="38" fillId="0" borderId="23" applyNumberFormat="0" applyFill="0" applyBorder="0" applyProtection="0">
      <alignment horizontal="right" vertical="center"/>
    </xf>
    <xf numFmtId="0" fontId="39" fillId="0" borderId="0" applyBorder="0"/>
    <xf numFmtId="184" fontId="40" fillId="0" borderId="0"/>
    <xf numFmtId="184" fontId="40" fillId="0" borderId="0"/>
    <xf numFmtId="184" fontId="40" fillId="0" borderId="0"/>
    <xf numFmtId="184" fontId="40" fillId="0" borderId="0"/>
    <xf numFmtId="184" fontId="40" fillId="0" borderId="0"/>
    <xf numFmtId="184" fontId="40" fillId="0" borderId="0"/>
    <xf numFmtId="184" fontId="40" fillId="0" borderId="0"/>
    <xf numFmtId="184" fontId="40" fillId="0" borderId="0"/>
    <xf numFmtId="186" fontId="14" fillId="0" borderId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40" fontId="9" fillId="0" borderId="0" applyBorder="0" applyProtection="0"/>
    <xf numFmtId="188" fontId="41" fillId="0" borderId="0" applyFont="0" applyFill="0" applyBorder="0" applyAlignment="0" applyProtection="0">
      <alignment horizontal="center"/>
    </xf>
    <xf numFmtId="37" fontId="3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9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86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45" fillId="0" borderId="0" applyFont="0" applyFill="0" applyBorder="0" applyAlignment="0" applyProtection="0"/>
    <xf numFmtId="170" fontId="46" fillId="0" borderId="0" applyFill="0" applyBorder="0">
      <alignment horizontal="left"/>
    </xf>
    <xf numFmtId="0" fontId="9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9" fillId="0" borderId="0" applyFont="0" applyFill="0" applyBorder="0" applyAlignment="0" applyProtection="0"/>
    <xf numFmtId="190" fontId="39" fillId="0" borderId="0" applyFont="0" applyFill="0" applyBorder="0" applyAlignment="0"/>
    <xf numFmtId="7" fontId="9" fillId="0" borderId="0" applyFont="0" applyFill="0" applyBorder="0" applyAlignment="0"/>
    <xf numFmtId="191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5" fontId="4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5" fontId="4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7" fillId="0" borderId="0" applyFont="0" applyFill="0" applyBorder="0" applyAlignment="0" applyProtection="0"/>
    <xf numFmtId="192" fontId="14" fillId="0" borderId="0" applyFont="0" applyFill="0" applyBorder="0" applyProtection="0">
      <alignment horizontal="right"/>
    </xf>
    <xf numFmtId="8" fontId="15" fillId="0" borderId="0" applyFont="0" applyFill="0" applyBorder="0" applyAlignment="0" applyProtection="0"/>
    <xf numFmtId="41" fontId="9" fillId="0" borderId="0"/>
    <xf numFmtId="41" fontId="9" fillId="0" borderId="0"/>
    <xf numFmtId="7" fontId="48" fillId="0" borderId="0" applyFill="0" applyBorder="0">
      <alignment horizontal="right"/>
    </xf>
    <xf numFmtId="193" fontId="9" fillId="40" borderId="17">
      <alignment horizontal="right"/>
    </xf>
    <xf numFmtId="171" fontId="14" fillId="0" borderId="0" applyFont="0" applyFill="0" applyBorder="0" applyAlignment="0" applyProtection="0"/>
    <xf numFmtId="8" fontId="49" fillId="0" borderId="0" applyNumberFormat="0" applyFill="0" applyBorder="0" applyAlignment="0"/>
    <xf numFmtId="6" fontId="50" fillId="0" borderId="0">
      <protection locked="0"/>
    </xf>
    <xf numFmtId="15" fontId="51" fillId="0" borderId="0" applyFill="0" applyBorder="0" applyAlignment="0"/>
    <xf numFmtId="194" fontId="51" fillId="41" borderId="0" applyFont="0" applyFill="0" applyBorder="0" applyAlignment="0" applyProtection="0"/>
    <xf numFmtId="195" fontId="52" fillId="41" borderId="24" applyFont="0" applyFill="0" applyBorder="0" applyAlignment="0" applyProtection="0"/>
    <xf numFmtId="194" fontId="39" fillId="41" borderId="0" applyFont="0" applyFill="0" applyBorder="0" applyAlignment="0" applyProtection="0"/>
    <xf numFmtId="17" fontId="51" fillId="0" borderId="0" applyFill="0" applyBorder="0">
      <alignment horizontal="right"/>
    </xf>
    <xf numFmtId="17" fontId="9" fillId="0" borderId="0" applyFont="0" applyFill="0" applyBorder="0" applyAlignment="0" applyProtection="0"/>
    <xf numFmtId="14" fontId="35" fillId="0" borderId="0" applyFill="0" applyBorder="0" applyAlignment="0"/>
    <xf numFmtId="0" fontId="12" fillId="0" borderId="0" applyFont="0" applyFill="0" applyBorder="0" applyProtection="0">
      <alignment horizontal="right"/>
    </xf>
    <xf numFmtId="196" fontId="30" fillId="0" borderId="0">
      <alignment horizontal="left"/>
    </xf>
    <xf numFmtId="164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97" fontId="14" fillId="0" borderId="0"/>
    <xf numFmtId="7" fontId="39" fillId="0" borderId="0"/>
    <xf numFmtId="198" fontId="14" fillId="42" borderId="0">
      <alignment vertical="center"/>
    </xf>
    <xf numFmtId="198" fontId="53" fillId="0" borderId="0">
      <alignment vertical="center"/>
    </xf>
    <xf numFmtId="198" fontId="53" fillId="0" borderId="0">
      <alignment vertical="center"/>
    </xf>
    <xf numFmtId="198" fontId="54" fillId="37" borderId="25" applyNumberFormat="0" applyAlignment="0">
      <alignment horizontal="center" vertical="center"/>
    </xf>
    <xf numFmtId="198" fontId="55" fillId="37" borderId="0">
      <alignment horizontal="center" vertical="center"/>
    </xf>
    <xf numFmtId="14" fontId="14" fillId="37" borderId="0">
      <alignment horizontal="center" vertical="center"/>
    </xf>
    <xf numFmtId="17" fontId="56" fillId="37" borderId="0">
      <alignment horizontal="center" vertical="center"/>
    </xf>
    <xf numFmtId="198" fontId="57" fillId="0" borderId="0">
      <alignment vertical="center"/>
    </xf>
    <xf numFmtId="198" fontId="58" fillId="37" borderId="0">
      <alignment vertical="center"/>
    </xf>
    <xf numFmtId="198" fontId="59" fillId="37" borderId="0">
      <alignment vertical="center"/>
    </xf>
    <xf numFmtId="168" fontId="60" fillId="37" borderId="26">
      <alignment vertical="center"/>
    </xf>
    <xf numFmtId="0" fontId="14" fillId="37" borderId="26">
      <alignment vertical="center"/>
    </xf>
    <xf numFmtId="37" fontId="56" fillId="37" borderId="0">
      <alignment horizontal="left" vertical="center"/>
    </xf>
    <xf numFmtId="198" fontId="56" fillId="37" borderId="0">
      <alignment horizontal="center" vertical="center"/>
    </xf>
    <xf numFmtId="199" fontId="61" fillId="37" borderId="0">
      <alignment horizontal="right" vertical="center"/>
    </xf>
    <xf numFmtId="200" fontId="61" fillId="37" borderId="0">
      <alignment horizontal="right" vertical="center"/>
    </xf>
    <xf numFmtId="168" fontId="62" fillId="37" borderId="0">
      <alignment horizontal="right" vertical="center"/>
    </xf>
    <xf numFmtId="168" fontId="62" fillId="37" borderId="13">
      <alignment horizontal="right" vertical="center"/>
    </xf>
    <xf numFmtId="168" fontId="62" fillId="37" borderId="13">
      <alignment horizontal="right" vertical="center"/>
    </xf>
    <xf numFmtId="200" fontId="63" fillId="37" borderId="26">
      <alignment horizontal="right" vertical="center"/>
    </xf>
    <xf numFmtId="192" fontId="61" fillId="37" borderId="0">
      <alignment horizontal="right" vertical="center"/>
    </xf>
    <xf numFmtId="4" fontId="61" fillId="37" borderId="0">
      <alignment horizontal="right" vertical="center"/>
    </xf>
    <xf numFmtId="192" fontId="56" fillId="37" borderId="23">
      <alignment horizontal="right" vertical="center"/>
    </xf>
    <xf numFmtId="192" fontId="56" fillId="37" borderId="23">
      <alignment horizontal="right" vertical="center"/>
    </xf>
    <xf numFmtId="200" fontId="56" fillId="37" borderId="23">
      <alignment horizontal="right" vertical="center"/>
    </xf>
    <xf numFmtId="200" fontId="56" fillId="37" borderId="23">
      <alignment horizontal="right" vertical="center"/>
    </xf>
    <xf numFmtId="200" fontId="63" fillId="37" borderId="0">
      <alignment horizontal="right" vertical="center"/>
    </xf>
    <xf numFmtId="201" fontId="56" fillId="37" borderId="0">
      <alignment horizontal="right" vertical="center"/>
    </xf>
    <xf numFmtId="198" fontId="14" fillId="0" borderId="0">
      <alignment vertical="center"/>
    </xf>
    <xf numFmtId="198" fontId="57" fillId="37" borderId="23" applyBorder="0">
      <alignment horizontal="left" vertical="center"/>
    </xf>
    <xf numFmtId="198" fontId="57" fillId="37" borderId="23" applyBorder="0">
      <alignment horizontal="left" vertical="center"/>
    </xf>
    <xf numFmtId="198" fontId="64" fillId="37" borderId="0">
      <alignment horizontal="left" vertical="center"/>
    </xf>
    <xf numFmtId="198" fontId="57" fillId="37" borderId="27">
      <alignment horizontal="left"/>
    </xf>
    <xf numFmtId="198" fontId="12" fillId="37" borderId="28">
      <alignment vertical="center"/>
    </xf>
    <xf numFmtId="198" fontId="12" fillId="37" borderId="29">
      <alignment vertical="center"/>
    </xf>
    <xf numFmtId="198" fontId="12" fillId="37" borderId="13">
      <alignment vertical="center"/>
    </xf>
    <xf numFmtId="198" fontId="12" fillId="37" borderId="13">
      <alignment vertical="center"/>
    </xf>
    <xf numFmtId="198" fontId="53" fillId="37" borderId="30">
      <alignment horizontal="center" vertical="center"/>
    </xf>
    <xf numFmtId="198" fontId="53" fillId="0" borderId="0">
      <alignment vertical="center"/>
    </xf>
    <xf numFmtId="198" fontId="53" fillId="0" borderId="0">
      <alignment vertical="center"/>
    </xf>
    <xf numFmtId="198" fontId="53" fillId="0" borderId="0">
      <alignment vertical="center"/>
    </xf>
    <xf numFmtId="0" fontId="65" fillId="0" borderId="0" applyFill="0" applyBorder="0" applyAlignment="0"/>
    <xf numFmtId="0" fontId="9" fillId="0" borderId="0" applyFill="0" applyBorder="0" applyAlignment="0"/>
    <xf numFmtId="0" fontId="65" fillId="0" borderId="0" applyFill="0" applyBorder="0" applyAlignment="0"/>
    <xf numFmtId="0" fontId="9" fillId="0" borderId="0" applyFill="0" applyBorder="0" applyAlignment="0"/>
    <xf numFmtId="0" fontId="9" fillId="0" borderId="0" applyFill="0" applyBorder="0" applyAlignment="0"/>
    <xf numFmtId="188" fontId="9" fillId="43" borderId="0"/>
    <xf numFmtId="186" fontId="9" fillId="43" borderId="0"/>
    <xf numFmtId="202" fontId="9" fillId="43" borderId="0"/>
    <xf numFmtId="203" fontId="9" fillId="0" borderId="0"/>
    <xf numFmtId="0" fontId="9" fillId="43" borderId="0"/>
    <xf numFmtId="204" fontId="9" fillId="0" borderId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1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9" fillId="0" borderId="0"/>
    <xf numFmtId="0" fontId="68" fillId="0" borderId="0">
      <protection locked="0"/>
    </xf>
    <xf numFmtId="0" fontId="68" fillId="0" borderId="0">
      <protection locked="0"/>
    </xf>
    <xf numFmtId="0" fontId="48" fillId="0" borderId="0"/>
    <xf numFmtId="0" fontId="12" fillId="0" borderId="0" applyProtection="0"/>
    <xf numFmtId="0" fontId="68" fillId="0" borderId="0">
      <protection locked="0"/>
    </xf>
    <xf numFmtId="0" fontId="68" fillId="0" borderId="0">
      <protection locked="0"/>
    </xf>
    <xf numFmtId="0" fontId="70" fillId="0" borderId="0"/>
    <xf numFmtId="0" fontId="21" fillId="0" borderId="0" applyProtection="0"/>
    <xf numFmtId="0" fontId="71" fillId="0" borderId="0">
      <protection locked="0"/>
    </xf>
    <xf numFmtId="0" fontId="68" fillId="0" borderId="0">
      <protection locked="0"/>
    </xf>
    <xf numFmtId="0" fontId="68" fillId="0" borderId="0">
      <protection locked="0"/>
    </xf>
    <xf numFmtId="37" fontId="72" fillId="0" borderId="0"/>
    <xf numFmtId="206" fontId="73" fillId="0" borderId="0" applyFont="0" applyFill="0" applyBorder="0" applyProtection="0">
      <alignment horizontal="center"/>
    </xf>
    <xf numFmtId="207" fontId="9" fillId="0" borderId="0">
      <protection locked="0"/>
    </xf>
    <xf numFmtId="208" fontId="9" fillId="41" borderId="0" applyFont="0" applyFill="0" applyBorder="0" applyAlignment="0"/>
    <xf numFmtId="2" fontId="45" fillId="0" borderId="0" applyFont="0" applyFill="0" applyBorder="0" applyAlignment="0" applyProtection="0"/>
    <xf numFmtId="2" fontId="9" fillId="0" borderId="0" applyFont="0" applyFill="0" applyBorder="0" applyAlignment="0" applyProtection="0"/>
    <xf numFmtId="209" fontId="48" fillId="0" borderId="0" applyFill="0" applyBorder="0">
      <alignment horizontal="right"/>
    </xf>
    <xf numFmtId="186" fontId="39" fillId="37" borderId="22" applyFont="0" applyBorder="0" applyAlignment="0" applyProtection="0">
      <alignment vertical="top"/>
    </xf>
    <xf numFmtId="0" fontId="47" fillId="0" borderId="0" applyFont="0" applyFill="0" applyBorder="0" applyAlignment="0" applyProtection="0"/>
    <xf numFmtId="0" fontId="9" fillId="0" borderId="0" applyFont="0" applyFill="0" applyBorder="0" applyAlignment="0" applyProtection="0">
      <alignment horizontal="center"/>
    </xf>
    <xf numFmtId="186" fontId="9" fillId="0" borderId="31"/>
    <xf numFmtId="210" fontId="9" fillId="40" borderId="17">
      <alignment horizontal="right"/>
    </xf>
    <xf numFmtId="0" fontId="74" fillId="2" borderId="0" applyNumberFormat="0" applyBorder="0" applyAlignment="0" applyProtection="0"/>
    <xf numFmtId="38" fontId="39" fillId="40" borderId="0" applyNumberFormat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>
      <alignment horizontal="left"/>
    </xf>
    <xf numFmtId="0" fontId="77" fillId="0" borderId="32" applyNumberFormat="0" applyAlignment="0" applyProtection="0">
      <alignment horizontal="left" vertical="center"/>
    </xf>
    <xf numFmtId="0" fontId="77" fillId="0" borderId="33">
      <alignment horizontal="left" vertical="center"/>
    </xf>
    <xf numFmtId="0" fontId="77" fillId="0" borderId="33">
      <alignment horizontal="left" vertical="center"/>
    </xf>
    <xf numFmtId="0" fontId="77" fillId="0" borderId="33">
      <alignment horizontal="left" vertical="center"/>
    </xf>
    <xf numFmtId="0" fontId="78" fillId="0" borderId="0">
      <alignment horizontal="centerContinuous"/>
    </xf>
    <xf numFmtId="0" fontId="79" fillId="0" borderId="1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2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3" applyNumberFormat="0" applyFill="0" applyAlignment="0" applyProtection="0"/>
    <xf numFmtId="0" fontId="83" fillId="0" borderId="0" applyNumberFormat="0" applyFill="0" applyBorder="0" applyAlignment="0" applyProtection="0"/>
    <xf numFmtId="211" fontId="9" fillId="0" borderId="0">
      <protection locked="0"/>
    </xf>
    <xf numFmtId="211" fontId="9" fillId="0" borderId="0">
      <protection locked="0"/>
    </xf>
    <xf numFmtId="0" fontId="84" fillId="0" borderId="0"/>
    <xf numFmtId="212" fontId="85" fillId="0" borderId="0"/>
    <xf numFmtId="0" fontId="65" fillId="0" borderId="34" applyNumberFormat="0" applyFill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0" fontId="87" fillId="40" borderId="35">
      <alignment horizontal="center" wrapText="1"/>
    </xf>
    <xf numFmtId="0" fontId="87" fillId="40" borderId="35">
      <alignment horizontal="center" wrapText="1"/>
    </xf>
    <xf numFmtId="39" fontId="51" fillId="36" borderId="36">
      <alignment horizontal="right" vertical="center"/>
      <protection locked="0"/>
    </xf>
    <xf numFmtId="39" fontId="51" fillId="36" borderId="36">
      <alignment horizontal="right" vertical="center"/>
      <protection locked="0"/>
    </xf>
    <xf numFmtId="213" fontId="51" fillId="36" borderId="36">
      <alignment horizontal="right" vertical="center"/>
      <protection locked="0"/>
    </xf>
    <xf numFmtId="213" fontId="51" fillId="36" borderId="36">
      <alignment horizontal="right" vertical="center"/>
      <protection locked="0"/>
    </xf>
    <xf numFmtId="10" fontId="39" fillId="41" borderId="22" applyNumberFormat="0" applyBorder="0" applyAlignment="0" applyProtection="0"/>
    <xf numFmtId="0" fontId="88" fillId="5" borderId="4" applyNumberFormat="0" applyAlignment="0" applyProtection="0"/>
    <xf numFmtId="0" fontId="89" fillId="40" borderId="13" applyNumberFormat="0" applyBorder="0" applyAlignment="0">
      <protection locked="0"/>
    </xf>
    <xf numFmtId="0" fontId="89" fillId="40" borderId="13" applyNumberFormat="0" applyBorder="0" applyAlignment="0">
      <protection locked="0"/>
    </xf>
    <xf numFmtId="8" fontId="39" fillId="41" borderId="0" applyFont="0" applyBorder="0" applyAlignment="0" applyProtection="0">
      <protection locked="0"/>
    </xf>
    <xf numFmtId="195" fontId="39" fillId="41" borderId="0" applyFont="0" applyBorder="0" applyAlignment="0" applyProtection="0">
      <protection locked="0"/>
    </xf>
    <xf numFmtId="208" fontId="39" fillId="41" borderId="0" applyFont="0" applyBorder="0" applyAlignment="0">
      <protection locked="0"/>
    </xf>
    <xf numFmtId="38" fontId="39" fillId="41" borderId="0">
      <protection locked="0"/>
    </xf>
    <xf numFmtId="214" fontId="39" fillId="41" borderId="0" applyFont="0" applyBorder="0" applyAlignment="0">
      <protection locked="0"/>
    </xf>
    <xf numFmtId="10" fontId="39" fillId="41" borderId="0">
      <protection locked="0"/>
    </xf>
    <xf numFmtId="186" fontId="90" fillId="41" borderId="0" applyNumberFormat="0" applyBorder="0" applyAlignment="0">
      <protection locked="0"/>
    </xf>
    <xf numFmtId="37" fontId="91" fillId="40" borderId="0" applyNumberFormat="0" applyFont="0" applyBorder="0" applyAlignment="0">
      <protection locked="0"/>
    </xf>
    <xf numFmtId="215" fontId="39" fillId="41" borderId="0" applyNumberFormat="0" applyFont="0" applyBorder="0" applyAlignment="0" applyProtection="0">
      <alignment horizontal="center"/>
      <protection locked="0"/>
    </xf>
    <xf numFmtId="168" fontId="39" fillId="41" borderId="23" applyNumberFormat="0" applyFont="0" applyAlignment="0" applyProtection="0">
      <alignment horizontal="center"/>
      <protection locked="0"/>
    </xf>
    <xf numFmtId="168" fontId="39" fillId="41" borderId="23" applyNumberFormat="0" applyFont="0" applyAlignment="0" applyProtection="0">
      <alignment horizontal="center"/>
      <protection locked="0"/>
    </xf>
    <xf numFmtId="216" fontId="92" fillId="44" borderId="37" applyNumberFormat="0" applyBorder="0" applyAlignment="0" applyProtection="0"/>
    <xf numFmtId="0" fontId="93" fillId="45" borderId="0" applyNumberFormat="0"/>
    <xf numFmtId="0" fontId="87" fillId="40" borderId="38">
      <alignment horizontal="center" vertical="center"/>
    </xf>
    <xf numFmtId="0" fontId="87" fillId="40" borderId="38">
      <alignment horizontal="center" vertical="center"/>
    </xf>
    <xf numFmtId="217" fontId="14" fillId="0" borderId="0"/>
    <xf numFmtId="218" fontId="24" fillId="0" borderId="0">
      <alignment horizontal="justify"/>
    </xf>
    <xf numFmtId="37" fontId="77" fillId="0" borderId="23" applyNumberFormat="0">
      <alignment horizontal="centerContinuous" wrapText="1"/>
    </xf>
    <xf numFmtId="37" fontId="77" fillId="0" borderId="23" applyNumberFormat="0">
      <alignment horizontal="centerContinuous" wrapText="1"/>
    </xf>
    <xf numFmtId="219" fontId="94" fillId="0" borderId="0" applyFill="0" applyAlignment="0"/>
    <xf numFmtId="219" fontId="94" fillId="0" borderId="0" applyFill="0" applyAlignment="0">
      <alignment horizontal="left"/>
    </xf>
    <xf numFmtId="0" fontId="95" fillId="0" borderId="0"/>
    <xf numFmtId="0" fontId="96" fillId="0" borderId="0" applyFill="0" applyBorder="0" applyAlignment="0"/>
    <xf numFmtId="0" fontId="9" fillId="0" borderId="0" applyFill="0" applyBorder="0" applyAlignment="0"/>
    <xf numFmtId="0" fontId="96" fillId="0" borderId="0" applyFill="0" applyBorder="0" applyAlignment="0"/>
    <xf numFmtId="0" fontId="9" fillId="0" borderId="0" applyFill="0" applyBorder="0" applyAlignment="0"/>
    <xf numFmtId="0" fontId="9" fillId="0" borderId="0" applyFill="0" applyBorder="0" applyAlignment="0"/>
    <xf numFmtId="0" fontId="97" fillId="0" borderId="6" applyNumberFormat="0" applyFill="0" applyAlignment="0" applyProtection="0"/>
    <xf numFmtId="220" fontId="9" fillId="0" borderId="0">
      <alignment horizontal="right"/>
    </xf>
    <xf numFmtId="0" fontId="9" fillId="43" borderId="0">
      <alignment horizontal="right"/>
    </xf>
    <xf numFmtId="221" fontId="98" fillId="40" borderId="39" applyNumberFormat="0"/>
    <xf numFmtId="0" fontId="99" fillId="0" borderId="0">
      <alignment horizontal="center" vertical="center"/>
    </xf>
    <xf numFmtId="197" fontId="14" fillId="0" borderId="0"/>
    <xf numFmtId="222" fontId="9" fillId="0" borderId="0" applyFont="0" applyFill="0" applyBorder="0" applyAlignment="0" applyProtection="0"/>
    <xf numFmtId="4" fontId="15" fillId="0" borderId="0" applyFont="0" applyFill="0" applyBorder="0" applyAlignment="0" applyProtection="0"/>
    <xf numFmtId="223" fontId="9" fillId="43" borderId="17">
      <alignment horizontal="right"/>
    </xf>
    <xf numFmtId="42" fontId="9" fillId="0" borderId="0" applyFont="0" applyFill="0" applyBorder="0" applyAlignment="0" applyProtection="0"/>
    <xf numFmtId="224" fontId="15" fillId="0" borderId="0" applyFont="0" applyFill="0" applyBorder="0" applyAlignment="0" applyProtection="0"/>
    <xf numFmtId="0" fontId="100" fillId="0" borderId="0"/>
    <xf numFmtId="225" fontId="101" fillId="0" borderId="0" applyFont="0" applyFill="0" applyBorder="0" applyProtection="0">
      <alignment horizontal="right"/>
    </xf>
    <xf numFmtId="226" fontId="9" fillId="0" borderId="0" applyFill="0" applyBorder="0" applyProtection="0">
      <alignment horizontal="right"/>
    </xf>
    <xf numFmtId="227" fontId="101" fillId="0" borderId="0" applyFont="0" applyFill="0" applyBorder="0" applyProtection="0">
      <alignment horizontal="right"/>
    </xf>
    <xf numFmtId="228" fontId="39" fillId="40" borderId="0" applyFont="0" applyBorder="0" applyAlignment="0" applyProtection="0">
      <alignment horizontal="right"/>
      <protection hidden="1"/>
    </xf>
    <xf numFmtId="0" fontId="102" fillId="4" borderId="0" applyNumberFormat="0" applyBorder="0" applyAlignment="0" applyProtection="0"/>
    <xf numFmtId="37" fontId="103" fillId="0" borderId="0"/>
    <xf numFmtId="229" fontId="104" fillId="0" borderId="0"/>
    <xf numFmtId="230" fontId="105" fillId="0" borderId="0"/>
    <xf numFmtId="38" fontId="39" fillId="0" borderId="0" applyFont="0" applyFill="0" applyBorder="0" applyAlignment="0"/>
    <xf numFmtId="186" fontId="9" fillId="0" borderId="0" applyFont="0" applyFill="0" applyBorder="0" applyAlignment="0"/>
    <xf numFmtId="40" fontId="39" fillId="0" borderId="0" applyFont="0" applyFill="0" applyBorder="0" applyAlignment="0"/>
    <xf numFmtId="188" fontId="39" fillId="0" borderId="0" applyFont="0" applyFill="0" applyBorder="0" applyAlignment="0"/>
    <xf numFmtId="231" fontId="106" fillId="0" borderId="23" applyFont="0" applyFill="0" applyBorder="0" applyAlignment="0" applyProtection="0"/>
    <xf numFmtId="231" fontId="106" fillId="0" borderId="23" applyFont="0" applyFill="0" applyBorder="0" applyAlignment="0" applyProtection="0"/>
    <xf numFmtId="0" fontId="14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07" fillId="0" borderId="0"/>
    <xf numFmtId="0" fontId="6" fillId="0" borderId="0"/>
    <xf numFmtId="0" fontId="5" fillId="0" borderId="0"/>
    <xf numFmtId="170" fontId="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1" fillId="0" borderId="0"/>
    <xf numFmtId="0" fontId="9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5" fillId="0" borderId="0"/>
    <xf numFmtId="0" fontId="1" fillId="0" borderId="0"/>
    <xf numFmtId="0" fontId="1" fillId="0" borderId="0"/>
    <xf numFmtId="0" fontId="14" fillId="0" borderId="0"/>
    <xf numFmtId="0" fontId="9" fillId="0" borderId="0"/>
    <xf numFmtId="171" fontId="5" fillId="0" borderId="0"/>
    <xf numFmtId="0" fontId="9" fillId="0" borderId="0"/>
    <xf numFmtId="171" fontId="5" fillId="0" borderId="0"/>
    <xf numFmtId="171" fontId="5" fillId="0" borderId="0"/>
    <xf numFmtId="0" fontId="9" fillId="0" borderId="0"/>
    <xf numFmtId="171" fontId="5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6" fillId="0" borderId="0"/>
    <xf numFmtId="170" fontId="5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9" fillId="0" borderId="0"/>
    <xf numFmtId="186" fontId="51" fillId="0" borderId="0" applyNumberFormat="0" applyFill="0" applyBorder="0" applyAlignment="0" applyProtection="0"/>
    <xf numFmtId="232" fontId="39" fillId="0" borderId="0" applyFont="0" applyFill="0" applyBorder="0" applyAlignment="0" applyProtection="0"/>
    <xf numFmtId="0" fontId="109" fillId="0" borderId="0" applyFill="0" applyBorder="0" applyAlignment="0" applyProtection="0"/>
    <xf numFmtId="233" fontId="14" fillId="37" borderId="0" applyBorder="0">
      <alignment vertical="center"/>
    </xf>
    <xf numFmtId="0" fontId="17" fillId="8" borderId="8" applyNumberFormat="0" applyFont="0" applyAlignment="0" applyProtection="0"/>
    <xf numFmtId="234" fontId="9" fillId="0" borderId="0" applyFont="0" applyFill="0" applyBorder="0" applyAlignment="0" applyProtection="0"/>
    <xf numFmtId="235" fontId="39" fillId="0" borderId="0" applyFont="0" applyFill="0" applyBorder="0" applyAlignment="0" applyProtection="0"/>
    <xf numFmtId="1" fontId="51" fillId="0" borderId="0" applyFont="0" applyFill="0" applyBorder="0" applyAlignment="0" applyProtection="0">
      <protection locked="0"/>
    </xf>
    <xf numFmtId="236" fontId="35" fillId="0" borderId="16" applyFont="0" applyFill="0" applyBorder="0" applyAlignment="0" applyProtection="0">
      <protection locked="0"/>
    </xf>
    <xf numFmtId="237" fontId="39" fillId="0" borderId="0" applyFont="0" applyFill="0" applyBorder="0" applyAlignment="0" applyProtection="0"/>
    <xf numFmtId="0" fontId="110" fillId="6" borderId="5" applyNumberFormat="0" applyAlignment="0" applyProtection="0"/>
    <xf numFmtId="40" fontId="111" fillId="37" borderId="0">
      <alignment horizontal="right"/>
    </xf>
    <xf numFmtId="0" fontId="112" fillId="37" borderId="0">
      <alignment horizontal="right"/>
    </xf>
    <xf numFmtId="0" fontId="113" fillId="37" borderId="17"/>
    <xf numFmtId="0" fontId="113" fillId="0" borderId="0" applyBorder="0">
      <alignment horizontal="centerContinuous"/>
    </xf>
    <xf numFmtId="0" fontId="114" fillId="0" borderId="0" applyBorder="0">
      <alignment horizontal="centerContinuous"/>
    </xf>
    <xf numFmtId="238" fontId="14" fillId="0" borderId="0"/>
    <xf numFmtId="0" fontId="115" fillId="0" borderId="0" applyProtection="0">
      <alignment horizontal="left"/>
    </xf>
    <xf numFmtId="0" fontId="115" fillId="0" borderId="0" applyFill="0" applyBorder="0" applyProtection="0">
      <alignment horizontal="left"/>
    </xf>
    <xf numFmtId="0" fontId="116" fillId="0" borderId="0" applyFill="0" applyBorder="0" applyProtection="0">
      <alignment horizontal="left"/>
    </xf>
    <xf numFmtId="0" fontId="117" fillId="0" borderId="0" applyNumberFormat="0" applyFill="0" applyBorder="0" applyAlignment="0" applyProtection="0"/>
    <xf numFmtId="0" fontId="53" fillId="0" borderId="40" applyNumberFormat="0" applyAlignment="0" applyProtection="0"/>
    <xf numFmtId="0" fontId="14" fillId="46" borderId="0" applyNumberFormat="0" applyFont="0" applyBorder="0" applyAlignment="0" applyProtection="0"/>
    <xf numFmtId="0" fontId="39" fillId="47" borderId="41" applyNumberFormat="0" applyFont="0" applyBorder="0" applyAlignment="0" applyProtection="0">
      <alignment horizontal="center"/>
    </xf>
    <xf numFmtId="0" fontId="39" fillId="35" borderId="41" applyNumberFormat="0" applyFont="0" applyBorder="0" applyAlignment="0" applyProtection="0">
      <alignment horizontal="center"/>
    </xf>
    <xf numFmtId="0" fontId="14" fillId="0" borderId="42" applyNumberFormat="0" applyAlignment="0" applyProtection="0"/>
    <xf numFmtId="0" fontId="14" fillId="0" borderId="43" applyNumberFormat="0" applyAlignment="0" applyProtection="0"/>
    <xf numFmtId="0" fontId="53" fillId="0" borderId="44" applyNumberFormat="0" applyAlignment="0" applyProtection="0"/>
    <xf numFmtId="233" fontId="39" fillId="0" borderId="0"/>
    <xf numFmtId="239" fontId="9" fillId="0" borderId="0" applyFont="0" applyFill="0" applyBorder="0" applyAlignment="0" applyProtection="0"/>
    <xf numFmtId="0" fontId="9" fillId="43" borderId="0"/>
    <xf numFmtId="240" fontId="9" fillId="0" borderId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07" fontId="9" fillId="0" borderId="0" applyFont="0" applyFill="0" applyBorder="0" applyAlignment="0" applyProtection="0"/>
    <xf numFmtId="214" fontId="39" fillId="0" borderId="0" applyFont="0" applyFill="0" applyBorder="0" applyAlignment="0"/>
    <xf numFmtId="10" fontId="9" fillId="0" borderId="0" applyFont="0" applyFill="0" applyBorder="0" applyAlignment="0" applyProtection="0"/>
    <xf numFmtId="168" fontId="118" fillId="0" borderId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42" fontId="12" fillId="0" borderId="0" applyFont="0" applyFill="0" applyBorder="0" applyProtection="0">
      <alignment horizontal="right"/>
    </xf>
    <xf numFmtId="10" fontId="15" fillId="0" borderId="0" applyFont="0" applyFill="0" applyBorder="0" applyAlignment="0" applyProtection="0"/>
    <xf numFmtId="243" fontId="39" fillId="0" borderId="0" applyFont="0" applyFill="0" applyBorder="0" applyAlignment="0" applyProtection="0"/>
    <xf numFmtId="172" fontId="48" fillId="0" borderId="0" applyFill="0" applyBorder="0">
      <alignment horizontal="right"/>
    </xf>
    <xf numFmtId="0" fontId="119" fillId="0" borderId="0" applyFill="0" applyBorder="0" applyAlignment="0"/>
    <xf numFmtId="0" fontId="9" fillId="0" borderId="0" applyFill="0" applyBorder="0" applyAlignment="0"/>
    <xf numFmtId="0" fontId="119" fillId="0" borderId="0" applyFill="0" applyBorder="0" applyAlignment="0"/>
    <xf numFmtId="0" fontId="9" fillId="0" borderId="0" applyFill="0" applyBorder="0" applyAlignment="0"/>
    <xf numFmtId="0" fontId="9" fillId="0" borderId="0" applyFill="0" applyBorder="0" applyAlignment="0"/>
    <xf numFmtId="244" fontId="9" fillId="43" borderId="0">
      <alignment horizontal="right"/>
    </xf>
    <xf numFmtId="0" fontId="51" fillId="40" borderId="22" applyNumberFormat="0" applyFont="0" applyAlignment="0" applyProtection="0"/>
    <xf numFmtId="215" fontId="39" fillId="40" borderId="0" applyNumberFormat="0" applyFont="0" applyBorder="0" applyAlignment="0" applyProtection="0">
      <alignment horizontal="center"/>
      <protection locked="0"/>
    </xf>
    <xf numFmtId="0" fontId="78" fillId="0" borderId="0"/>
    <xf numFmtId="0" fontId="78" fillId="0" borderId="45">
      <alignment horizontal="right"/>
    </xf>
    <xf numFmtId="0" fontId="120" fillId="0" borderId="0"/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245" fontId="121" fillId="0" borderId="41"/>
    <xf numFmtId="0" fontId="32" fillId="0" borderId="10">
      <alignment horizontal="center"/>
    </xf>
    <xf numFmtId="3" fontId="15" fillId="0" borderId="0" applyFont="0" applyFill="0" applyBorder="0" applyAlignment="0" applyProtection="0"/>
    <xf numFmtId="0" fontId="15" fillId="48" borderId="0" applyNumberFormat="0" applyFont="0" applyBorder="0" applyAlignment="0" applyProtection="0"/>
    <xf numFmtId="246" fontId="9" fillId="40" borderId="0"/>
    <xf numFmtId="0" fontId="122" fillId="0" borderId="0">
      <alignment horizontal="center"/>
    </xf>
    <xf numFmtId="0" fontId="13" fillId="0" borderId="23">
      <alignment horizontal="centerContinuous"/>
    </xf>
    <xf numFmtId="0" fontId="13" fillId="0" borderId="23">
      <alignment horizontal="centerContinuous"/>
    </xf>
    <xf numFmtId="247" fontId="9" fillId="40" borderId="17">
      <alignment horizontal="right"/>
    </xf>
    <xf numFmtId="178" fontId="14" fillId="0" borderId="0" applyFont="0" applyFill="0" applyBorder="0" applyAlignment="0" applyProtection="0">
      <alignment horizontal="right"/>
    </xf>
    <xf numFmtId="186" fontId="89" fillId="0" borderId="0" applyNumberFormat="0" applyFill="0" applyBorder="0" applyAlignment="0" applyProtection="0">
      <alignment horizontal="left"/>
    </xf>
    <xf numFmtId="0" fontId="123" fillId="0" borderId="0" applyNumberFormat="0" applyFill="0" applyBorder="0" applyProtection="0">
      <alignment horizontal="right" vertical="center"/>
    </xf>
    <xf numFmtId="0" fontId="124" fillId="0" borderId="0">
      <alignment horizontal="right"/>
    </xf>
    <xf numFmtId="38" fontId="9" fillId="49" borderId="0" applyNumberFormat="0" applyFont="0" applyBorder="0" applyAlignment="0" applyProtection="0"/>
    <xf numFmtId="0" fontId="14" fillId="50" borderId="0" applyNumberFormat="0" applyFont="0" applyBorder="0" applyAlignment="0" applyProtection="0"/>
    <xf numFmtId="0" fontId="125" fillId="46" borderId="0" applyNumberFormat="0" applyFont="0" applyBorder="0" applyAlignment="0" applyProtection="0">
      <alignment horizontal="center"/>
    </xf>
    <xf numFmtId="248" fontId="14" fillId="0" borderId="0"/>
    <xf numFmtId="0" fontId="126" fillId="0" borderId="0"/>
    <xf numFmtId="0" fontId="9" fillId="51" borderId="0"/>
    <xf numFmtId="186" fontId="39" fillId="46" borderId="0" applyNumberFormat="0" applyFont="0" applyBorder="0" applyAlignment="0">
      <protection hidden="1"/>
    </xf>
    <xf numFmtId="0" fontId="127" fillId="0" borderId="46"/>
    <xf numFmtId="9" fontId="9" fillId="0" borderId="0" applyFont="0" applyFill="0" applyBorder="0" applyAlignment="0" applyProtection="0"/>
    <xf numFmtId="0" fontId="39" fillId="0" borderId="0" applyNumberFormat="0" applyFill="0" applyBorder="0">
      <alignment vertical="top"/>
      <protection locked="0"/>
    </xf>
    <xf numFmtId="0" fontId="128" fillId="0" borderId="0"/>
    <xf numFmtId="0" fontId="30" fillId="0" borderId="0">
      <alignment horizontal="left"/>
    </xf>
    <xf numFmtId="0" fontId="129" fillId="0" borderId="0"/>
    <xf numFmtId="0" fontId="51" fillId="40" borderId="0" applyNumberFormat="0" applyFont="0" applyBorder="0" applyAlignment="0" applyProtection="0"/>
    <xf numFmtId="0" fontId="130" fillId="0" borderId="0" applyFill="0" applyBorder="0" applyProtection="0">
      <alignment horizontal="center" vertical="center"/>
    </xf>
    <xf numFmtId="0" fontId="130" fillId="0" borderId="0" applyFill="0" applyBorder="0" applyProtection="0"/>
    <xf numFmtId="0" fontId="53" fillId="0" borderId="0" applyFill="0" applyBorder="0" applyProtection="0">
      <alignment horizontal="left"/>
    </xf>
    <xf numFmtId="0" fontId="131" fillId="0" borderId="0" applyFill="0" applyBorder="0" applyProtection="0">
      <alignment horizontal="left" vertical="top"/>
    </xf>
    <xf numFmtId="0" fontId="26" fillId="37" borderId="13" applyNumberFormat="0" applyFont="0" applyFill="0" applyAlignment="0" applyProtection="0">
      <protection locked="0"/>
    </xf>
    <xf numFmtId="0" fontId="26" fillId="37" borderId="13" applyNumberFormat="0" applyFont="0" applyFill="0" applyAlignment="0" applyProtection="0">
      <protection locked="0"/>
    </xf>
    <xf numFmtId="0" fontId="26" fillId="37" borderId="47" applyNumberFormat="0" applyFont="0" applyFill="0" applyAlignment="0" applyProtection="0">
      <protection locked="0"/>
    </xf>
    <xf numFmtId="49" fontId="132" fillId="0" borderId="0"/>
    <xf numFmtId="186" fontId="9" fillId="52" borderId="0" applyNumberFormat="0" applyFont="0" applyBorder="0" applyAlignment="0" applyProtection="0"/>
    <xf numFmtId="0" fontId="51" fillId="0" borderId="0" applyNumberFormat="0" applyFill="0" applyBorder="0" applyAlignment="0" applyProtection="0"/>
    <xf numFmtId="49" fontId="35" fillId="0" borderId="0" applyFill="0" applyBorder="0" applyAlignment="0"/>
    <xf numFmtId="0" fontId="9" fillId="0" borderId="0" applyFill="0" applyBorder="0" applyAlignment="0"/>
    <xf numFmtId="0" fontId="9" fillId="0" borderId="0" applyFill="0" applyBorder="0" applyAlignment="0"/>
    <xf numFmtId="249" fontId="133" fillId="0" borderId="0" applyFill="0" applyBorder="0" applyAlignment="0" applyProtection="0">
      <alignment horizontal="right"/>
    </xf>
    <xf numFmtId="0" fontId="134" fillId="0" borderId="0" applyFill="0" applyBorder="0" applyProtection="0">
      <alignment horizontal="left" vertical="top"/>
    </xf>
    <xf numFmtId="18" fontId="26" fillId="37" borderId="0" applyFont="0" applyFill="0" applyBorder="0" applyAlignment="0" applyProtection="0">
      <protection locked="0"/>
    </xf>
    <xf numFmtId="40" fontId="46" fillId="0" borderId="0"/>
    <xf numFmtId="0" fontId="135" fillId="0" borderId="0"/>
    <xf numFmtId="170" fontId="78" fillId="0" borderId="0">
      <alignment horizontal="center"/>
    </xf>
    <xf numFmtId="0" fontId="136" fillId="1" borderId="0" applyNumberFormat="0" applyBorder="0" applyProtection="0">
      <alignment horizontal="left" vertical="center"/>
    </xf>
    <xf numFmtId="0" fontId="137" fillId="0" borderId="0"/>
    <xf numFmtId="0" fontId="11" fillId="0" borderId="9" applyNumberFormat="0" applyFill="0" applyAlignment="0" applyProtection="0"/>
    <xf numFmtId="0" fontId="45" fillId="0" borderId="48" applyNumberFormat="0" applyFont="0" applyFill="0" applyAlignment="0" applyProtection="0"/>
    <xf numFmtId="170" fontId="138" fillId="0" borderId="0">
      <alignment horizontal="left"/>
      <protection locked="0"/>
    </xf>
    <xf numFmtId="0" fontId="139" fillId="0" borderId="0"/>
    <xf numFmtId="0" fontId="12" fillId="0" borderId="0" applyNumberFormat="0" applyFill="0" applyBorder="0" applyAlignment="0" applyProtection="0"/>
    <xf numFmtId="0" fontId="140" fillId="0" borderId="0" applyNumberFormat="0" applyFont="0" applyFill="0"/>
    <xf numFmtId="38" fontId="35" fillId="0" borderId="41" applyFill="0" applyBorder="0" applyAlignment="0" applyProtection="0">
      <protection locked="0"/>
    </xf>
    <xf numFmtId="37" fontId="39" fillId="36" borderId="0" applyNumberFormat="0" applyBorder="0" applyAlignment="0" applyProtection="0"/>
    <xf numFmtId="37" fontId="39" fillId="0" borderId="0"/>
    <xf numFmtId="3" fontId="52" fillId="0" borderId="34" applyProtection="0"/>
    <xf numFmtId="14" fontId="125" fillId="0" borderId="0" applyNumberFormat="0" applyFont="0" applyBorder="0" applyAlignment="0" applyProtection="0">
      <alignment horizontal="center"/>
    </xf>
    <xf numFmtId="250" fontId="9" fillId="0" borderId="0" applyFont="0" applyFill="0" applyBorder="0" applyAlignment="0" applyProtection="0"/>
    <xf numFmtId="251" fontId="9" fillId="0" borderId="0" applyFont="0" applyFill="0" applyBorder="0" applyAlignment="0" applyProtection="0"/>
    <xf numFmtId="0" fontId="141" fillId="0" borderId="0" applyNumberFormat="0" applyFill="0" applyBorder="0" applyAlignment="0" applyProtection="0"/>
    <xf numFmtId="186" fontId="142" fillId="0" borderId="0" applyNumberFormat="0" applyFill="0" applyBorder="0" applyAlignment="0" applyProtection="0"/>
    <xf numFmtId="0" fontId="51" fillId="37" borderId="0" applyNumberFormat="0" applyFont="0" applyAlignment="0" applyProtection="0"/>
    <xf numFmtId="0" fontId="51" fillId="37" borderId="13" applyNumberFormat="0" applyFont="0" applyAlignment="0" applyProtection="0">
      <protection locked="0"/>
    </xf>
    <xf numFmtId="0" fontId="51" fillId="37" borderId="13" applyNumberFormat="0" applyFont="0" applyAlignment="0" applyProtection="0">
      <protection locked="0"/>
    </xf>
    <xf numFmtId="0" fontId="142" fillId="0" borderId="0" applyNumberFormat="0" applyFill="0" applyBorder="0" applyAlignment="0" applyProtection="0"/>
    <xf numFmtId="1" fontId="143" fillId="0" borderId="0">
      <alignment horizontal="right"/>
    </xf>
    <xf numFmtId="0" fontId="144" fillId="0" borderId="0">
      <alignment horizontal="right"/>
    </xf>
    <xf numFmtId="0" fontId="145" fillId="0" borderId="23">
      <alignment horizontal="right"/>
    </xf>
    <xf numFmtId="0" fontId="145" fillId="0" borderId="23">
      <alignment horizontal="right"/>
    </xf>
    <xf numFmtId="252" fontId="14" fillId="0" borderId="0"/>
    <xf numFmtId="0" fontId="14" fillId="0" borderId="0"/>
    <xf numFmtId="183" fontId="146" fillId="0" borderId="0" applyBorder="0" applyProtection="0">
      <alignment horizontal="right" vertical="center"/>
    </xf>
    <xf numFmtId="209" fontId="14" fillId="0" borderId="0" applyFont="0" applyFill="0" applyBorder="0" applyProtection="0">
      <alignment horizontal="right"/>
    </xf>
    <xf numFmtId="0" fontId="152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3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10" xfId="0" applyFont="1" applyBorder="1"/>
    <xf numFmtId="0" fontId="0" fillId="0" borderId="10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167" fontId="0" fillId="0" borderId="0" xfId="1" applyNumberFormat="1" applyFont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indent="1"/>
    </xf>
    <xf numFmtId="10" fontId="0" fillId="0" borderId="0" xfId="0" applyNumberFormat="1" applyFont="1"/>
    <xf numFmtId="0" fontId="0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/>
    <xf numFmtId="167" fontId="0" fillId="0" borderId="0" xfId="1" applyNumberFormat="1" applyFont="1" applyBorder="1"/>
    <xf numFmtId="167" fontId="0" fillId="0" borderId="11" xfId="1" applyNumberFormat="1" applyFont="1" applyBorder="1"/>
    <xf numFmtId="167" fontId="0" fillId="0" borderId="0" xfId="0" applyNumberFormat="1" applyFont="1"/>
    <xf numFmtId="0" fontId="3" fillId="0" borderId="0" xfId="0" applyFont="1" applyFill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0" fillId="0" borderId="0" xfId="0" applyFont="1" applyBorder="1"/>
    <xf numFmtId="168" fontId="0" fillId="0" borderId="0" xfId="3" applyNumberFormat="1" applyFont="1"/>
    <xf numFmtId="0" fontId="0" fillId="0" borderId="0" xfId="0" quotePrefix="1" applyFont="1"/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0" fontId="0" fillId="0" borderId="0" xfId="3" applyNumberFormat="1" applyFont="1"/>
    <xf numFmtId="167" fontId="2" fillId="0" borderId="0" xfId="1" applyNumberFormat="1" applyFont="1"/>
    <xf numFmtId="169" fontId="6" fillId="33" borderId="0" xfId="4" applyNumberFormat="1" applyFont="1" applyFill="1" applyBorder="1" applyAlignment="1">
      <alignment horizontal="center"/>
    </xf>
    <xf numFmtId="0" fontId="6" fillId="33" borderId="0" xfId="4" applyFont="1" applyFill="1" applyBorder="1"/>
    <xf numFmtId="171" fontId="6" fillId="33" borderId="0" xfId="5" applyNumberFormat="1" applyFont="1" applyFill="1"/>
    <xf numFmtId="171" fontId="6" fillId="33" borderId="0" xfId="5" applyNumberFormat="1" applyFont="1" applyFill="1" applyBorder="1"/>
    <xf numFmtId="0" fontId="0" fillId="33" borderId="0" xfId="0" applyFont="1" applyFill="1"/>
    <xf numFmtId="0" fontId="7" fillId="0" borderId="0" xfId="4" applyFont="1" applyAlignment="1" applyProtection="1">
      <alignment horizontal="left"/>
      <protection locked="0"/>
    </xf>
    <xf numFmtId="171" fontId="6" fillId="0" borderId="0" xfId="6" applyFont="1"/>
    <xf numFmtId="171" fontId="6" fillId="0" borderId="0" xfId="6" applyFont="1" applyAlignment="1">
      <alignment horizontal="center"/>
    </xf>
    <xf numFmtId="0" fontId="6" fillId="0" borderId="0" xfId="4" applyFont="1" applyFill="1" applyAlignment="1">
      <alignment horizontal="center"/>
    </xf>
    <xf numFmtId="0" fontId="8" fillId="0" borderId="0" xfId="4" applyFont="1"/>
    <xf numFmtId="0" fontId="8" fillId="0" borderId="0" xfId="7" applyFont="1"/>
    <xf numFmtId="170" fontId="6" fillId="0" borderId="0" xfId="5" applyFont="1"/>
    <xf numFmtId="0" fontId="6" fillId="0" borderId="0" xfId="7" applyFont="1" applyAlignment="1">
      <alignment horizontal="left"/>
    </xf>
    <xf numFmtId="167" fontId="6" fillId="0" borderId="0" xfId="1" applyNumberFormat="1" applyFont="1"/>
    <xf numFmtId="43" fontId="0" fillId="0" borderId="0" xfId="0" applyNumberFormat="1" applyFont="1"/>
    <xf numFmtId="10" fontId="6" fillId="0" borderId="11" xfId="3" applyNumberFormat="1" applyFont="1" applyBorder="1"/>
    <xf numFmtId="167" fontId="6" fillId="0" borderId="0" xfId="1" applyNumberFormat="1" applyFont="1" applyFill="1" applyBorder="1"/>
    <xf numFmtId="167" fontId="8" fillId="0" borderId="0" xfId="1" applyNumberFormat="1" applyFont="1"/>
    <xf numFmtId="0" fontId="8" fillId="0" borderId="0" xfId="7" applyFont="1" applyAlignment="1">
      <alignment horizontal="left"/>
    </xf>
    <xf numFmtId="167" fontId="6" fillId="0" borderId="0" xfId="5" applyNumberFormat="1" applyFont="1"/>
    <xf numFmtId="167" fontId="6" fillId="0" borderId="0" xfId="1" applyNumberFormat="1" applyFont="1" applyBorder="1"/>
    <xf numFmtId="167" fontId="6" fillId="0" borderId="11" xfId="1" applyNumberFormat="1" applyFont="1" applyBorder="1"/>
    <xf numFmtId="0" fontId="6" fillId="0" borderId="0" xfId="7" applyFont="1"/>
    <xf numFmtId="0" fontId="8" fillId="0" borderId="12" xfId="7" applyFont="1" applyBorder="1"/>
    <xf numFmtId="170" fontId="6" fillId="0" borderId="12" xfId="5" applyFont="1" applyBorder="1"/>
    <xf numFmtId="167" fontId="8" fillId="0" borderId="12" xfId="1" applyNumberFormat="1" applyFont="1" applyBorder="1"/>
    <xf numFmtId="0" fontId="8" fillId="0" borderId="0" xfId="7" applyFont="1" applyBorder="1"/>
    <xf numFmtId="170" fontId="6" fillId="0" borderId="0" xfId="5" applyFont="1" applyBorder="1"/>
    <xf numFmtId="167" fontId="8" fillId="0" borderId="0" xfId="1" applyNumberFormat="1" applyFont="1" applyBorder="1"/>
    <xf numFmtId="169" fontId="6" fillId="0" borderId="0" xfId="4" applyNumberFormat="1" applyFont="1" applyAlignment="1">
      <alignment horizontal="center"/>
    </xf>
    <xf numFmtId="171" fontId="6" fillId="0" borderId="0" xfId="4" applyNumberFormat="1" applyFont="1"/>
    <xf numFmtId="171" fontId="6" fillId="0" borderId="0" xfId="4" applyNumberFormat="1" applyFont="1" applyBorder="1"/>
    <xf numFmtId="0" fontId="8" fillId="0" borderId="0" xfId="8" applyFont="1"/>
    <xf numFmtId="0" fontId="6" fillId="0" borderId="0" xfId="8" applyFont="1"/>
    <xf numFmtId="171" fontId="6" fillId="0" borderId="0" xfId="8" applyNumberFormat="1" applyFont="1"/>
    <xf numFmtId="0" fontId="2" fillId="0" borderId="12" xfId="0" applyFont="1" applyFill="1" applyBorder="1"/>
    <xf numFmtId="171" fontId="8" fillId="0" borderId="12" xfId="4" applyNumberFormat="1" applyFont="1" applyBorder="1"/>
    <xf numFmtId="43" fontId="6" fillId="0" borderId="0" xfId="1" applyFont="1" applyBorder="1"/>
    <xf numFmtId="10" fontId="0" fillId="0" borderId="11" xfId="0" applyNumberFormat="1" applyFont="1" applyBorder="1"/>
    <xf numFmtId="0" fontId="2" fillId="0" borderId="12" xfId="0" applyFont="1" applyBorder="1"/>
    <xf numFmtId="10" fontId="2" fillId="0" borderId="12" xfId="0" applyNumberFormat="1" applyFont="1" applyBorder="1"/>
    <xf numFmtId="0" fontId="2" fillId="0" borderId="0" xfId="0" applyFont="1" applyBorder="1"/>
    <xf numFmtId="10" fontId="2" fillId="0" borderId="0" xfId="0" applyNumberFormat="1" applyFont="1" applyBorder="1"/>
    <xf numFmtId="9" fontId="0" fillId="33" borderId="0" xfId="3" applyFont="1" applyFill="1"/>
    <xf numFmtId="167" fontId="2" fillId="0" borderId="12" xfId="1" applyNumberFormat="1" applyFont="1" applyBorder="1"/>
    <xf numFmtId="167" fontId="0" fillId="0" borderId="13" xfId="1" applyNumberFormat="1" applyFont="1" applyBorder="1"/>
    <xf numFmtId="0" fontId="0" fillId="34" borderId="0" xfId="0" applyFont="1" applyFill="1"/>
    <xf numFmtId="167" fontId="0" fillId="34" borderId="0" xfId="1" applyNumberFormat="1" applyFont="1" applyFill="1"/>
    <xf numFmtId="0" fontId="6" fillId="34" borderId="0" xfId="14" applyFont="1" applyFill="1"/>
    <xf numFmtId="167" fontId="0" fillId="34" borderId="0" xfId="1" applyNumberFormat="1" applyFont="1" applyFill="1" applyBorder="1"/>
    <xf numFmtId="167" fontId="0" fillId="34" borderId="11" xfId="1" applyNumberFormat="1" applyFont="1" applyFill="1" applyBorder="1"/>
    <xf numFmtId="0" fontId="8" fillId="34" borderId="0" xfId="14" applyFont="1" applyFill="1"/>
    <xf numFmtId="0" fontId="8" fillId="0" borderId="0" xfId="14" applyFont="1"/>
    <xf numFmtId="0" fontId="6" fillId="0" borderId="0" xfId="14" applyFont="1"/>
    <xf numFmtId="0" fontId="6" fillId="0" borderId="0" xfId="14" applyFont="1" applyFill="1"/>
    <xf numFmtId="170" fontId="8" fillId="0" borderId="0" xfId="5" applyFont="1"/>
    <xf numFmtId="167" fontId="8" fillId="0" borderId="0" xfId="1" applyNumberFormat="1" applyFont="1" applyFill="1" applyBorder="1"/>
    <xf numFmtId="0" fontId="10" fillId="0" borderId="0" xfId="14" applyFont="1" applyFill="1"/>
    <xf numFmtId="167" fontId="0" fillId="0" borderId="14" xfId="1" applyNumberFormat="1" applyFont="1" applyBorder="1"/>
    <xf numFmtId="167" fontId="0" fillId="0" borderId="15" xfId="1" applyNumberFormat="1" applyFont="1" applyBorder="1"/>
    <xf numFmtId="167" fontId="0" fillId="0" borderId="16" xfId="1" applyNumberFormat="1" applyFont="1" applyBorder="1"/>
    <xf numFmtId="167" fontId="0" fillId="0" borderId="17" xfId="1" applyNumberFormat="1" applyFont="1" applyBorder="1"/>
    <xf numFmtId="167" fontId="0" fillId="0" borderId="18" xfId="1" applyNumberFormat="1" applyFont="1" applyBorder="1"/>
    <xf numFmtId="167" fontId="0" fillId="0" borderId="19" xfId="1" applyNumberFormat="1" applyFont="1" applyBorder="1"/>
    <xf numFmtId="170" fontId="8" fillId="0" borderId="12" xfId="5" applyFont="1" applyBorder="1"/>
    <xf numFmtId="167" fontId="2" fillId="0" borderId="0" xfId="1" applyNumberFormat="1" applyFont="1" applyBorder="1"/>
    <xf numFmtId="169" fontId="8" fillId="0" borderId="0" xfId="4" applyNumberFormat="1" applyFont="1" applyFill="1" applyBorder="1" applyAlignment="1">
      <alignment horizontal="left"/>
    </xf>
    <xf numFmtId="0" fontId="6" fillId="0" borderId="0" xfId="4" applyFont="1" applyFill="1" applyBorder="1"/>
    <xf numFmtId="171" fontId="6" fillId="0" borderId="0" xfId="5" applyNumberFormat="1" applyFont="1" applyFill="1"/>
    <xf numFmtId="171" fontId="6" fillId="0" borderId="0" xfId="5" applyNumberFormat="1" applyFont="1" applyFill="1" applyBorder="1"/>
    <xf numFmtId="0" fontId="11" fillId="0" borderId="0" xfId="0" applyFont="1" applyFill="1"/>
    <xf numFmtId="173" fontId="0" fillId="0" borderId="0" xfId="2" applyNumberFormat="1" applyFont="1"/>
    <xf numFmtId="0" fontId="0" fillId="0" borderId="0" xfId="0" applyAlignment="1">
      <alignment horizontal="right"/>
    </xf>
    <xf numFmtId="9" fontId="6" fillId="34" borderId="0" xfId="3" applyFont="1" applyFill="1" applyBorder="1"/>
    <xf numFmtId="1" fontId="2" fillId="34" borderId="0" xfId="3" applyNumberFormat="1" applyFont="1" applyFill="1"/>
    <xf numFmtId="37" fontId="6" fillId="34" borderId="0" xfId="5" applyNumberFormat="1" applyFont="1" applyFill="1" applyBorder="1"/>
    <xf numFmtId="10" fontId="6" fillId="0" borderId="0" xfId="3" applyNumberFormat="1" applyFont="1" applyFill="1" applyBorder="1"/>
    <xf numFmtId="169" fontId="6" fillId="0" borderId="0" xfId="4" applyNumberFormat="1" applyFont="1" applyFill="1" applyBorder="1" applyAlignment="1">
      <alignment horizontal="center"/>
    </xf>
    <xf numFmtId="171" fontId="6" fillId="0" borderId="0" xfId="5" applyNumberFormat="1" applyFont="1" applyFill="1" applyAlignment="1">
      <alignment horizontal="right"/>
    </xf>
    <xf numFmtId="39" fontId="6" fillId="0" borderId="0" xfId="5" applyNumberFormat="1" applyFont="1" applyFill="1" applyBorder="1"/>
    <xf numFmtId="0" fontId="2" fillId="34" borderId="0" xfId="0" applyFont="1" applyFill="1" applyAlignment="1">
      <alignment horizontal="right"/>
    </xf>
    <xf numFmtId="171" fontId="6" fillId="34" borderId="0" xfId="5" applyNumberFormat="1" applyFont="1" applyFill="1"/>
    <xf numFmtId="167" fontId="0" fillId="0" borderId="0" xfId="0" applyNumberFormat="1" applyFont="1" applyFill="1"/>
    <xf numFmtId="10" fontId="2" fillId="0" borderId="0" xfId="3" applyNumberFormat="1" applyFont="1"/>
    <xf numFmtId="0" fontId="2" fillId="34" borderId="0" xfId="0" applyFont="1" applyFill="1"/>
    <xf numFmtId="167" fontId="2" fillId="0" borderId="12" xfId="0" applyNumberFormat="1" applyFont="1" applyBorder="1"/>
    <xf numFmtId="10" fontId="0" fillId="0" borderId="11" xfId="3" applyNumberFormat="1" applyFont="1" applyBorder="1"/>
    <xf numFmtId="167" fontId="0" fillId="0" borderId="0" xfId="0" applyNumberFormat="1" applyFont="1" applyBorder="1"/>
    <xf numFmtId="167" fontId="2" fillId="0" borderId="0" xfId="0" applyNumberFormat="1" applyFont="1"/>
    <xf numFmtId="167" fontId="0" fillId="0" borderId="14" xfId="0" applyNumberFormat="1" applyFont="1" applyBorder="1"/>
    <xf numFmtId="167" fontId="0" fillId="0" borderId="13" xfId="0" applyNumberFormat="1" applyFont="1" applyBorder="1"/>
    <xf numFmtId="167" fontId="0" fillId="0" borderId="15" xfId="0" applyNumberFormat="1" applyFont="1" applyBorder="1"/>
    <xf numFmtId="167" fontId="0" fillId="0" borderId="18" xfId="0" applyNumberFormat="1" applyFont="1" applyBorder="1"/>
    <xf numFmtId="167" fontId="0" fillId="0" borderId="19" xfId="0" applyNumberFormat="1" applyFont="1" applyBorder="1"/>
    <xf numFmtId="0" fontId="0" fillId="0" borderId="12" xfId="0" applyFont="1" applyBorder="1"/>
    <xf numFmtId="167" fontId="0" fillId="0" borderId="23" xfId="0" applyNumberFormat="1" applyFont="1" applyBorder="1"/>
    <xf numFmtId="10" fontId="6" fillId="0" borderId="23" xfId="3" applyNumberFormat="1" applyFont="1" applyBorder="1"/>
    <xf numFmtId="167" fontId="6" fillId="0" borderId="23" xfId="1" applyNumberFormat="1" applyFont="1" applyBorder="1"/>
    <xf numFmtId="0" fontId="0" fillId="0" borderId="23" xfId="0" applyFont="1" applyBorder="1"/>
    <xf numFmtId="10" fontId="0" fillId="0" borderId="23" xfId="0" applyNumberFormat="1" applyFont="1" applyBorder="1"/>
    <xf numFmtId="167" fontId="0" fillId="0" borderId="23" xfId="1" applyNumberFormat="1" applyFont="1" applyBorder="1"/>
    <xf numFmtId="167" fontId="0" fillId="34" borderId="23" xfId="1" applyNumberFormat="1" applyFont="1" applyFill="1" applyBorder="1"/>
    <xf numFmtId="0" fontId="8" fillId="0" borderId="0" xfId="0" applyFont="1"/>
    <xf numFmtId="10" fontId="8" fillId="0" borderId="0" xfId="3" applyNumberFormat="1" applyFont="1"/>
    <xf numFmtId="10" fontId="0" fillId="0" borderId="23" xfId="3" applyNumberFormat="1" applyFont="1" applyBorder="1"/>
    <xf numFmtId="0" fontId="8" fillId="0" borderId="13" xfId="7" applyFont="1" applyBorder="1"/>
    <xf numFmtId="0" fontId="2" fillId="0" borderId="13" xfId="0" applyFont="1" applyBorder="1"/>
    <xf numFmtId="167" fontId="2" fillId="0" borderId="13" xfId="0" applyNumberFormat="1" applyFont="1" applyBorder="1"/>
    <xf numFmtId="0" fontId="6" fillId="0" borderId="0" xfId="8" applyFont="1" applyBorder="1"/>
    <xf numFmtId="171" fontId="6" fillId="0" borderId="0" xfId="8" applyNumberFormat="1" applyFont="1" applyBorder="1"/>
    <xf numFmtId="9" fontId="0" fillId="53" borderId="0" xfId="3" applyFont="1" applyFill="1"/>
    <xf numFmtId="1" fontId="2" fillId="53" borderId="0" xfId="3" applyNumberFormat="1" applyFont="1" applyFill="1"/>
    <xf numFmtId="167" fontId="0" fillId="53" borderId="0" xfId="1" applyNumberFormat="1" applyFont="1" applyFill="1" applyBorder="1"/>
    <xf numFmtId="167" fontId="0" fillId="53" borderId="0" xfId="1" applyNumberFormat="1" applyFont="1" applyFill="1"/>
    <xf numFmtId="167" fontId="2" fillId="0" borderId="0" xfId="0" applyNumberFormat="1" applyFont="1" applyBorder="1"/>
    <xf numFmtId="10" fontId="6" fillId="0" borderId="0" xfId="3" applyNumberFormat="1" applyFont="1" applyBorder="1"/>
    <xf numFmtId="10" fontId="0" fillId="0" borderId="0" xfId="0" applyNumberFormat="1" applyFont="1" applyBorder="1"/>
    <xf numFmtId="0" fontId="2" fillId="53" borderId="0" xfId="0" applyFont="1" applyFill="1" applyBorder="1"/>
    <xf numFmtId="167" fontId="2" fillId="53" borderId="0" xfId="1" applyNumberFormat="1" applyFont="1" applyFill="1"/>
    <xf numFmtId="167" fontId="8" fillId="53" borderId="0" xfId="1" applyNumberFormat="1" applyFont="1" applyFill="1"/>
    <xf numFmtId="167" fontId="8" fillId="53" borderId="0" xfId="1" applyNumberFormat="1" applyFont="1" applyFill="1" applyBorder="1"/>
    <xf numFmtId="10" fontId="2" fillId="53" borderId="0" xfId="0" applyNumberFormat="1" applyFont="1" applyFill="1" applyBorder="1"/>
    <xf numFmtId="0" fontId="2" fillId="34" borderId="0" xfId="0" applyFont="1" applyFill="1" applyBorder="1"/>
    <xf numFmtId="0" fontId="2" fillId="53" borderId="0" xfId="0" applyFont="1" applyFill="1"/>
    <xf numFmtId="0" fontId="2" fillId="53" borderId="0" xfId="0" applyFont="1" applyFill="1" applyAlignment="1">
      <alignment horizontal="center"/>
    </xf>
    <xf numFmtId="10" fontId="2" fillId="53" borderId="0" xfId="0" applyNumberFormat="1" applyFont="1" applyFill="1"/>
    <xf numFmtId="167" fontId="2" fillId="53" borderId="0" xfId="1" applyNumberFormat="1" applyFont="1" applyFill="1" applyBorder="1"/>
    <xf numFmtId="167" fontId="2" fillId="53" borderId="0" xfId="0" applyNumberFormat="1" applyFont="1" applyFill="1"/>
    <xf numFmtId="168" fontId="2" fillId="53" borderId="0" xfId="3" applyNumberFormat="1" applyFont="1" applyFill="1"/>
    <xf numFmtId="10" fontId="2" fillId="53" borderId="0" xfId="3" applyNumberFormat="1" applyFont="1" applyFill="1"/>
    <xf numFmtId="10" fontId="8" fillId="53" borderId="0" xfId="3" applyNumberFormat="1" applyFont="1" applyFill="1" applyBorder="1"/>
    <xf numFmtId="167" fontId="8" fillId="53" borderId="0" xfId="5" applyNumberFormat="1" applyFont="1" applyFill="1"/>
    <xf numFmtId="43" fontId="8" fillId="53" borderId="0" xfId="1" applyFont="1" applyFill="1" applyBorder="1"/>
    <xf numFmtId="9" fontId="2" fillId="53" borderId="0" xfId="3" applyFont="1" applyFill="1"/>
    <xf numFmtId="167" fontId="2" fillId="0" borderId="0" xfId="1" applyNumberFormat="1" applyFont="1" applyFill="1"/>
    <xf numFmtId="168" fontId="0" fillId="0" borderId="0" xfId="3" applyNumberFormat="1" applyFont="1" applyFill="1"/>
    <xf numFmtId="167" fontId="0" fillId="0" borderId="0" xfId="1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43" fontId="6" fillId="0" borderId="0" xfId="1" applyFont="1" applyFill="1" applyBorder="1"/>
    <xf numFmtId="0" fontId="0" fillId="0" borderId="0" xfId="0" applyFill="1"/>
    <xf numFmtId="10" fontId="0" fillId="0" borderId="0" xfId="3" applyNumberFormat="1" applyFont="1" applyFill="1"/>
    <xf numFmtId="167" fontId="0" fillId="0" borderId="0" xfId="1" applyNumberFormat="1" applyFont="1" applyFill="1" applyBorder="1"/>
    <xf numFmtId="167" fontId="2" fillId="0" borderId="0" xfId="1" applyNumberFormat="1" applyFont="1" applyFill="1" applyBorder="1"/>
    <xf numFmtId="37" fontId="6" fillId="0" borderId="0" xfId="5" applyNumberFormat="1" applyFont="1" applyFill="1" applyBorder="1"/>
    <xf numFmtId="10" fontId="0" fillId="0" borderId="0" xfId="3" applyNumberFormat="1" applyFont="1" applyFill="1" applyBorder="1"/>
    <xf numFmtId="167" fontId="2" fillId="0" borderId="0" xfId="0" applyNumberFormat="1" applyFont="1" applyFill="1" applyBorder="1"/>
    <xf numFmtId="0" fontId="0" fillId="0" borderId="0" xfId="0" applyFont="1" applyFill="1" applyBorder="1"/>
    <xf numFmtId="167" fontId="0" fillId="0" borderId="0" xfId="0" applyNumberFormat="1" applyFont="1" applyFill="1" applyBorder="1"/>
    <xf numFmtId="10" fontId="8" fillId="0" borderId="0" xfId="3" applyNumberFormat="1" applyFont="1" applyFill="1" applyBorder="1"/>
    <xf numFmtId="10" fontId="2" fillId="0" borderId="0" xfId="3" applyNumberFormat="1" applyFont="1" applyFill="1"/>
    <xf numFmtId="167" fontId="2" fillId="53" borderId="12" xfId="0" applyNumberFormat="1" applyFont="1" applyFill="1" applyBorder="1"/>
    <xf numFmtId="3" fontId="0" fillId="0" borderId="0" xfId="0" applyNumberFormat="1"/>
    <xf numFmtId="0" fontId="147" fillId="0" borderId="0" xfId="0" applyFont="1"/>
    <xf numFmtId="0" fontId="148" fillId="0" borderId="0" xfId="0" applyFont="1"/>
    <xf numFmtId="0" fontId="147" fillId="0" borderId="0" xfId="0" applyFont="1" applyAlignment="1">
      <alignment horizontal="center"/>
    </xf>
    <xf numFmtId="37" fontId="0" fillId="0" borderId="0" xfId="0" applyNumberFormat="1"/>
    <xf numFmtId="0" fontId="149" fillId="0" borderId="0" xfId="0" applyFont="1"/>
    <xf numFmtId="0" fontId="0" fillId="33" borderId="0" xfId="0" applyFill="1"/>
    <xf numFmtId="167" fontId="0" fillId="0" borderId="0" xfId="0" applyNumberFormat="1"/>
    <xf numFmtId="0" fontId="150" fillId="0" borderId="0" xfId="0" applyFont="1"/>
    <xf numFmtId="0" fontId="151" fillId="0" borderId="0" xfId="0" applyFont="1"/>
    <xf numFmtId="3" fontId="150" fillId="0" borderId="0" xfId="0" applyNumberFormat="1" applyFont="1"/>
    <xf numFmtId="37" fontId="150" fillId="0" borderId="0" xfId="0" applyNumberFormat="1" applyFont="1"/>
    <xf numFmtId="3" fontId="6" fillId="0" borderId="0" xfId="0" applyNumberFormat="1" applyFont="1"/>
    <xf numFmtId="0" fontId="147" fillId="0" borderId="0" xfId="0" applyFont="1" applyFill="1"/>
    <xf numFmtId="167" fontId="0" fillId="0" borderId="0" xfId="0" applyNumberFormat="1" applyBorder="1"/>
    <xf numFmtId="3" fontId="150" fillId="0" borderId="23" xfId="0" applyNumberFormat="1" applyFont="1" applyBorder="1"/>
    <xf numFmtId="3" fontId="150" fillId="0" borderId="12" xfId="0" applyNumberFormat="1" applyFont="1" applyBorder="1"/>
    <xf numFmtId="0" fontId="151" fillId="0" borderId="12" xfId="0" applyFont="1" applyBorder="1"/>
    <xf numFmtId="0" fontId="147" fillId="0" borderId="13" xfId="0" applyFont="1" applyBorder="1"/>
    <xf numFmtId="0" fontId="151" fillId="0" borderId="23" xfId="0" applyFont="1" applyBorder="1"/>
    <xf numFmtId="0" fontId="0" fillId="0" borderId="12" xfId="0" applyBorder="1"/>
    <xf numFmtId="167" fontId="0" fillId="0" borderId="12" xfId="0" applyNumberFormat="1" applyBorder="1"/>
    <xf numFmtId="167" fontId="0" fillId="0" borderId="12" xfId="1" applyNumberFormat="1" applyFont="1" applyBorder="1"/>
  </cellXfs>
  <cellStyles count="769">
    <cellStyle name=" 1" xfId="15"/>
    <cellStyle name="_2006 MHP provision book to tax" xfId="20"/>
    <cellStyle name="_EPS Sheets based 2005 LRP" xfId="21"/>
    <cellStyle name="_EPS Sheets_no links" xfId="22"/>
    <cellStyle name="_Goreway ECON Model 060127" xfId="23"/>
    <cellStyle name="_Griffin BOD Final Model_EECI_ 11.22.05" xfId="24"/>
    <cellStyle name="_GW ECON 400k NPS30 syn 100% capex 050921" xfId="25"/>
    <cellStyle name="_GW ECON revised capex 051021" xfId="26"/>
    <cellStyle name="_Roundtable_ECON_RFP 05.26.06 &amp; BOD 07.24.06 v5skb" xfId="27"/>
    <cellStyle name="_SCPP 2006 provision book to tax" xfId="28"/>
    <cellStyle name="_Southern Ext.bod summary &amp;EPS" xfId="29"/>
    <cellStyle name="_Weatherford Plant Model 07-17-06skb - Standard EPS Model" xfId="30"/>
    <cellStyle name="_Zybach 2-17-05 150mmcf" xfId="31"/>
    <cellStyle name=".0" xfId="19"/>
    <cellStyle name="&quot;X&quot; MEN" xfId="16"/>
    <cellStyle name="$" xfId="17"/>
    <cellStyle name="$m" xfId="18"/>
    <cellStyle name="£ BP" xfId="32"/>
    <cellStyle name="¥ JY" xfId="33"/>
    <cellStyle name="0 Decimals" xfId="34"/>
    <cellStyle name="1" xfId="35"/>
    <cellStyle name="1 Decimal" xfId="36"/>
    <cellStyle name="2 Decimals" xfId="37"/>
    <cellStyle name="20% - Accent1 2" xfId="38"/>
    <cellStyle name="20% - Accent2 2" xfId="39"/>
    <cellStyle name="20% - Accent3 2" xfId="40"/>
    <cellStyle name="20% - Accent4 2" xfId="41"/>
    <cellStyle name="20% - Accent5 2" xfId="42"/>
    <cellStyle name="20% - Accent6 2" xfId="43"/>
    <cellStyle name="40% - Accent1 2" xfId="44"/>
    <cellStyle name="40% - Accent2 2" xfId="45"/>
    <cellStyle name="40% - Accent3 2" xfId="46"/>
    <cellStyle name="40% - Accent4 2" xfId="47"/>
    <cellStyle name="40% - Accent5 2" xfId="48"/>
    <cellStyle name="40% - Accent6 2" xfId="49"/>
    <cellStyle name="60% - Accent1 2" xfId="50"/>
    <cellStyle name="60% - Accent2 2" xfId="51"/>
    <cellStyle name="60% - Accent3 2" xfId="52"/>
    <cellStyle name="60% - Accent4 2" xfId="53"/>
    <cellStyle name="60% - Accent5 2" xfId="54"/>
    <cellStyle name="60% - Accent6 2" xfId="55"/>
    <cellStyle name="86.584" xfId="56"/>
    <cellStyle name="Accent1 2" xfId="57"/>
    <cellStyle name="Accent2 2" xfId="58"/>
    <cellStyle name="Accent3 2" xfId="59"/>
    <cellStyle name="Accent4 2" xfId="60"/>
    <cellStyle name="Accent5 2" xfId="61"/>
    <cellStyle name="Accent6 2" xfId="62"/>
    <cellStyle name="Actual Date" xfId="63"/>
    <cellStyle name="Actual Date 2" xfId="64"/>
    <cellStyle name="adj_share" xfId="65"/>
    <cellStyle name="adjusted" xfId="66"/>
    <cellStyle name="Adjusted &quot; X&quot;" xfId="67"/>
    <cellStyle name="ÅëÈ­ [0]_±âÅ¸" xfId="68"/>
    <cellStyle name="ÅëÈ­_±âÅ¸" xfId="69"/>
    <cellStyle name="Afjusted" xfId="70"/>
    <cellStyle name="Arial10b" xfId="71"/>
    <cellStyle name="Austral." xfId="74"/>
    <cellStyle name="ÄÞ¸¶ [0]_±âÅ¸" xfId="72"/>
    <cellStyle name="ÄÞ¸¶_±âÅ¸" xfId="73"/>
    <cellStyle name="Bad 2" xfId="75"/>
    <cellStyle name="BE Pickup Link" xfId="76"/>
    <cellStyle name="Bigger Arial 12" xfId="77"/>
    <cellStyle name="BlackStrike" xfId="78"/>
    <cellStyle name="BlackText" xfId="79"/>
    <cellStyle name="blue" xfId="80"/>
    <cellStyle name="BLUEBOOK" xfId="81"/>
    <cellStyle name="Body" xfId="82"/>
    <cellStyle name="Bold/Border" xfId="83"/>
    <cellStyle name="Bold/Border 2" xfId="84"/>
    <cellStyle name="BoldText" xfId="85"/>
    <cellStyle name="Border" xfId="86"/>
    <cellStyle name="Border 2" xfId="87"/>
    <cellStyle name="Border Heavy" xfId="88"/>
    <cellStyle name="Border Thin" xfId="89"/>
    <cellStyle name="Borders" xfId="90"/>
    <cellStyle name="Bullet" xfId="91"/>
    <cellStyle name="Ç¥ÁØ_¿ù°£¿ä¾àº¸°í" xfId="92"/>
    <cellStyle name="Calc Currency (0)" xfId="93"/>
    <cellStyle name="Calc Currency (2)" xfId="94"/>
    <cellStyle name="Calc Percent (0)" xfId="95"/>
    <cellStyle name="Calc Percent (1)" xfId="96"/>
    <cellStyle name="Calc Percent (2)" xfId="97"/>
    <cellStyle name="Calc Units (0)" xfId="98"/>
    <cellStyle name="Calc Units (1)" xfId="99"/>
    <cellStyle name="Calc Units (2)" xfId="100"/>
    <cellStyle name="Calculation 2" xfId="101"/>
    <cellStyle name="Canada" xfId="102"/>
    <cellStyle name="Case" xfId="103"/>
    <cellStyle name="Check Cell 2" xfId="104"/>
    <cellStyle name="colheadleft" xfId="105"/>
    <cellStyle name="colheadleft 2" xfId="106"/>
    <cellStyle name="colheadright" xfId="107"/>
    <cellStyle name="colheadright 2" xfId="108"/>
    <cellStyle name="column1" xfId="109"/>
    <cellStyle name="Comma" xfId="1" builtinId="3"/>
    <cellStyle name="Comma  - Style1" xfId="110"/>
    <cellStyle name="Comma  - Style2" xfId="111"/>
    <cellStyle name="Comma  - Style3" xfId="112"/>
    <cellStyle name="Comma  - Style4" xfId="113"/>
    <cellStyle name="Comma  - Style5" xfId="114"/>
    <cellStyle name="Comma  - Style6" xfId="115"/>
    <cellStyle name="Comma  - Style7" xfId="116"/>
    <cellStyle name="Comma  - Style8" xfId="117"/>
    <cellStyle name="Comma (1)" xfId="118"/>
    <cellStyle name="Comma [00]" xfId="119"/>
    <cellStyle name="Comma [1]" xfId="120"/>
    <cellStyle name="Comma [2]" xfId="121"/>
    <cellStyle name="Comma [3]" xfId="122"/>
    <cellStyle name="Comma 0 [0]" xfId="123"/>
    <cellStyle name="Comma 10" xfId="124"/>
    <cellStyle name="Comma 11" xfId="125"/>
    <cellStyle name="Comma 12" xfId="126"/>
    <cellStyle name="Comma 13" xfId="127"/>
    <cellStyle name="Comma 14" xfId="128"/>
    <cellStyle name="Comma 15" xfId="129"/>
    <cellStyle name="Comma 16" xfId="130"/>
    <cellStyle name="Comma 17" xfId="131"/>
    <cellStyle name="Comma 18" xfId="132"/>
    <cellStyle name="Comma 19" xfId="133"/>
    <cellStyle name="Comma 2" xfId="134"/>
    <cellStyle name="Comma 2 2" xfId="135"/>
    <cellStyle name="Comma 2 2 2" xfId="136"/>
    <cellStyle name="Comma 2 3" xfId="137"/>
    <cellStyle name="Comma 2 4" xfId="138"/>
    <cellStyle name="Comma 2 5" xfId="139"/>
    <cellStyle name="Comma 2 6" xfId="140"/>
    <cellStyle name="Comma 20" xfId="141"/>
    <cellStyle name="Comma 20 2" xfId="142"/>
    <cellStyle name="Comma 20 2 2" xfId="143"/>
    <cellStyle name="Comma 20 3" xfId="144"/>
    <cellStyle name="Comma 20 3 2" xfId="145"/>
    <cellStyle name="Comma 20 4" xfId="146"/>
    <cellStyle name="Comma 21" xfId="147"/>
    <cellStyle name="Comma 22" xfId="148"/>
    <cellStyle name="Comma 23" xfId="149"/>
    <cellStyle name="Comma 24" xfId="150"/>
    <cellStyle name="Comma 25" xfId="151"/>
    <cellStyle name="Comma 26" xfId="152"/>
    <cellStyle name="Comma 27" xfId="153"/>
    <cellStyle name="Comma 28" xfId="154"/>
    <cellStyle name="Comma 29" xfId="155"/>
    <cellStyle name="Comma 3" xfId="156"/>
    <cellStyle name="Comma 3 2" xfId="157"/>
    <cellStyle name="Comma 3 2 2" xfId="158"/>
    <cellStyle name="Comma 3 2 2 2" xfId="159"/>
    <cellStyle name="Comma 3 2 3" xfId="160"/>
    <cellStyle name="Comma 3 3" xfId="161"/>
    <cellStyle name="Comma 3 4" xfId="162"/>
    <cellStyle name="Comma 3 4 2" xfId="163"/>
    <cellStyle name="Comma 3 5" xfId="164"/>
    <cellStyle name="Comma 3 6" xfId="165"/>
    <cellStyle name="Comma 3 7" xfId="166"/>
    <cellStyle name="Comma 4" xfId="167"/>
    <cellStyle name="Comma 4 2" xfId="168"/>
    <cellStyle name="Comma 4 2 2" xfId="169"/>
    <cellStyle name="Comma 4 2 2 2" xfId="170"/>
    <cellStyle name="Comma 4 2 3" xfId="171"/>
    <cellStyle name="Comma 4 3" xfId="172"/>
    <cellStyle name="Comma 4 3 2" xfId="173"/>
    <cellStyle name="Comma 4 3 3" xfId="174"/>
    <cellStyle name="Comma 4 4" xfId="175"/>
    <cellStyle name="Comma 4 5" xfId="176"/>
    <cellStyle name="Comma 5" xfId="177"/>
    <cellStyle name="Comma 5 2" xfId="178"/>
    <cellStyle name="Comma 5 2 2" xfId="179"/>
    <cellStyle name="Comma 5 2 2 2" xfId="180"/>
    <cellStyle name="Comma 5 2 3" xfId="181"/>
    <cellStyle name="Comma 5 3" xfId="182"/>
    <cellStyle name="Comma 5 3 2" xfId="183"/>
    <cellStyle name="Comma 5 3 3" xfId="184"/>
    <cellStyle name="Comma 5 4" xfId="185"/>
    <cellStyle name="Comma 5 5" xfId="186"/>
    <cellStyle name="Comma 6" xfId="187"/>
    <cellStyle name="Comma 6 2" xfId="188"/>
    <cellStyle name="Comma 6 2 2" xfId="189"/>
    <cellStyle name="Comma 6 3" xfId="190"/>
    <cellStyle name="Comma 6 3 2" xfId="191"/>
    <cellStyle name="Comma 6 4" xfId="192"/>
    <cellStyle name="Comma 6 5" xfId="193"/>
    <cellStyle name="Comma 7" xfId="194"/>
    <cellStyle name="Comma 7 2" xfId="195"/>
    <cellStyle name="Comma 7 2 2" xfId="196"/>
    <cellStyle name="Comma 7 3" xfId="197"/>
    <cellStyle name="Comma 7 3 2" xfId="198"/>
    <cellStyle name="Comma 7 4" xfId="199"/>
    <cellStyle name="Comma 7 5" xfId="200"/>
    <cellStyle name="Comma 8" xfId="201"/>
    <cellStyle name="Comma 8 2" xfId="202"/>
    <cellStyle name="Comma 8 2 2" xfId="203"/>
    <cellStyle name="Comma 8 3" xfId="204"/>
    <cellStyle name="Comma 9" xfId="205"/>
    <cellStyle name="Comma[1]" xfId="206"/>
    <cellStyle name="Comma[2]" xfId="207"/>
    <cellStyle name="Comma[3]" xfId="208"/>
    <cellStyle name="Comma0" xfId="209"/>
    <cellStyle name="Comma0 2" xfId="210"/>
    <cellStyle name="CompanyName" xfId="211"/>
    <cellStyle name="Currency" xfId="2" builtinId="4"/>
    <cellStyle name="Currency [$0]" xfId="212"/>
    <cellStyle name="Currency [£0]" xfId="213"/>
    <cellStyle name="Currency [00]" xfId="214"/>
    <cellStyle name="Currency [1]" xfId="215"/>
    <cellStyle name="Currency [2]" xfId="216"/>
    <cellStyle name="Currency [3]" xfId="217"/>
    <cellStyle name="Currency 10" xfId="218"/>
    <cellStyle name="Currency 11" xfId="219"/>
    <cellStyle name="Currency 12" xfId="220"/>
    <cellStyle name="Currency 13" xfId="221"/>
    <cellStyle name="Currency 14" xfId="222"/>
    <cellStyle name="Currency 15" xfId="223"/>
    <cellStyle name="Currency 16" xfId="224"/>
    <cellStyle name="Currency 2" xfId="225"/>
    <cellStyle name="Currency 2 2" xfId="226"/>
    <cellStyle name="Currency 2 2 2" xfId="227"/>
    <cellStyle name="Currency 2 3" xfId="228"/>
    <cellStyle name="Currency 2 4" xfId="229"/>
    <cellStyle name="Currency 3" xfId="230"/>
    <cellStyle name="Currency 3 2" xfId="231"/>
    <cellStyle name="Currency 3 3" xfId="232"/>
    <cellStyle name="Currency 3 3 2" xfId="233"/>
    <cellStyle name="Currency 3 4" xfId="234"/>
    <cellStyle name="Currency 3 4 2" xfId="235"/>
    <cellStyle name="Currency 3 5" xfId="236"/>
    <cellStyle name="Currency 4" xfId="237"/>
    <cellStyle name="Currency 5" xfId="238"/>
    <cellStyle name="Currency 5 2" xfId="239"/>
    <cellStyle name="Currency 6" xfId="240"/>
    <cellStyle name="Currency 7" xfId="241"/>
    <cellStyle name="Currency 8" xfId="242"/>
    <cellStyle name="Currency 9" xfId="243"/>
    <cellStyle name="Currency Per Share" xfId="244"/>
    <cellStyle name="Currency[2]" xfId="245"/>
    <cellStyle name="Currency0" xfId="246"/>
    <cellStyle name="Currency0 2" xfId="247"/>
    <cellStyle name="Currsmall" xfId="248"/>
    <cellStyle name="d_yield" xfId="249"/>
    <cellStyle name="Dash" xfId="250"/>
    <cellStyle name="Data Link" xfId="251"/>
    <cellStyle name="Date" xfId="252"/>
    <cellStyle name="Date [d-mmm-yy]" xfId="253"/>
    <cellStyle name="Date [mm-d-yy]" xfId="254"/>
    <cellStyle name="Date [mm-d-yyyy]" xfId="255"/>
    <cellStyle name="Date [mmm-d-yyyy]" xfId="256"/>
    <cellStyle name="Date [mmm-yy]" xfId="257"/>
    <cellStyle name="DATE 2" xfId="258"/>
    <cellStyle name="Date Short" xfId="259"/>
    <cellStyle name="Date_~4720553" xfId="260"/>
    <cellStyle name="DateHeading" xfId="261"/>
    <cellStyle name="Dezimal [0]_Compiling Utility Macros" xfId="262"/>
    <cellStyle name="Dezimal_Compiling Utility Macros" xfId="263"/>
    <cellStyle name="Dollar" xfId="264"/>
    <cellStyle name="dollars" xfId="265"/>
    <cellStyle name="dp*Accent" xfId="266"/>
    <cellStyle name="dp*ChartSubTitle" xfId="267"/>
    <cellStyle name="dp*ChartTitle" xfId="268"/>
    <cellStyle name="dp*ColumnHeading1" xfId="269"/>
    <cellStyle name="dp*ColumnHeading2" xfId="270"/>
    <cellStyle name="dp*ColumnHeadingDate" xfId="271"/>
    <cellStyle name="dp*FiscalDate" xfId="272"/>
    <cellStyle name="dp*Footnote" xfId="273"/>
    <cellStyle name="dp*Information" xfId="274"/>
    <cellStyle name="dp*LabelItalics" xfId="275"/>
    <cellStyle name="dp*LabelItalicsLineAbove" xfId="276"/>
    <cellStyle name="dp*LabelLine" xfId="277"/>
    <cellStyle name="dp*Labels" xfId="278"/>
    <cellStyle name="dp*Normal" xfId="279"/>
    <cellStyle name="dp*NormalCurrency1Dec." xfId="280"/>
    <cellStyle name="dp*NormalCurrency2Dec." xfId="281"/>
    <cellStyle name="dp*Number%Italics" xfId="282"/>
    <cellStyle name="dp*Number%ItalicsLineAbove" xfId="283"/>
    <cellStyle name="dp*Number%ItalicsLineAbove 2" xfId="284"/>
    <cellStyle name="dp*NumberCurrencyLine" xfId="285"/>
    <cellStyle name="dp*NumberGeneral" xfId="286"/>
    <cellStyle name="dp*NumberGeneral2Dec." xfId="287"/>
    <cellStyle name="dp*NumberLine" xfId="288"/>
    <cellStyle name="dp*NumberLine 2" xfId="289"/>
    <cellStyle name="dp*NumberLineEPS" xfId="290"/>
    <cellStyle name="dp*NumberLineEPS 2" xfId="291"/>
    <cellStyle name="dp*NumberSpecial" xfId="292"/>
    <cellStyle name="dp*RatioX" xfId="293"/>
    <cellStyle name="dp*SeriesName" xfId="294"/>
    <cellStyle name="dp*SheetSubTitle" xfId="295"/>
    <cellStyle name="dp*SheetSubTitle 2" xfId="296"/>
    <cellStyle name="dp*SheetTitle" xfId="297"/>
    <cellStyle name="dp*SubTitle" xfId="298"/>
    <cellStyle name="dp*ThickLineAbove" xfId="299"/>
    <cellStyle name="dp*ThickLineBelow" xfId="300"/>
    <cellStyle name="dp*ThinLineAbove" xfId="301"/>
    <cellStyle name="dp*ThinLineAbove 2" xfId="302"/>
    <cellStyle name="dp*ThinLineBelow" xfId="303"/>
    <cellStyle name="dp*XAxisTitle" xfId="304"/>
    <cellStyle name="dp*Y2AxisTitle" xfId="305"/>
    <cellStyle name="dp*YAxisTitle" xfId="306"/>
    <cellStyle name="Enter Currency (0)" xfId="307"/>
    <cellStyle name="Enter Currency (2)" xfId="308"/>
    <cellStyle name="Enter Units (0)" xfId="309"/>
    <cellStyle name="Enter Units (1)" xfId="310"/>
    <cellStyle name="Enter Units (2)" xfId="311"/>
    <cellStyle name="eps" xfId="312"/>
    <cellStyle name="eps$" xfId="313"/>
    <cellStyle name="eps$A" xfId="314"/>
    <cellStyle name="eps$E" xfId="315"/>
    <cellStyle name="epsA" xfId="316"/>
    <cellStyle name="epsE" xfId="317"/>
    <cellStyle name="Euro" xfId="318"/>
    <cellStyle name="Euro 2" xfId="319"/>
    <cellStyle name="Exhibits" xfId="320"/>
    <cellStyle name="Explanatory Text 2" xfId="321"/>
    <cellStyle name="F2" xfId="322"/>
    <cellStyle name="F2 - Style1" xfId="323"/>
    <cellStyle name="F2_COVER" xfId="324"/>
    <cellStyle name="F3" xfId="325"/>
    <cellStyle name="F3 - Style2" xfId="326"/>
    <cellStyle name="F3_~4720553" xfId="327"/>
    <cellStyle name="F4" xfId="328"/>
    <cellStyle name="F5" xfId="329"/>
    <cellStyle name="F5 - Style3" xfId="330"/>
    <cellStyle name="F5_~4720553" xfId="331"/>
    <cellStyle name="F6" xfId="332"/>
    <cellStyle name="F7" xfId="333"/>
    <cellStyle name="F8" xfId="334"/>
    <cellStyle name="ffactors" xfId="335"/>
    <cellStyle name="Fin_Acct" xfId="336"/>
    <cellStyle name="Fixed" xfId="337"/>
    <cellStyle name="Fixed [0]" xfId="338"/>
    <cellStyle name="Fixed 2" xfId="339"/>
    <cellStyle name="Fixed_~4720553" xfId="340"/>
    <cellStyle name="Fixlong" xfId="34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rmula" xfId="342"/>
    <cellStyle name="fred" xfId="343"/>
    <cellStyle name="Fred%" xfId="344"/>
    <cellStyle name="fy_eps$" xfId="345"/>
    <cellStyle name="g_rate" xfId="346"/>
    <cellStyle name="Good 2" xfId="347"/>
    <cellStyle name="Grey" xfId="348"/>
    <cellStyle name="HEADER" xfId="349"/>
    <cellStyle name="HEADER 2" xfId="350"/>
    <cellStyle name="HEADER 3" xfId="351"/>
    <cellStyle name="Header1" xfId="352"/>
    <cellStyle name="Header2" xfId="353"/>
    <cellStyle name="Header2 2" xfId="354"/>
    <cellStyle name="Header2 2 2" xfId="355"/>
    <cellStyle name="Heading" xfId="356"/>
    <cellStyle name="Heading 1 2" xfId="357"/>
    <cellStyle name="Heading 1 2 2" xfId="358"/>
    <cellStyle name="Heading 2 2" xfId="359"/>
    <cellStyle name="Heading 2 2 2" xfId="360"/>
    <cellStyle name="Heading 3 2" xfId="361"/>
    <cellStyle name="Heading 4 2" xfId="362"/>
    <cellStyle name="Heading1" xfId="363"/>
    <cellStyle name="Heading2" xfId="364"/>
    <cellStyle name="HEADINGS" xfId="365"/>
    <cellStyle name="hidden" xfId="366"/>
    <cellStyle name="HIGHLIGHT" xfId="367"/>
    <cellStyle name="Hipervínculo_BINV" xfId="368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InColHead" xfId="369"/>
    <cellStyle name="InColHead 2" xfId="370"/>
    <cellStyle name="InNumDec2" xfId="371"/>
    <cellStyle name="InNumDec2 2" xfId="372"/>
    <cellStyle name="InNumDec4" xfId="373"/>
    <cellStyle name="InNumDec4 2" xfId="374"/>
    <cellStyle name="Input [yellow]" xfId="375"/>
    <cellStyle name="Input 2" xfId="376"/>
    <cellStyle name="Input cells" xfId="377"/>
    <cellStyle name="Input cells 2" xfId="378"/>
    <cellStyle name="Input Currency" xfId="379"/>
    <cellStyle name="Input Date" xfId="380"/>
    <cellStyle name="Input Fixed [0]" xfId="381"/>
    <cellStyle name="Input Normal" xfId="382"/>
    <cellStyle name="Input Percent" xfId="383"/>
    <cellStyle name="Input Percent [2]" xfId="384"/>
    <cellStyle name="Input Titles" xfId="385"/>
    <cellStyle name="Input Value" xfId="386"/>
    <cellStyle name="Input1" xfId="387"/>
    <cellStyle name="Input2" xfId="388"/>
    <cellStyle name="Input2 2" xfId="389"/>
    <cellStyle name="INPUTS" xfId="390"/>
    <cellStyle name="Inputs2" xfId="391"/>
    <cellStyle name="InRowYears" xfId="392"/>
    <cellStyle name="InRowYears 2" xfId="393"/>
    <cellStyle name="Integer" xfId="394"/>
    <cellStyle name="Investor Relations Template" xfId="395"/>
    <cellStyle name="IR column headings" xfId="396"/>
    <cellStyle name="IR column headings 2" xfId="397"/>
    <cellStyle name="Jeanine" xfId="398"/>
    <cellStyle name="Jeanine1" xfId="399"/>
    <cellStyle name="LeftSubtitle" xfId="400"/>
    <cellStyle name="Link Currency (0)" xfId="401"/>
    <cellStyle name="Link Currency (2)" xfId="402"/>
    <cellStyle name="Link Units (0)" xfId="403"/>
    <cellStyle name="Link Units (1)" xfId="404"/>
    <cellStyle name="Link Units (2)" xfId="405"/>
    <cellStyle name="Linked Cell 2" xfId="406"/>
    <cellStyle name="m" xfId="407"/>
    <cellStyle name="m$" xfId="408"/>
    <cellStyle name="Manual Input" xfId="409"/>
    <cellStyle name="MICRO BOSTON" xfId="410"/>
    <cellStyle name="mil" xfId="411"/>
    <cellStyle name="Millares [0]_BINV" xfId="412"/>
    <cellStyle name="Millares_AVMOD" xfId="413"/>
    <cellStyle name="mm" xfId="414"/>
    <cellStyle name="Moneda [0]_BINV" xfId="415"/>
    <cellStyle name="Moneda_AVMOD" xfId="416"/>
    <cellStyle name="MSectionHeadings" xfId="417"/>
    <cellStyle name="Multiple" xfId="418"/>
    <cellStyle name="Multiple [1]" xfId="419"/>
    <cellStyle name="Multiple_~4720553" xfId="420"/>
    <cellStyle name="NA is zero" xfId="421"/>
    <cellStyle name="Neutral 2" xfId="422"/>
    <cellStyle name="no dec" xfId="423"/>
    <cellStyle name="Normal" xfId="0" builtinId="0"/>
    <cellStyle name="Normal - Style1" xfId="424"/>
    <cellStyle name="Normal - Style1 2" xfId="425"/>
    <cellStyle name="Normal [0]" xfId="426"/>
    <cellStyle name="Normal [1]" xfId="427"/>
    <cellStyle name="Normal [2]" xfId="428"/>
    <cellStyle name="Normal [3]" xfId="429"/>
    <cellStyle name="Normal 000$" xfId="430"/>
    <cellStyle name="Normal 000$ 2" xfId="431"/>
    <cellStyle name="Normal 10" xfId="432"/>
    <cellStyle name="Normal 10 2" xfId="433"/>
    <cellStyle name="Normal 11" xfId="434"/>
    <cellStyle name="Normal 11 2" xfId="435"/>
    <cellStyle name="Normal 11 3" xfId="436"/>
    <cellStyle name="Normal 12" xfId="437"/>
    <cellStyle name="Normal 12 2" xfId="438"/>
    <cellStyle name="Normal 13" xfId="439"/>
    <cellStyle name="Normal 13 2" xfId="440"/>
    <cellStyle name="Normal 14" xfId="441"/>
    <cellStyle name="Normal 14 2" xfId="442"/>
    <cellStyle name="Normal 15" xfId="443"/>
    <cellStyle name="Normal 15 2" xfId="444"/>
    <cellStyle name="Normal 16" xfId="445"/>
    <cellStyle name="Normal 16 2" xfId="446"/>
    <cellStyle name="Normal 16 2 2" xfId="447"/>
    <cellStyle name="Normal 16 3" xfId="448"/>
    <cellStyle name="Normal 16 4" xfId="449"/>
    <cellStyle name="Normal 17" xfId="450"/>
    <cellStyle name="Normal 17 2" xfId="451"/>
    <cellStyle name="Normal 17 2 2" xfId="452"/>
    <cellStyle name="Normal 17 3" xfId="453"/>
    <cellStyle name="Normal 17 4" xfId="454"/>
    <cellStyle name="Normal 18" xfId="455"/>
    <cellStyle name="Normal 18 2" xfId="456"/>
    <cellStyle name="Normal 18 2 2" xfId="457"/>
    <cellStyle name="Normal 18 3" xfId="458"/>
    <cellStyle name="Normal 18 4" xfId="459"/>
    <cellStyle name="Normal 19" xfId="460"/>
    <cellStyle name="Normal 19 2" xfId="461"/>
    <cellStyle name="Normal 19 2 2" xfId="462"/>
    <cellStyle name="Normal 19 3" xfId="463"/>
    <cellStyle name="Normal 19 4" xfId="464"/>
    <cellStyle name="Normal 2" xfId="465"/>
    <cellStyle name="Normal 2 2" xfId="466"/>
    <cellStyle name="Normal 2 2 2" xfId="467"/>
    <cellStyle name="Normal 2 2 2 2" xfId="468"/>
    <cellStyle name="Normal 2 2 3" xfId="469"/>
    <cellStyle name="Normal 2 2 4" xfId="470"/>
    <cellStyle name="Normal 2 3" xfId="471"/>
    <cellStyle name="Normal 2 3 2" xfId="472"/>
    <cellStyle name="Normal 2 4" xfId="473"/>
    <cellStyle name="Normal 2 5" xfId="474"/>
    <cellStyle name="Normal 2 6" xfId="475"/>
    <cellStyle name="Normal 2 7" xfId="476"/>
    <cellStyle name="Normal 20" xfId="477"/>
    <cellStyle name="Normal 20 2" xfId="478"/>
    <cellStyle name="Normal 20 2 2" xfId="479"/>
    <cellStyle name="Normal 20 3" xfId="480"/>
    <cellStyle name="Normal 20 4" xfId="481"/>
    <cellStyle name="Normal 21" xfId="482"/>
    <cellStyle name="Normal 21 2" xfId="483"/>
    <cellStyle name="Normal 21 2 2" xfId="484"/>
    <cellStyle name="Normal 21 2 2 2" xfId="485"/>
    <cellStyle name="Normal 21 2 3" xfId="486"/>
    <cellStyle name="Normal 21 3" xfId="487"/>
    <cellStyle name="Normal 21 3 2" xfId="488"/>
    <cellStyle name="Normal 21 3 3" xfId="489"/>
    <cellStyle name="Normal 21 4" xfId="490"/>
    <cellStyle name="Normal 21 5" xfId="491"/>
    <cellStyle name="Normal 22" xfId="492"/>
    <cellStyle name="Normal 22 2" xfId="493"/>
    <cellStyle name="Normal 22 2 2" xfId="494"/>
    <cellStyle name="Normal 22 3" xfId="495"/>
    <cellStyle name="Normal 22 4" xfId="496"/>
    <cellStyle name="Normal 23" xfId="497"/>
    <cellStyle name="Normal 23 2" xfId="498"/>
    <cellStyle name="Normal 23 2 2" xfId="499"/>
    <cellStyle name="Normal 23 3" xfId="500"/>
    <cellStyle name="Normal 23 4" xfId="501"/>
    <cellStyle name="Normal 24" xfId="502"/>
    <cellStyle name="Normal 24 2" xfId="503"/>
    <cellStyle name="Normal 24 2 2" xfId="504"/>
    <cellStyle name="Normal 24 3" xfId="505"/>
    <cellStyle name="Normal 24 4" xfId="506"/>
    <cellStyle name="Normal 25" xfId="507"/>
    <cellStyle name="Normal 25 2" xfId="508"/>
    <cellStyle name="Normal 25 2 2" xfId="509"/>
    <cellStyle name="Normal 25 3" xfId="510"/>
    <cellStyle name="Normal 25 4" xfId="511"/>
    <cellStyle name="Normal 26" xfId="512"/>
    <cellStyle name="Normal 26 2" xfId="513"/>
    <cellStyle name="Normal 26 2 2" xfId="514"/>
    <cellStyle name="Normal 26 3" xfId="515"/>
    <cellStyle name="Normal 26 4" xfId="516"/>
    <cellStyle name="Normal 27" xfId="517"/>
    <cellStyle name="Normal 27 2" xfId="518"/>
    <cellStyle name="Normal 28" xfId="519"/>
    <cellStyle name="Normal 28 2" xfId="520"/>
    <cellStyle name="Normal 29" xfId="521"/>
    <cellStyle name="Normal 29 2" xfId="522"/>
    <cellStyle name="Normal 29 3" xfId="523"/>
    <cellStyle name="Normal 3" xfId="524"/>
    <cellStyle name="Normal 3 2" xfId="525"/>
    <cellStyle name="Normal 3 2 2" xfId="526"/>
    <cellStyle name="Normal 3 2 2 2" xfId="527"/>
    <cellStyle name="Normal 3 2 2 3" xfId="528"/>
    <cellStyle name="Normal 3 2 3" xfId="529"/>
    <cellStyle name="Normal 3 2 4" xfId="530"/>
    <cellStyle name="Normal 3 3" xfId="531"/>
    <cellStyle name="Normal 3 3 2" xfId="532"/>
    <cellStyle name="Normal 3 4" xfId="533"/>
    <cellStyle name="Normal 3 5" xfId="534"/>
    <cellStyle name="Normal 3 6" xfId="535"/>
    <cellStyle name="Normal 30" xfId="536"/>
    <cellStyle name="Normal 30 2" xfId="537"/>
    <cellStyle name="Normal 30 3" xfId="538"/>
    <cellStyle name="Normal 31" xfId="539"/>
    <cellStyle name="Normal 31 2" xfId="540"/>
    <cellStyle name="Normal 32" xfId="541"/>
    <cellStyle name="Normal 32 2" xfId="542"/>
    <cellStyle name="Normal 33" xfId="543"/>
    <cellStyle name="Normal 34" xfId="544"/>
    <cellStyle name="Normal 34 2" xfId="545"/>
    <cellStyle name="Normal 35" xfId="546"/>
    <cellStyle name="Normal 36" xfId="547"/>
    <cellStyle name="Normal 37" xfId="548"/>
    <cellStyle name="Normal 38" xfId="549"/>
    <cellStyle name="Normal 39" xfId="550"/>
    <cellStyle name="Normal 4" xfId="551"/>
    <cellStyle name="Normal 4 2" xfId="552"/>
    <cellStyle name="Normal 4 2 2" xfId="553"/>
    <cellStyle name="Normal 4 3" xfId="554"/>
    <cellStyle name="Normal 4 4" xfId="555"/>
    <cellStyle name="Normal 40" xfId="556"/>
    <cellStyle name="Normal 41" xfId="557"/>
    <cellStyle name="Normal 42" xfId="558"/>
    <cellStyle name="Normal 43" xfId="559"/>
    <cellStyle name="Normal 44" xfId="5"/>
    <cellStyle name="Normal 44 2" xfId="560"/>
    <cellStyle name="Normal 45" xfId="8"/>
    <cellStyle name="Normal 45 2" xfId="561"/>
    <cellStyle name="Normal 46" xfId="7"/>
    <cellStyle name="Normal 47" xfId="11"/>
    <cellStyle name="Normal 48" xfId="12"/>
    <cellStyle name="Normal 49" xfId="13"/>
    <cellStyle name="Normal 5" xfId="562"/>
    <cellStyle name="Normal 5 2" xfId="563"/>
    <cellStyle name="Normal 5 2 2" xfId="564"/>
    <cellStyle name="Normal 5 2 2 2" xfId="565"/>
    <cellStyle name="Normal 5 2 2 3" xfId="566"/>
    <cellStyle name="Normal 5 2 3" xfId="567"/>
    <cellStyle name="Normal 5 3" xfId="568"/>
    <cellStyle name="Normal 5 3 2" xfId="569"/>
    <cellStyle name="Normal 5 3 3" xfId="570"/>
    <cellStyle name="Normal 5 4" xfId="571"/>
    <cellStyle name="Normal 5 5" xfId="572"/>
    <cellStyle name="Normal 50" xfId="9"/>
    <cellStyle name="Normal 51" xfId="10"/>
    <cellStyle name="Normal 6" xfId="573"/>
    <cellStyle name="Normal 6 2" xfId="574"/>
    <cellStyle name="Normal 6 2 2" xfId="575"/>
    <cellStyle name="Normal 6 3" xfId="576"/>
    <cellStyle name="Normal 6 3 2" xfId="577"/>
    <cellStyle name="Normal 6 4" xfId="578"/>
    <cellStyle name="Normal 6 5" xfId="579"/>
    <cellStyle name="Normal 7" xfId="580"/>
    <cellStyle name="Normal 7 2" xfId="581"/>
    <cellStyle name="Normal 7 2 2" xfId="582"/>
    <cellStyle name="Normal 7 3" xfId="583"/>
    <cellStyle name="Normal 7 3 2" xfId="584"/>
    <cellStyle name="Normal 7 4" xfId="585"/>
    <cellStyle name="Normal 7 5" xfId="586"/>
    <cellStyle name="Normal 8" xfId="587"/>
    <cellStyle name="Normal 8 2" xfId="588"/>
    <cellStyle name="Normal 8 2 2" xfId="589"/>
    <cellStyle name="Normal 8 2 2 2" xfId="590"/>
    <cellStyle name="Normal 8 2 3" xfId="591"/>
    <cellStyle name="Normal 8 3" xfId="592"/>
    <cellStyle name="Normal 8 3 2" xfId="593"/>
    <cellStyle name="Normal 8 3 3" xfId="594"/>
    <cellStyle name="Normal 8 4" xfId="595"/>
    <cellStyle name="Normal 8 5" xfId="596"/>
    <cellStyle name="Normal 9" xfId="597"/>
    <cellStyle name="Normal 9 2" xfId="598"/>
    <cellStyle name="Normal Bold" xfId="599"/>
    <cellStyle name="Normal Pct" xfId="600"/>
    <cellStyle name="Normal_2007 Adjusted Rate Case oct24" xfId="14"/>
    <cellStyle name="Normal_97REINTX" xfId="6"/>
    <cellStyle name="Normal_Unnormalized" xfId="4"/>
    <cellStyle name="NormalHelv" xfId="601"/>
    <cellStyle name="NormalNumber%" xfId="602"/>
    <cellStyle name="Note 2" xfId="603"/>
    <cellStyle name="nPlosion" xfId="604"/>
    <cellStyle name="NPPESalesPct" xfId="605"/>
    <cellStyle name="number" xfId="606"/>
    <cellStyle name="Numbers" xfId="607"/>
    <cellStyle name="NWI%S" xfId="608"/>
    <cellStyle name="Output 2" xfId="609"/>
    <cellStyle name="Output Amounts" xfId="610"/>
    <cellStyle name="Output Column Headings" xfId="611"/>
    <cellStyle name="Output Line Items" xfId="612"/>
    <cellStyle name="Output Report Heading" xfId="613"/>
    <cellStyle name="Output Report Title" xfId="614"/>
    <cellStyle name="P" xfId="615"/>
    <cellStyle name="Page Heading" xfId="616"/>
    <cellStyle name="Page Heading Large" xfId="617"/>
    <cellStyle name="Page Heading Small" xfId="618"/>
    <cellStyle name="Palatino" xfId="619"/>
    <cellStyle name="PB Table Heading" xfId="620"/>
    <cellStyle name="PB Table Highlight1" xfId="621"/>
    <cellStyle name="PB Table Highlight2" xfId="622"/>
    <cellStyle name="PB Table Highlight3" xfId="623"/>
    <cellStyle name="PB Table Standard Row" xfId="624"/>
    <cellStyle name="PB Table Subtotal Row" xfId="625"/>
    <cellStyle name="PB Table Total Row" xfId="626"/>
    <cellStyle name="pc1" xfId="627"/>
    <cellStyle name="pct_sub" xfId="628"/>
    <cellStyle name="pe" xfId="629"/>
    <cellStyle name="PEG" xfId="630"/>
    <cellStyle name="Percent" xfId="3" builtinId="5"/>
    <cellStyle name="Percent (0)" xfId="631"/>
    <cellStyle name="Percent [0]" xfId="632"/>
    <cellStyle name="Percent [00]" xfId="633"/>
    <cellStyle name="Percent [1]" xfId="634"/>
    <cellStyle name="Percent [2]" xfId="635"/>
    <cellStyle name="Percent 1" xfId="636"/>
    <cellStyle name="Percent 10" xfId="637"/>
    <cellStyle name="Percent 11" xfId="638"/>
    <cellStyle name="Percent 12" xfId="639"/>
    <cellStyle name="Percent 13" xfId="640"/>
    <cellStyle name="Percent 14" xfId="641"/>
    <cellStyle name="Percent 15" xfId="642"/>
    <cellStyle name="Percent 16" xfId="643"/>
    <cellStyle name="Percent 17" xfId="644"/>
    <cellStyle name="Percent 18" xfId="645"/>
    <cellStyle name="Percent 2" xfId="646"/>
    <cellStyle name="Percent 2 2" xfId="647"/>
    <cellStyle name="Percent 2 3" xfId="648"/>
    <cellStyle name="Percent 2 3 2" xfId="649"/>
    <cellStyle name="Percent 2 4" xfId="650"/>
    <cellStyle name="Percent 3" xfId="651"/>
    <cellStyle name="Percent 3 2" xfId="652"/>
    <cellStyle name="Percent 3 3" xfId="653"/>
    <cellStyle name="Percent 4" xfId="654"/>
    <cellStyle name="Percent 5" xfId="655"/>
    <cellStyle name="Percent 5 2" xfId="656"/>
    <cellStyle name="Percent 5 2 2" xfId="657"/>
    <cellStyle name="Percent 5 3" xfId="658"/>
    <cellStyle name="Percent 5 3 2" xfId="659"/>
    <cellStyle name="Percent 5 4" xfId="660"/>
    <cellStyle name="Percent 5 5" xfId="661"/>
    <cellStyle name="Percent 6" xfId="662"/>
    <cellStyle name="Percent 7" xfId="663"/>
    <cellStyle name="Percent 8" xfId="664"/>
    <cellStyle name="Percent 9" xfId="665"/>
    <cellStyle name="Percent Hard" xfId="666"/>
    <cellStyle name="Percent[2]" xfId="667"/>
    <cellStyle name="PercentSales" xfId="668"/>
    <cellStyle name="Perlong" xfId="669"/>
    <cellStyle name="PrePop Currency (0)" xfId="670"/>
    <cellStyle name="PrePop Currency (2)" xfId="671"/>
    <cellStyle name="PrePop Units (0)" xfId="672"/>
    <cellStyle name="PrePop Units (1)" xfId="673"/>
    <cellStyle name="PrePop Units (2)" xfId="674"/>
    <cellStyle name="price" xfId="675"/>
    <cellStyle name="Private" xfId="676"/>
    <cellStyle name="Private1" xfId="677"/>
    <cellStyle name="PROJECT" xfId="678"/>
    <cellStyle name="PROJECT R" xfId="679"/>
    <cellStyle name="Proposal" xfId="680"/>
    <cellStyle name="PSChar" xfId="681"/>
    <cellStyle name="PSDate" xfId="682"/>
    <cellStyle name="PSDec" xfId="683"/>
    <cellStyle name="PSDetail" xfId="684"/>
    <cellStyle name="PSHeading" xfId="685"/>
    <cellStyle name="PSInt" xfId="686"/>
    <cellStyle name="PSSpacer" xfId="687"/>
    <cellStyle name="q" xfId="688"/>
    <cellStyle name="QEPS-h" xfId="689"/>
    <cellStyle name="QEPS-H1" xfId="690"/>
    <cellStyle name="QEPS-H1 2" xfId="691"/>
    <cellStyle name="range" xfId="692"/>
    <cellStyle name="Rate" xfId="693"/>
    <cellStyle name="Red font" xfId="694"/>
    <cellStyle name="Right" xfId="695"/>
    <cellStyle name="RightTitle" xfId="696"/>
    <cellStyle name="Shade" xfId="697"/>
    <cellStyle name="Shaded" xfId="698"/>
    <cellStyle name="Shading" xfId="699"/>
    <cellStyle name="Shares" xfId="700"/>
    <cellStyle name="SMALL HEADINGS" xfId="701"/>
    <cellStyle name="Standard_Anpassen der Amortisation" xfId="702"/>
    <cellStyle name="Strange" xfId="703"/>
    <cellStyle name="STYL1 - Style1" xfId="704"/>
    <cellStyle name="Style 1" xfId="705"/>
    <cellStyle name="Style 346" xfId="706"/>
    <cellStyle name="SUB HEADING" xfId="707"/>
    <cellStyle name="Subheading" xfId="708"/>
    <cellStyle name="Subtitle" xfId="709"/>
    <cellStyle name="Summary" xfId="710"/>
    <cellStyle name="Table Col Head" xfId="711"/>
    <cellStyle name="Table Sub Head" xfId="712"/>
    <cellStyle name="Table Title" xfId="713"/>
    <cellStyle name="Table Units" xfId="714"/>
    <cellStyle name="TableBase" xfId="715"/>
    <cellStyle name="TableBase 2" xfId="716"/>
    <cellStyle name="TableHead" xfId="717"/>
    <cellStyle name="tcn" xfId="718"/>
    <cellStyle name="Test [green]" xfId="719"/>
    <cellStyle name="Text" xfId="720"/>
    <cellStyle name="Text Indent A" xfId="721"/>
    <cellStyle name="Text Indent B" xfId="722"/>
    <cellStyle name="Text Indent C" xfId="723"/>
    <cellStyle name="TFCF" xfId="724"/>
    <cellStyle name="Tickmark" xfId="725"/>
    <cellStyle name="Time" xfId="726"/>
    <cellStyle name="Times New Roman" xfId="727"/>
    <cellStyle name="Title - Style1" xfId="728"/>
    <cellStyle name="Title 2" xfId="729"/>
    <cellStyle name="title2" xfId="730"/>
    <cellStyle name="tn" xfId="731"/>
    <cellStyle name="Total 2" xfId="732"/>
    <cellStyle name="Total 2 2" xfId="733"/>
    <cellStyle name="ubordinated Debt" xfId="734"/>
    <cellStyle name="UnderMultiple" xfId="735"/>
    <cellStyle name="Unhidden" xfId="736"/>
    <cellStyle name="UNITS" xfId="737"/>
    <cellStyle name="UNLocked" xfId="738"/>
    <cellStyle name="Unprot" xfId="739"/>
    <cellStyle name="Unprot$" xfId="740"/>
    <cellStyle name="Unprotect" xfId="741"/>
    <cellStyle name="UNSHADED" xfId="742"/>
    <cellStyle name="Währung [0]_Compiling Utility Macros" xfId="743"/>
    <cellStyle name="Währung_Compiling Utility Macros" xfId="744"/>
    <cellStyle name="Warning Text 2" xfId="745"/>
    <cellStyle name="White" xfId="746"/>
    <cellStyle name="WhitePattern" xfId="747"/>
    <cellStyle name="WhitePattern1" xfId="748"/>
    <cellStyle name="WhitePattern1 2" xfId="749"/>
    <cellStyle name="WhiteText" xfId="750"/>
    <cellStyle name="WP" xfId="751"/>
    <cellStyle name="WP&amp;Co." xfId="752"/>
    <cellStyle name="WPname" xfId="753"/>
    <cellStyle name="WPname 2" xfId="754"/>
    <cellStyle name="x Men" xfId="755"/>
    <cellStyle name="X's (1)" xfId="756"/>
    <cellStyle name="Year" xfId="757"/>
    <cellStyle name="YesNo" xfId="7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1" Type="http://schemas.openxmlformats.org/officeDocument/2006/relationships/externalLink" Target="externalLinks/externalLink4.xml"/><Relationship Id="rId12" Type="http://schemas.openxmlformats.org/officeDocument/2006/relationships/externalLink" Target="externalLinks/externalLink5.xml"/><Relationship Id="rId13" Type="http://schemas.openxmlformats.org/officeDocument/2006/relationships/externalLink" Target="externalLinks/externalLink6.xml"/><Relationship Id="rId14" Type="http://schemas.openxmlformats.org/officeDocument/2006/relationships/externalLink" Target="externalLinks/externalLink7.xml"/><Relationship Id="rId15" Type="http://schemas.openxmlformats.org/officeDocument/2006/relationships/externalLink" Target="externalLinks/externalLink8.xml"/><Relationship Id="rId16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518160</xdr:colOff>
      <xdr:row>3</xdr:row>
      <xdr:rowOff>83820</xdr:rowOff>
    </xdr:from>
    <xdr:to>
      <xdr:col>13</xdr:col>
      <xdr:colOff>586740</xdr:colOff>
      <xdr:row>6</xdr:row>
      <xdr:rowOff>152400</xdr:rowOff>
    </xdr:to>
    <xdr:sp macro="" textlink="">
      <xdr:nvSpPr>
        <xdr:cNvPr id="2" name="Left Brace 1"/>
        <xdr:cNvSpPr/>
      </xdr:nvSpPr>
      <xdr:spPr>
        <a:xfrm>
          <a:off x="8481060" y="678180"/>
          <a:ext cx="68580" cy="61722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nchars/My%20Documents/bp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STUD/Financial%20Business%20Performance/Projects/Sithe/Leave%20to%20Construct/Sithe_Brampton_Revision_Tw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rulr/AppData/Local/Microsoft/Windows/Temporary%20Internet%20Files/Content.Outlook/541PZXO0/EGD%20CapEx%20Master%20Model%2001%2014%2013%20MODIFIED%20ICM%20FORMUL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S/LONG%20RANGE%20PLAN/2005%20Strategic%20Plan/Combined%20Utility%20LRP/EGD%20LRP/1st%20Iteration/LRP%20Rateba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S/LONG%20RANGE%20PLAN/2007%20Strategic%20Plan/EGD%20LRP/1st%20Iteration/Unusable%20worksheets%20temp%20fi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0405_RF%20pfs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0405_RF%20prepaid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nergy%20Port%20Strat%20&amp;%20Mgmt/Asset%20Valuation/Market/Models/DOCUME~1/santamej/LOCALS~1/Temp/RatingAgencyBU12-05%20Cin%20Curve%20Base%20Cas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970SUBS/TEMPLA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</sheetNames>
    <sheetDataSet>
      <sheetData sheetId="0" refreshError="1"/>
      <sheetData sheetId="1" refreshError="1">
        <row r="17">
          <cell r="J17">
            <v>1999</v>
          </cell>
        </row>
        <row r="21">
          <cell r="J21">
            <v>2000</v>
          </cell>
        </row>
        <row r="22">
          <cell r="J22">
            <v>0.2</v>
          </cell>
        </row>
        <row r="28">
          <cell r="J28">
            <v>300</v>
          </cell>
        </row>
        <row r="49">
          <cell r="J49">
            <v>0.2</v>
          </cell>
        </row>
        <row r="54">
          <cell r="J54">
            <v>0</v>
          </cell>
        </row>
        <row r="60">
          <cell r="J60">
            <v>36525</v>
          </cell>
        </row>
        <row r="87">
          <cell r="J87">
            <v>80</v>
          </cell>
        </row>
        <row r="89">
          <cell r="J89">
            <v>5</v>
          </cell>
        </row>
        <row r="100">
          <cell r="J100">
            <v>0</v>
          </cell>
        </row>
        <row r="102">
          <cell r="J10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 Entry"/>
      <sheetName val="Calculations"/>
      <sheetName val="NPV"/>
      <sheetName val="Stage1"/>
      <sheetName val="PCC"/>
      <sheetName val="Customer Summary"/>
      <sheetName val="CCA TAX SHIELD"/>
      <sheetName val="LOOKUP PCC"/>
      <sheetName val="Effectiveness Factors "/>
      <sheetName val="Stage2"/>
      <sheetName val="Rate Impact"/>
      <sheetName val="490PARITY"/>
      <sheetName val="res&amp;com parity"/>
      <sheetName val="WFeasoParam"/>
      <sheetName val="PCC_TAX_CALCS"/>
      <sheetName val="UCC_Adj_Fac"/>
      <sheetName val="Module1"/>
      <sheetName val="ButtonsCode"/>
      <sheetName val="Comments"/>
      <sheetName val="Accts Rec &amp; EBP"/>
      <sheetName val="Balsheet"/>
      <sheetName val="Cash Stmt"/>
      <sheetName val="Defer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B1">
            <v>5.91E-2</v>
          </cell>
        </row>
        <row r="4">
          <cell r="B4">
            <v>0.435</v>
          </cell>
        </row>
        <row r="5">
          <cell r="B5">
            <v>6.0000000000000001E-3</v>
          </cell>
        </row>
        <row r="6">
          <cell r="B6">
            <v>6.9823008849557531E-3</v>
          </cell>
        </row>
        <row r="9">
          <cell r="B9">
            <v>3</v>
          </cell>
        </row>
        <row r="16">
          <cell r="B16">
            <v>2.8</v>
          </cell>
        </row>
        <row r="17">
          <cell r="B17">
            <v>5.0999999999999996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odifications"/>
      <sheetName val="Definitions"/>
      <sheetName val="Summary - ICM"/>
      <sheetName val="Summary - Y Factor"/>
      <sheetName val="Summary - (I-X)"/>
      <sheetName val="GTA CapEx effect to Rate Base"/>
      <sheetName val="CapEx effect to Rate Base"/>
      <sheetName val="Comparisons ICM - Y - "/>
      <sheetName val="Graph Plant Additions"/>
      <sheetName val="EGD Tot CapEx Plan"/>
      <sheetName val="GTA EGD CapEx Plan"/>
      <sheetName val="EGD CapEx Plan Ex GTA"/>
      <sheetName val="data for CapEx Graphs"/>
      <sheetName val="CapEx Graphs"/>
      <sheetName val="Report Table"/>
      <sheetName val=" (I - X)  Analysis"/>
      <sheetName val="I - X Graphs"/>
      <sheetName val=" Y Factor Analysis"/>
      <sheetName val=" Y Fact Graphs"/>
      <sheetName val="ICM Analysis"/>
      <sheetName val="ICM Graphs"/>
      <sheetName val="Rev Req "/>
      <sheetName val="Rev Req graphs"/>
      <sheetName val="Break even data"/>
      <sheetName val="Break Even Graphs"/>
      <sheetName val="P (- 1.50%)"/>
      <sheetName val="P (- 1.25%)"/>
      <sheetName val="P (- 1.00%)"/>
      <sheetName val="P (- .75%)"/>
      <sheetName val="P (- 0.50%)"/>
      <sheetName val="P (- 0.25%)"/>
      <sheetName val="P (0.00%)"/>
      <sheetName val="P (.25%)"/>
      <sheetName val="P (0.50%)"/>
      <sheetName val="P (0.75%)"/>
      <sheetName val="P (1.00%)"/>
      <sheetName val="P (1.25%)"/>
      <sheetName val="P (1.50%)"/>
      <sheetName val="P (1.75%)"/>
      <sheetName val="P (2.00%)"/>
      <sheetName val="P (2.25%)"/>
      <sheetName val="P (2.50%)"/>
      <sheetName val="P (2.75%)"/>
      <sheetName val="P (3.00%)"/>
      <sheetName val="P (3.25%)"/>
      <sheetName val="P (3.50%)"/>
    </sheetNames>
    <sheetDataSet>
      <sheetData sheetId="0"/>
      <sheetData sheetId="1">
        <row r="11">
          <cell r="B11">
            <v>0.2</v>
          </cell>
        </row>
        <row r="15">
          <cell r="B15">
            <v>279300000</v>
          </cell>
        </row>
        <row r="35">
          <cell r="B35">
            <v>4.1381456129433725E-2</v>
          </cell>
        </row>
        <row r="36">
          <cell r="B36">
            <v>8.047E-2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apExp &amp; Other Input"/>
      <sheetName val="CapExp Challenge"/>
      <sheetName val="CapExpChallenge Inflated"/>
      <sheetName val="Cap Adds Effect"/>
      <sheetName val="Gross Plant + Depr"/>
      <sheetName val="Accum Depr"/>
      <sheetName val="Rate Base"/>
      <sheetName val="Ba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CA-COGPE-CDE"/>
      <sheetName val="IDC"/>
      <sheetName val="Cap Exp Inputs"/>
      <sheetName val="Depdetail"/>
      <sheetName val="net plant"/>
      <sheetName val="Rate Base"/>
      <sheetName val="years6-10"/>
      <sheetName val="Adds.to.Pool"/>
      <sheetName val="years1-5"/>
      <sheetName val="2002.UCCbalances.CCAcalc."/>
      <sheetName val="2003.UCCbalances.CCAcalc."/>
      <sheetName val="2004.UCCbalances.CCAcalc."/>
      <sheetName val="2005.UCCbalances.CCAcalc."/>
      <sheetName val="LCT &amp; Cap Tax"/>
      <sheetName val="Deferral"/>
      <sheetName val="Accts Rec &amp; EBP"/>
      <sheetName val="Cash St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A3" t="str">
            <v>Calculation of Large Corporation Tax</v>
          </cell>
        </row>
        <row r="4">
          <cell r="A4" t="str">
            <v>on a Stand Alone Basis</v>
          </cell>
        </row>
        <row r="5">
          <cell r="A5" t="str">
            <v>Ontario Utility Rate Base</v>
          </cell>
        </row>
        <row r="6">
          <cell r="A6" t="str">
            <v>At year end September 30</v>
          </cell>
        </row>
        <row r="10">
          <cell r="A10" t="str">
            <v>Item</v>
          </cell>
        </row>
        <row r="11">
          <cell r="A11" t="str">
            <v>No.</v>
          </cell>
          <cell r="C11">
            <v>2001</v>
          </cell>
          <cell r="D11">
            <v>2002</v>
          </cell>
          <cell r="E11">
            <v>2003</v>
          </cell>
          <cell r="F11">
            <v>2004</v>
          </cell>
          <cell r="G11">
            <v>2005</v>
          </cell>
        </row>
        <row r="12">
          <cell r="B12" t="str">
            <v>Property, plant, and equipment</v>
          </cell>
          <cell r="C12" t="str">
            <v>$(Millions)</v>
          </cell>
          <cell r="D12" t="str">
            <v>$(Millions)</v>
          </cell>
          <cell r="E12" t="str">
            <v>$(Millions)</v>
          </cell>
          <cell r="F12" t="str">
            <v>$(Millions)</v>
          </cell>
          <cell r="G12" t="str">
            <v>$(Millions)</v>
          </cell>
        </row>
        <row r="14">
          <cell r="A14" t="str">
            <v>1.1</v>
          </cell>
          <cell r="B14" t="str">
            <v>Cost  or redetermined value</v>
          </cell>
          <cell r="C14">
            <v>4156.3</v>
          </cell>
          <cell r="D14">
            <v>4076.6000000000004</v>
          </cell>
          <cell r="E14">
            <v>2006</v>
          </cell>
          <cell r="F14">
            <v>0</v>
          </cell>
          <cell r="G14">
            <v>0</v>
          </cell>
        </row>
        <row r="15">
          <cell r="A15" t="str">
            <v>1.2</v>
          </cell>
          <cell r="B15" t="str">
            <v>Accumulated Depreciation</v>
          </cell>
          <cell r="C15">
            <v>-1351.5</v>
          </cell>
          <cell r="D15">
            <v>0</v>
          </cell>
          <cell r="E15">
            <v>5</v>
          </cell>
          <cell r="F15">
            <v>-0.1</v>
          </cell>
          <cell r="G15">
            <v>0</v>
          </cell>
        </row>
        <row r="16">
          <cell r="A16" t="str">
            <v xml:space="preserve"> </v>
          </cell>
        </row>
        <row r="17">
          <cell r="A17" t="str">
            <v>1.</v>
          </cell>
          <cell r="C17">
            <v>2804.8</v>
          </cell>
          <cell r="D17">
            <v>4076.6</v>
          </cell>
          <cell r="E17">
            <v>2011</v>
          </cell>
          <cell r="F17">
            <v>-0.1</v>
          </cell>
          <cell r="G17">
            <v>0</v>
          </cell>
        </row>
        <row r="19">
          <cell r="B19" t="str">
            <v>Allowance for Working Capital</v>
          </cell>
        </row>
        <row r="21">
          <cell r="A21" t="str">
            <v>2.1</v>
          </cell>
          <cell r="B21" t="str">
            <v>Accounts receivable merchandise</v>
          </cell>
        </row>
        <row r="22">
          <cell r="B22" t="str">
            <v xml:space="preserve"> finance plan net of unearned</v>
          </cell>
          <cell r="C22" t="str">
            <v xml:space="preserve"> </v>
          </cell>
          <cell r="D22" t="str">
            <v xml:space="preserve"> </v>
          </cell>
          <cell r="E22" t="str">
            <v xml:space="preserve"> </v>
          </cell>
          <cell r="F22" t="str">
            <v xml:space="preserve"> </v>
          </cell>
          <cell r="G22" t="str">
            <v xml:space="preserve"> </v>
          </cell>
        </row>
        <row r="23">
          <cell r="B23" t="str">
            <v xml:space="preserve"> finance charges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</row>
        <row r="24">
          <cell r="A24" t="str">
            <v>2.2</v>
          </cell>
          <cell r="B24" t="str">
            <v>Accounts receivable rebillable</v>
          </cell>
        </row>
        <row r="25">
          <cell r="B25" t="str">
            <v xml:space="preserve"> projects</v>
          </cell>
          <cell r="C25" t="e">
            <v>#REF!</v>
          </cell>
          <cell r="D25" t="e">
            <v>#REF!</v>
          </cell>
          <cell r="E25" t="e">
            <v>#REF!</v>
          </cell>
          <cell r="F25" t="e">
            <v>#REF!</v>
          </cell>
          <cell r="G25" t="e">
            <v>#REF!</v>
          </cell>
        </row>
        <row r="26">
          <cell r="A26" t="str">
            <v>2.3</v>
          </cell>
          <cell r="B26" t="str">
            <v>Materials and supplies</v>
          </cell>
          <cell r="C26" t="e">
            <v>#REF!</v>
          </cell>
          <cell r="D26" t="e">
            <v>#REF!</v>
          </cell>
          <cell r="E26" t="e">
            <v>#REF!</v>
          </cell>
          <cell r="F26" t="e">
            <v>#REF!</v>
          </cell>
          <cell r="G26" t="e">
            <v>#REF!</v>
          </cell>
        </row>
        <row r="27">
          <cell r="A27" t="str">
            <v>2.4</v>
          </cell>
          <cell r="B27" t="str">
            <v>Mortgages receivable</v>
          </cell>
          <cell r="C27" t="e">
            <v>#REF!</v>
          </cell>
          <cell r="D27" t="e">
            <v>#REF!</v>
          </cell>
          <cell r="E27" t="e">
            <v>#REF!</v>
          </cell>
          <cell r="F27" t="e">
            <v>#REF!</v>
          </cell>
          <cell r="G27" t="e">
            <v>#REF!</v>
          </cell>
        </row>
        <row r="28">
          <cell r="A28" t="str">
            <v>2.5</v>
          </cell>
          <cell r="B28" t="str">
            <v>Customer security deposits</v>
          </cell>
          <cell r="C28" t="e">
            <v>#REF!</v>
          </cell>
          <cell r="D28" t="e">
            <v>#REF!</v>
          </cell>
          <cell r="E28" t="e">
            <v>#REF!</v>
          </cell>
          <cell r="F28" t="e">
            <v>#REF!</v>
          </cell>
          <cell r="G28" t="e">
            <v>#REF!</v>
          </cell>
        </row>
        <row r="29">
          <cell r="A29" t="str">
            <v>2.6</v>
          </cell>
          <cell r="B29" t="str">
            <v>Prepaid expenses</v>
          </cell>
          <cell r="C29" t="e">
            <v>#REF!</v>
          </cell>
          <cell r="D29" t="e">
            <v>#REF!</v>
          </cell>
          <cell r="E29" t="e">
            <v>#REF!</v>
          </cell>
          <cell r="F29" t="e">
            <v>#REF!</v>
          </cell>
          <cell r="G29" t="e">
            <v>#REF!</v>
          </cell>
        </row>
        <row r="30">
          <cell r="A30" t="str">
            <v>2.7</v>
          </cell>
          <cell r="B30" t="str">
            <v xml:space="preserve">Gas in storage     </v>
          </cell>
          <cell r="C30" t="e">
            <v>#REF!</v>
          </cell>
          <cell r="D30" t="e">
            <v>#REF!</v>
          </cell>
          <cell r="E30" t="e">
            <v>#REF!</v>
          </cell>
          <cell r="F30" t="e">
            <v>#REF!</v>
          </cell>
          <cell r="G30" t="e">
            <v>#REF!</v>
          </cell>
        </row>
        <row r="31">
          <cell r="A31" t="str">
            <v xml:space="preserve">2.8  </v>
          </cell>
          <cell r="B31" t="str">
            <v xml:space="preserve">Working cash allowance        </v>
          </cell>
          <cell r="C31" t="e">
            <v>#REF!</v>
          </cell>
          <cell r="D31" t="e">
            <v>#REF!</v>
          </cell>
          <cell r="E31" t="e">
            <v>#REF!</v>
          </cell>
          <cell r="F31" t="e">
            <v>#REF!</v>
          </cell>
          <cell r="G31" t="e">
            <v>#REF!</v>
          </cell>
        </row>
        <row r="33">
          <cell r="A33" t="str">
            <v>2.</v>
          </cell>
          <cell r="C33" t="e">
            <v>#REF!</v>
          </cell>
          <cell r="D33" t="e">
            <v>#REF!</v>
          </cell>
          <cell r="E33" t="e">
            <v>#REF!</v>
          </cell>
          <cell r="F33" t="e">
            <v>#REF!</v>
          </cell>
          <cell r="G33" t="e">
            <v>#REF!</v>
          </cell>
        </row>
        <row r="34">
          <cell r="B34" t="str">
            <v>Adjustment to base to tie into Gino &amp; Strat Plan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6">
          <cell r="A36" t="str">
            <v>3.</v>
          </cell>
          <cell r="B36" t="str">
            <v>M.S.L. net (not subject to return)     [Input]</v>
          </cell>
          <cell r="C36">
            <v>2.1</v>
          </cell>
          <cell r="D36">
            <v>2.1</v>
          </cell>
          <cell r="E36">
            <v>2.1</v>
          </cell>
          <cell r="F36">
            <v>2.1</v>
          </cell>
          <cell r="G36">
            <v>2.1</v>
          </cell>
        </row>
        <row r="38">
          <cell r="A38" t="str">
            <v>4.</v>
          </cell>
          <cell r="B38" t="str">
            <v>Total Rate Base excluding Investments</v>
          </cell>
          <cell r="C38" t="e">
            <v>#REF!</v>
          </cell>
          <cell r="D38" t="e">
            <v>#REF!</v>
          </cell>
          <cell r="E38" t="e">
            <v>#REF!</v>
          </cell>
          <cell r="F38" t="e">
            <v>#REF!</v>
          </cell>
          <cell r="G38" t="e">
            <v>#REF!</v>
          </cell>
        </row>
        <row r="39">
          <cell r="A39" t="str">
            <v>5.</v>
          </cell>
          <cell r="B39" t="str">
            <v>Less exemption                               [Input]</v>
          </cell>
          <cell r="C39">
            <v>-10</v>
          </cell>
          <cell r="D39">
            <v>-10</v>
          </cell>
          <cell r="E39">
            <v>-10</v>
          </cell>
          <cell r="F39">
            <v>-10</v>
          </cell>
          <cell r="G39">
            <v>-10</v>
          </cell>
        </row>
        <row r="41">
          <cell r="A41" t="str">
            <v>6.</v>
          </cell>
          <cell r="B41" t="str">
            <v>Estimated Taxable Capital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</row>
        <row r="42">
          <cell r="A42" t="str">
            <v>7.</v>
          </cell>
          <cell r="B42" t="str">
            <v>Large Corporations Tax Rate          [Input]</v>
          </cell>
          <cell r="C42">
            <v>2.2499999999999998E-3</v>
          </cell>
          <cell r="D42">
            <v>2.2499999999999998E-3</v>
          </cell>
          <cell r="E42">
            <v>2.2499999999999998E-3</v>
          </cell>
          <cell r="F42">
            <v>2.2499999999999998E-3</v>
          </cell>
          <cell r="G42">
            <v>2.2499999999999998E-3</v>
          </cell>
        </row>
        <row r="44">
          <cell r="A44" t="str">
            <v>8.</v>
          </cell>
          <cell r="B44" t="str">
            <v>Large Corporations Tax on Stand alone basis</v>
          </cell>
          <cell r="C44" t="e">
            <v>#REF!</v>
          </cell>
          <cell r="D44" t="e">
            <v>#REF!</v>
          </cell>
          <cell r="E44" t="e">
            <v>#REF!</v>
          </cell>
          <cell r="F44" t="e">
            <v>#REF!</v>
          </cell>
          <cell r="G44" t="e">
            <v>#REF!</v>
          </cell>
        </row>
        <row r="63">
          <cell r="A63" t="str">
            <v>Calculation of Large Corporation Tax</v>
          </cell>
        </row>
        <row r="64">
          <cell r="A64" t="str">
            <v>on a Stand Alone Basis</v>
          </cell>
        </row>
        <row r="65">
          <cell r="A65" t="str">
            <v>Ontario Utility Rate Base</v>
          </cell>
        </row>
        <row r="66">
          <cell r="A66" t="str">
            <v>At year end September 30</v>
          </cell>
        </row>
        <row r="70">
          <cell r="A70" t="str">
            <v>Item</v>
          </cell>
        </row>
        <row r="71">
          <cell r="P71" t="str">
            <v>$(Millions)</v>
          </cell>
          <cell r="Q71" t="str">
            <v>$(Millions)</v>
          </cell>
        </row>
        <row r="72">
          <cell r="K72" t="str">
            <v>Property, plant, and equipment</v>
          </cell>
        </row>
        <row r="74">
          <cell r="J74" t="str">
            <v>1.1</v>
          </cell>
          <cell r="K74" t="str">
            <v xml:space="preserve">U.C.C. balance Sept./30 </v>
          </cell>
          <cell r="P74">
            <v>0</v>
          </cell>
          <cell r="Q74">
            <v>0</v>
          </cell>
        </row>
        <row r="75">
          <cell r="J75" t="str">
            <v>1.2</v>
          </cell>
          <cell r="K75" t="str">
            <v>Adj. for $4 M. &amp; $0.5 M. BP Gas writedown.           [Input]</v>
          </cell>
          <cell r="P75">
            <v>-1.5</v>
          </cell>
          <cell r="Q75">
            <v>-1.5</v>
          </cell>
        </row>
        <row r="76">
          <cell r="J76" t="str">
            <v>1.3</v>
          </cell>
          <cell r="K76" t="str">
            <v>Add : Non depreciable assets - Land,see attached</v>
          </cell>
          <cell r="P76">
            <v>0</v>
          </cell>
          <cell r="Q76">
            <v>0</v>
          </cell>
        </row>
        <row r="77">
          <cell r="J77" t="str">
            <v>1.4</v>
          </cell>
          <cell r="K77" t="str">
            <v>Add : Cumulative Eligible Capital Balance Sept.     [Input]</v>
          </cell>
          <cell r="P77">
            <v>1.9</v>
          </cell>
          <cell r="Q77">
            <v>1.9</v>
          </cell>
        </row>
        <row r="78">
          <cell r="J78" t="str">
            <v>1.5</v>
          </cell>
          <cell r="K78" t="str">
            <v>Add : Canadian development expense &amp; COGPE unclaimed</v>
          </cell>
          <cell r="P78">
            <v>0</v>
          </cell>
          <cell r="Q78">
            <v>0</v>
          </cell>
        </row>
        <row r="80">
          <cell r="J80" t="str">
            <v>1.</v>
          </cell>
          <cell r="P80">
            <v>0.39999999999999991</v>
          </cell>
          <cell r="Q80">
            <v>0.39999999999999991</v>
          </cell>
        </row>
        <row r="83">
          <cell r="J83" t="str">
            <v>2.</v>
          </cell>
          <cell r="K83" t="str">
            <v>Allowance for Working Capital Year end</v>
          </cell>
          <cell r="P83" t="e">
            <v>#REF!</v>
          </cell>
          <cell r="Q83" t="e">
            <v>#REF!</v>
          </cell>
        </row>
        <row r="85">
          <cell r="K85" t="str">
            <v xml:space="preserve"> </v>
          </cell>
          <cell r="P85" t="str">
            <v xml:space="preserve"> </v>
          </cell>
          <cell r="Q85" t="str">
            <v xml:space="preserve"> </v>
          </cell>
        </row>
        <row r="86">
          <cell r="J86" t="str">
            <v>3.</v>
          </cell>
          <cell r="K86" t="str">
            <v>Total Rate Base (Taxable capital)</v>
          </cell>
          <cell r="P86" t="e">
            <v>#REF!</v>
          </cell>
          <cell r="Q86" t="e">
            <v>#REF!</v>
          </cell>
        </row>
        <row r="87">
          <cell r="J87" t="str">
            <v>4.</v>
          </cell>
          <cell r="K87" t="str">
            <v>Paid-Up Capital Tax Rate</v>
          </cell>
          <cell r="N87" t="str">
            <v>[Input]</v>
          </cell>
          <cell r="P87">
            <v>3.0000000000000001E-3</v>
          </cell>
          <cell r="Q87">
            <v>3.0000000000000001E-3</v>
          </cell>
        </row>
        <row r="90">
          <cell r="J90" t="str">
            <v>5.</v>
          </cell>
          <cell r="K90" t="str">
            <v>Paid-Up Capital Tax on Stand alone basis</v>
          </cell>
          <cell r="P90" t="e">
            <v>#REF!</v>
          </cell>
          <cell r="Q90" t="e">
            <v>#REF!</v>
          </cell>
        </row>
        <row r="92">
          <cell r="J92" t="str">
            <v>6.</v>
          </cell>
          <cell r="K92" t="str">
            <v>Paid-Up Capital Tax Budgeted Corporate</v>
          </cell>
          <cell r="P92" t="e">
            <v>#REF!</v>
          </cell>
          <cell r="Q92" t="e">
            <v>#REF!</v>
          </cell>
        </row>
        <row r="94">
          <cell r="J94" t="str">
            <v>7.</v>
          </cell>
          <cell r="K94" t="str">
            <v>Regulatory adjustment required</v>
          </cell>
          <cell r="P94" t="e">
            <v>#REF!</v>
          </cell>
          <cell r="Q94" t="e">
            <v>#REF!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Input"/>
      <sheetName val="LTD Redem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Prepaids"/>
      <sheetName val="Vlookup"/>
      <sheetName val="PREPAY#1 monthly"/>
      <sheetName val="PREPAY#2 annual"/>
      <sheetName val="2004Actuals"/>
      <sheetName val="PREPAY#1 monthly (2)"/>
      <sheetName val="PREPAY#1 monthly (old)"/>
      <sheetName val="Input"/>
    </sheetNames>
    <sheetDataSet>
      <sheetData sheetId="0" refreshError="1"/>
      <sheetData sheetId="1" refreshError="1"/>
      <sheetData sheetId="2" refreshError="1">
        <row r="4">
          <cell r="B4" t="str">
            <v>Percentage of end-balance in mth</v>
          </cell>
          <cell r="C4" t="str">
            <v>Year's Ending Balance</v>
          </cell>
          <cell r="D4" t="str">
            <v>Ann. Inflation</v>
          </cell>
          <cell r="E4" t="str">
            <v>Compounded Inflation</v>
          </cell>
          <cell r="F4" t="str">
            <v>Cumulative growth</v>
          </cell>
        </row>
        <row r="5">
          <cell r="A5" t="str">
            <v>Jan 05</v>
          </cell>
          <cell r="B5">
            <v>0.59074552734276009</v>
          </cell>
          <cell r="C5">
            <v>4459</v>
          </cell>
          <cell r="D5">
            <v>2.1999999999999999E-2</v>
          </cell>
          <cell r="E5">
            <v>2.1999999999999999E-2</v>
          </cell>
          <cell r="F5">
            <v>1.0018333333333334</v>
          </cell>
        </row>
        <row r="6">
          <cell r="A6" t="str">
            <v>Feb 05</v>
          </cell>
          <cell r="B6">
            <v>0.90142415488317873</v>
          </cell>
          <cell r="C6">
            <v>4459</v>
          </cell>
          <cell r="D6">
            <v>2.1999999999999999E-2</v>
          </cell>
          <cell r="E6">
            <v>2.1999999999999999E-2</v>
          </cell>
          <cell r="F6">
            <v>1.0036666666666667</v>
          </cell>
        </row>
        <row r="7">
          <cell r="A7" t="str">
            <v>Mar 05</v>
          </cell>
          <cell r="B7">
            <v>1.1865592215295728</v>
          </cell>
          <cell r="C7">
            <v>4459</v>
          </cell>
          <cell r="D7">
            <v>2.1999999999999999E-2</v>
          </cell>
          <cell r="E7">
            <v>2.1999999999999999E-2</v>
          </cell>
          <cell r="F7">
            <v>1.0055000000000001</v>
          </cell>
        </row>
        <row r="8">
          <cell r="A8" t="str">
            <v>Apr 05</v>
          </cell>
          <cell r="B8">
            <v>1.122193502610106</v>
          </cell>
          <cell r="C8">
            <v>4459</v>
          </cell>
          <cell r="D8">
            <v>2.1999999999999999E-2</v>
          </cell>
          <cell r="E8">
            <v>2.1999999999999999E-2</v>
          </cell>
          <cell r="F8">
            <v>1.0073333333333334</v>
          </cell>
        </row>
        <row r="9">
          <cell r="A9" t="str">
            <v>May 05</v>
          </cell>
          <cell r="B9">
            <v>0.9824134610511378</v>
          </cell>
          <cell r="C9">
            <v>4459</v>
          </cell>
          <cell r="D9">
            <v>2.1999999999999999E-2</v>
          </cell>
          <cell r="E9">
            <v>2.1999999999999999E-2</v>
          </cell>
          <cell r="F9">
            <v>1.0091666666666668</v>
          </cell>
        </row>
        <row r="10">
          <cell r="A10" t="str">
            <v>Jun 05</v>
          </cell>
          <cell r="B10">
            <v>1.071613197506462</v>
          </cell>
          <cell r="C10">
            <v>4459</v>
          </cell>
          <cell r="D10">
            <v>2.1999999999999999E-2</v>
          </cell>
          <cell r="E10">
            <v>2.1999999999999999E-2</v>
          </cell>
          <cell r="F10">
            <v>1.0109999999999999</v>
          </cell>
        </row>
        <row r="11">
          <cell r="A11" t="str">
            <v>Jul 05</v>
          </cell>
          <cell r="B11">
            <v>1.3024175155846129</v>
          </cell>
          <cell r="C11">
            <v>4459</v>
          </cell>
          <cell r="D11">
            <v>2.1999999999999999E-2</v>
          </cell>
          <cell r="E11">
            <v>2.1999999999999999E-2</v>
          </cell>
          <cell r="F11">
            <v>1.0128333333333333</v>
          </cell>
        </row>
        <row r="12">
          <cell r="A12" t="str">
            <v>Aug 05</v>
          </cell>
          <cell r="B12">
            <v>1.2201611677056408</v>
          </cell>
          <cell r="C12">
            <v>4459</v>
          </cell>
          <cell r="D12">
            <v>2.1999999999999999E-2</v>
          </cell>
          <cell r="E12">
            <v>2.1999999999999999E-2</v>
          </cell>
          <cell r="F12">
            <v>1.0146666666666666</v>
          </cell>
        </row>
        <row r="13">
          <cell r="A13" t="str">
            <v>Sep 05</v>
          </cell>
          <cell r="B13">
            <v>1.8543915665703714</v>
          </cell>
          <cell r="C13">
            <v>4459</v>
          </cell>
          <cell r="D13">
            <v>2.1999999999999999E-2</v>
          </cell>
          <cell r="E13">
            <v>2.1999999999999999E-2</v>
          </cell>
          <cell r="F13">
            <v>1.0165</v>
          </cell>
        </row>
        <row r="14">
          <cell r="A14" t="str">
            <v>Oct 05</v>
          </cell>
          <cell r="B14">
            <v>2.1423141249809943</v>
          </cell>
          <cell r="C14">
            <v>4459</v>
          </cell>
          <cell r="D14">
            <v>2.1999999999999999E-2</v>
          </cell>
          <cell r="E14">
            <v>2.1999999999999999E-2</v>
          </cell>
          <cell r="F14">
            <v>1.0183333333333333</v>
          </cell>
        </row>
        <row r="15">
          <cell r="A15" t="str">
            <v>Nov 05</v>
          </cell>
          <cell r="B15">
            <v>1.3332826516648928</v>
          </cell>
          <cell r="C15">
            <v>4459</v>
          </cell>
          <cell r="D15">
            <v>2.1999999999999999E-2</v>
          </cell>
          <cell r="E15">
            <v>2.1999999999999999E-2</v>
          </cell>
          <cell r="F15">
            <v>1.0201666666666667</v>
          </cell>
        </row>
        <row r="16">
          <cell r="A16" t="str">
            <v>Dec 05</v>
          </cell>
          <cell r="B16">
            <v>1</v>
          </cell>
          <cell r="C16">
            <v>4459</v>
          </cell>
          <cell r="D16">
            <v>2.1999999999999999E-2</v>
          </cell>
          <cell r="E16">
            <v>2.1999999999999999E-2</v>
          </cell>
          <cell r="F16">
            <v>1.022</v>
          </cell>
        </row>
        <row r="17">
          <cell r="A17" t="str">
            <v>Jan 06</v>
          </cell>
          <cell r="B17">
            <v>0.59074552734276009</v>
          </cell>
          <cell r="C17">
            <v>4512</v>
          </cell>
          <cell r="D17">
            <v>2.1000000000000001E-2</v>
          </cell>
          <cell r="E17">
            <v>2.1462000000000002E-2</v>
          </cell>
          <cell r="F17">
            <v>1.0237885</v>
          </cell>
        </row>
        <row r="18">
          <cell r="A18" t="str">
            <v>Feb 06</v>
          </cell>
          <cell r="B18">
            <v>0.90142415488317873</v>
          </cell>
          <cell r="C18">
            <v>4512</v>
          </cell>
          <cell r="D18">
            <v>2.1000000000000001E-2</v>
          </cell>
          <cell r="E18">
            <v>2.1462000000000002E-2</v>
          </cell>
          <cell r="F18">
            <v>1.025577</v>
          </cell>
        </row>
        <row r="19">
          <cell r="A19" t="str">
            <v>Mar 06</v>
          </cell>
          <cell r="B19">
            <v>1.1865592215295728</v>
          </cell>
          <cell r="C19">
            <v>4512</v>
          </cell>
          <cell r="D19">
            <v>2.1000000000000001E-2</v>
          </cell>
          <cell r="E19">
            <v>2.1462000000000002E-2</v>
          </cell>
          <cell r="F19">
            <v>1.0273654999999999</v>
          </cell>
        </row>
        <row r="20">
          <cell r="A20" t="str">
            <v>Apr 06</v>
          </cell>
          <cell r="B20">
            <v>1.122193502610106</v>
          </cell>
          <cell r="C20">
            <v>4512</v>
          </cell>
          <cell r="D20">
            <v>2.1000000000000001E-2</v>
          </cell>
          <cell r="E20">
            <v>2.1462000000000002E-2</v>
          </cell>
          <cell r="F20">
            <v>1.0291540000000001</v>
          </cell>
        </row>
        <row r="21">
          <cell r="A21" t="str">
            <v>May 06</v>
          </cell>
          <cell r="B21">
            <v>0.9824134610511378</v>
          </cell>
          <cell r="C21">
            <v>4512</v>
          </cell>
          <cell r="D21">
            <v>2.1000000000000001E-2</v>
          </cell>
          <cell r="E21">
            <v>2.1462000000000002E-2</v>
          </cell>
          <cell r="F21">
            <v>1.0309425000000001</v>
          </cell>
        </row>
        <row r="22">
          <cell r="A22" t="str">
            <v>Jun 06</v>
          </cell>
          <cell r="B22">
            <v>1.071613197506462</v>
          </cell>
          <cell r="C22">
            <v>4512</v>
          </cell>
          <cell r="D22">
            <v>2.1000000000000001E-2</v>
          </cell>
          <cell r="E22">
            <v>2.1462000000000002E-2</v>
          </cell>
          <cell r="F22">
            <v>1.0327310000000001</v>
          </cell>
        </row>
        <row r="23">
          <cell r="A23" t="str">
            <v>Jul 06</v>
          </cell>
          <cell r="B23">
            <v>1.3024175155846129</v>
          </cell>
          <cell r="C23">
            <v>4512</v>
          </cell>
          <cell r="D23">
            <v>2.1000000000000001E-2</v>
          </cell>
          <cell r="E23">
            <v>2.1462000000000002E-2</v>
          </cell>
          <cell r="F23">
            <v>1.0345195</v>
          </cell>
        </row>
        <row r="24">
          <cell r="A24" t="str">
            <v>Aug 06</v>
          </cell>
          <cell r="B24">
            <v>1.2201611677056408</v>
          </cell>
          <cell r="C24">
            <v>4512</v>
          </cell>
          <cell r="D24">
            <v>2.1000000000000001E-2</v>
          </cell>
          <cell r="E24">
            <v>2.1462000000000002E-2</v>
          </cell>
          <cell r="F24">
            <v>1.036308</v>
          </cell>
        </row>
        <row r="25">
          <cell r="A25" t="str">
            <v>Sep 06</v>
          </cell>
          <cell r="B25">
            <v>1.8543915665703714</v>
          </cell>
          <cell r="C25">
            <v>4512</v>
          </cell>
          <cell r="D25">
            <v>2.1000000000000001E-2</v>
          </cell>
          <cell r="E25">
            <v>2.1462000000000002E-2</v>
          </cell>
          <cell r="F25">
            <v>1.0380965</v>
          </cell>
        </row>
        <row r="26">
          <cell r="A26" t="str">
            <v>Oct 06</v>
          </cell>
          <cell r="B26">
            <v>2.1423141249809943</v>
          </cell>
          <cell r="C26">
            <v>4512</v>
          </cell>
          <cell r="D26">
            <v>2.1000000000000001E-2</v>
          </cell>
          <cell r="E26">
            <v>2.1462000000000002E-2</v>
          </cell>
          <cell r="F26">
            <v>1.0398849999999999</v>
          </cell>
        </row>
        <row r="27">
          <cell r="A27" t="str">
            <v>Nov 06</v>
          </cell>
          <cell r="B27">
            <v>1.3332826516648928</v>
          </cell>
          <cell r="C27">
            <v>4512</v>
          </cell>
          <cell r="D27">
            <v>2.1000000000000001E-2</v>
          </cell>
          <cell r="E27">
            <v>2.1462000000000002E-2</v>
          </cell>
          <cell r="F27">
            <v>1.0416734999999999</v>
          </cell>
        </row>
        <row r="28">
          <cell r="A28" t="str">
            <v>Dec 06</v>
          </cell>
          <cell r="B28">
            <v>1</v>
          </cell>
          <cell r="C28">
            <v>4512</v>
          </cell>
          <cell r="D28">
            <v>2.1000000000000001E-2</v>
          </cell>
          <cell r="E28">
            <v>2.1462000000000002E-2</v>
          </cell>
          <cell r="F28">
            <v>1.0434620000000001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IN-11"/>
      <sheetName val="CIN-13"/>
      <sheetName val="CIN-14"/>
      <sheetName val="CIN-16"/>
      <sheetName val="CIN-17"/>
      <sheetName val="CIN-18"/>
      <sheetName val="Energy Merchant - 2"/>
      <sheetName val="Energy Merchant - 3"/>
      <sheetName val="Energy Merchant - 4"/>
      <sheetName val="Energy Merchant - 5"/>
      <sheetName val="Energy Merchant - 6"/>
      <sheetName val="Energy Merchant - 7"/>
      <sheetName val="Regulated Business - 2"/>
      <sheetName val="Regulated Business - 3"/>
      <sheetName val="Regulated Business - 4"/>
      <sheetName val="Regulated Business - 5"/>
      <sheetName val="Regulated Business - 6"/>
      <sheetName val="Regulated Business - 7"/>
      <sheetName val="Power Tech &amp; Infra Serv - 2"/>
      <sheetName val="Power Tech &amp; Infra Serv - 3"/>
      <sheetName val="Power Tech &amp; Infra Serv - 4"/>
      <sheetName val="Power Tech &amp; Infra Serv - 5"/>
      <sheetName val="Power Tech &amp; Infra Serv - 6"/>
      <sheetName val="Power Tech &amp; Infra Serv - 7"/>
      <sheetName val="CGR - 2"/>
      <sheetName val="CGR - 3"/>
      <sheetName val="CGR - 4"/>
      <sheetName val="CGR - 5"/>
      <sheetName val="CGR - 6"/>
      <sheetName val="CGR - 7"/>
      <sheetName val="ULHP-2"/>
      <sheetName val="ULHP-3"/>
      <sheetName val="ULHP-4"/>
      <sheetName val="ULHP-5"/>
      <sheetName val="ULHP-6"/>
      <sheetName val="ULHP-7"/>
      <sheetName val="NREC-2"/>
      <sheetName val="NREC-3"/>
      <sheetName val="NREC-4"/>
      <sheetName val="NREC-5"/>
      <sheetName val="NREC-6"/>
      <sheetName val="NREC-7"/>
      <sheetName val="HLM-2"/>
      <sheetName val="HLM-3"/>
      <sheetName val="HLM-4"/>
      <sheetName val="Ratios Summary"/>
      <sheetName val="Sheet1"/>
      <sheetName val="Cinergy Ratios"/>
      <sheetName val="ULHP Financial Ratios"/>
      <sheetName val="NREC Financial Ratios"/>
      <sheetName val="Energy Merchant - Ratios"/>
      <sheetName val="Regulated Business - Ratios"/>
      <sheetName val="Power Tech - Ratios"/>
      <sheetName val="CGR - Ratios"/>
      <sheetName val="CIN-IS"/>
      <sheetName val="CIN-BS"/>
      <sheetName val="CIN-CF"/>
      <sheetName val="Energy Merchant - IS"/>
      <sheetName val="Energy Merchant - BS"/>
      <sheetName val="Energy Merchant - CF"/>
      <sheetName val="ULHP-IS"/>
      <sheetName val="ULHP-BS"/>
      <sheetName val="ULHP-CS"/>
      <sheetName val="NREC-IS"/>
      <sheetName val="NREC-BS"/>
      <sheetName val="NREC-CS"/>
      <sheetName val="Regulated Business - IS"/>
      <sheetName val="Regulated Business - BS"/>
      <sheetName val="Regulated Business - CF"/>
      <sheetName val="Power Tech &amp; Infra Serv - IS"/>
      <sheetName val="Power Tech &amp; Infra Serv - BS"/>
      <sheetName val="Power Tech &amp; Infra Serv - CF"/>
      <sheetName val="CGR - IS"/>
      <sheetName val="CGR - BS"/>
      <sheetName val="CGR - CF"/>
      <sheetName val="Sheet2"/>
      <sheetName val="ULHP-3 Other"/>
      <sheetName val="NREC-3 Other"/>
      <sheetName val="Selections"/>
      <sheetName val="De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Cover"/>
      <sheetName val="Report-Table of Contents"/>
      <sheetName val="Sched2"/>
      <sheetName val="Sched3"/>
      <sheetName val="Sched4"/>
      <sheetName val="Sched4-1"/>
      <sheetName val="Sched4-2"/>
      <sheetName val="Sched4-3"/>
      <sheetName val="Sched5"/>
      <sheetName val="Sched5-1"/>
      <sheetName val="Sched5-2"/>
      <sheetName val="Sched5-3"/>
      <sheetName val="Sched5-4"/>
      <sheetName val="Sched5-5"/>
      <sheetName val="Sched5-6"/>
      <sheetName val="Sched5-7"/>
      <sheetName val="Sched6"/>
      <sheetName val="Sched7"/>
      <sheetName val="Sched7-1 "/>
      <sheetName val="Sched7-1-1 "/>
      <sheetName val="Sched7-1-2"/>
      <sheetName val="Sched7-1-3 "/>
      <sheetName val="Sched7-1-4"/>
      <sheetName val="Sched7-1-5"/>
      <sheetName val="Sched7-1-6"/>
      <sheetName val="Sched7-1-retail"/>
      <sheetName val="Sched7-1-7"/>
      <sheetName val="Sched7-1-8"/>
      <sheetName val="Sched7-1-9"/>
      <sheetName val="Sched7-1-10"/>
      <sheetName val="Sched7-3"/>
      <sheetName val="Sched7-4"/>
      <sheetName val="Sched7-5"/>
      <sheetName val="Sched7-6"/>
      <sheetName val="Sched7-municipal"/>
      <sheetName val="Sched8"/>
      <sheetName val="Sched9"/>
      <sheetName val="Sched10"/>
      <sheetName val="Cash Flow WP"/>
      <sheetName val="sch3data"/>
      <sheetName val="sch4data"/>
      <sheetName val="sch4_2data"/>
      <sheetName val="sch5data"/>
      <sheetName val="sch6data"/>
      <sheetName val="sch7data"/>
      <sheetName val="sch7_2data"/>
      <sheetName val="sch8data"/>
      <sheetName val="General_data"/>
      <sheetName val="Curr_Date"/>
      <sheetName val="Manual Input"/>
      <sheetName val="MACROS"/>
      <sheetName val="Sched7-1-3"/>
      <sheetName val="Sched9-1"/>
      <sheetName val="Sched9-2"/>
      <sheetName val="Sched7-1-11"/>
      <sheetName val="Sched7-1-4 "/>
      <sheetName val="V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L1" t="str">
            <v>Schedule 7.1.1</v>
          </cell>
        </row>
        <row r="3">
          <cell r="H3" t="str">
            <v>Operation and Maintenance - Finance</v>
          </cell>
        </row>
        <row r="4">
          <cell r="H4" t="str">
            <v>Consumers Gas Utilities Ltd. and Subsidiary Companies</v>
          </cell>
        </row>
        <row r="5">
          <cell r="H5" t="e">
            <v>#N/A</v>
          </cell>
        </row>
        <row r="7">
          <cell r="E7" t="e">
            <v>#N/A</v>
          </cell>
          <cell r="K7" t="str">
            <v>Year to Date</v>
          </cell>
        </row>
        <row r="8">
          <cell r="F8" t="str">
            <v>Favourable</v>
          </cell>
          <cell r="L8" t="str">
            <v>Favourable</v>
          </cell>
        </row>
        <row r="9">
          <cell r="E9" t="str">
            <v>Business</v>
          </cell>
          <cell r="F9" t="str">
            <v>(Unfavourable)</v>
          </cell>
          <cell r="K9" t="str">
            <v>Business</v>
          </cell>
          <cell r="L9" t="str">
            <v>(Unfavourable)</v>
          </cell>
        </row>
        <row r="10">
          <cell r="D10" t="str">
            <v>Actual</v>
          </cell>
          <cell r="E10" t="str">
            <v>Estimate</v>
          </cell>
          <cell r="F10" t="str">
            <v>Variance</v>
          </cell>
          <cell r="H10" t="str">
            <v>(thousands)</v>
          </cell>
          <cell r="J10" t="str">
            <v>Actual</v>
          </cell>
          <cell r="K10" t="str">
            <v>Estimate</v>
          </cell>
          <cell r="L10" t="str">
            <v>Variance</v>
          </cell>
        </row>
        <row r="12">
          <cell r="H12" t="str">
            <v>Financial Management</v>
          </cell>
        </row>
        <row r="13">
          <cell r="D13">
            <v>21</v>
          </cell>
          <cell r="E13">
            <v>21</v>
          </cell>
          <cell r="F13">
            <v>0</v>
          </cell>
          <cell r="I13" t="str">
            <v>Accounting Systems</v>
          </cell>
          <cell r="J13">
            <v>21</v>
          </cell>
          <cell r="K13">
            <v>21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I14" t="str">
            <v>Taxation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3</v>
          </cell>
          <cell r="E15">
            <v>66</v>
          </cell>
          <cell r="F15">
            <v>63</v>
          </cell>
          <cell r="I15" t="str">
            <v>Accounting Policy</v>
          </cell>
          <cell r="J15">
            <v>25</v>
          </cell>
          <cell r="K15">
            <v>88</v>
          </cell>
          <cell r="L15">
            <v>63</v>
          </cell>
        </row>
        <row r="16">
          <cell r="D16">
            <v>3</v>
          </cell>
          <cell r="E16">
            <v>77</v>
          </cell>
          <cell r="F16">
            <v>74</v>
          </cell>
          <cell r="I16" t="str">
            <v>Controller's Group</v>
          </cell>
          <cell r="J16">
            <v>26</v>
          </cell>
          <cell r="K16">
            <v>99</v>
          </cell>
          <cell r="L16">
            <v>73</v>
          </cell>
        </row>
        <row r="17">
          <cell r="D17">
            <v>3</v>
          </cell>
          <cell r="E17">
            <v>88</v>
          </cell>
          <cell r="F17">
            <v>85</v>
          </cell>
          <cell r="I17" t="str">
            <v>Budgets and Forecasts</v>
          </cell>
          <cell r="J17">
            <v>27</v>
          </cell>
          <cell r="K17">
            <v>102</v>
          </cell>
          <cell r="L17">
            <v>75</v>
          </cell>
        </row>
        <row r="18">
          <cell r="D18">
            <v>3</v>
          </cell>
          <cell r="E18">
            <v>99</v>
          </cell>
          <cell r="F18">
            <v>96</v>
          </cell>
          <cell r="I18" t="str">
            <v>Internal Audit Services</v>
          </cell>
          <cell r="J18">
            <v>27</v>
          </cell>
          <cell r="K18">
            <v>103</v>
          </cell>
          <cell r="L18">
            <v>76</v>
          </cell>
        </row>
        <row r="19">
          <cell r="D19">
            <v>0</v>
          </cell>
          <cell r="E19">
            <v>0</v>
          </cell>
          <cell r="F19">
            <v>0</v>
          </cell>
          <cell r="I19" t="str">
            <v>Administration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33</v>
          </cell>
          <cell r="E20">
            <v>351</v>
          </cell>
          <cell r="F20">
            <v>318</v>
          </cell>
          <cell r="J20">
            <v>126</v>
          </cell>
          <cell r="K20">
            <v>413</v>
          </cell>
          <cell r="L20">
            <v>287</v>
          </cell>
        </row>
        <row r="22">
          <cell r="H22" t="str">
            <v>Risk Management</v>
          </cell>
        </row>
        <row r="23">
          <cell r="D23">
            <v>0</v>
          </cell>
          <cell r="E23">
            <v>0</v>
          </cell>
          <cell r="F23">
            <v>0</v>
          </cell>
          <cell r="I23" t="str">
            <v>Operating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I24" t="str">
            <v>Claims, damages, and insurance premiums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I25" t="str">
            <v>Legal fees for claims and damages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33</v>
          </cell>
          <cell r="E27">
            <v>351</v>
          </cell>
          <cell r="F27">
            <v>318</v>
          </cell>
          <cell r="H27" t="str">
            <v>Total</v>
          </cell>
          <cell r="J27">
            <v>126</v>
          </cell>
          <cell r="K27">
            <v>413</v>
          </cell>
          <cell r="L27">
            <v>287</v>
          </cell>
        </row>
      </sheetData>
      <sheetData sheetId="21" refreshError="1">
        <row r="1">
          <cell r="K1" t="str">
            <v>Schedule 7.1.2</v>
          </cell>
        </row>
        <row r="3">
          <cell r="H3" t="str">
            <v>Operation and Maintenance - Regulatory and Legal</v>
          </cell>
        </row>
        <row r="4">
          <cell r="H4" t="str">
            <v>Consumers Gas Utilities Ltd. and Subsidiary Companies</v>
          </cell>
        </row>
        <row r="5">
          <cell r="H5" t="e">
            <v>#N/A</v>
          </cell>
        </row>
        <row r="7">
          <cell r="E7" t="e">
            <v>#N/A</v>
          </cell>
          <cell r="J7" t="str">
            <v>Year to Date</v>
          </cell>
        </row>
        <row r="8">
          <cell r="F8" t="str">
            <v>Favourable</v>
          </cell>
          <cell r="K8" t="str">
            <v>Favourable</v>
          </cell>
        </row>
        <row r="9">
          <cell r="F9" t="str">
            <v>(Unfavourable)</v>
          </cell>
          <cell r="K9" t="str">
            <v>(Unfavourable)</v>
          </cell>
        </row>
        <row r="10">
          <cell r="D10" t="str">
            <v>Actual</v>
          </cell>
          <cell r="E10" t="str">
            <v>Estimate</v>
          </cell>
          <cell r="F10" t="str">
            <v>Variance</v>
          </cell>
          <cell r="H10" t="str">
            <v>(thousands)</v>
          </cell>
          <cell r="I10" t="str">
            <v>Actual</v>
          </cell>
          <cell r="J10" t="str">
            <v>Estimate</v>
          </cell>
          <cell r="K10" t="str">
            <v>Variance</v>
          </cell>
        </row>
        <row r="12">
          <cell r="H12" t="str">
            <v>Regulatory Affairs and Regulatory Policy</v>
          </cell>
        </row>
        <row r="13">
          <cell r="D13">
            <v>3</v>
          </cell>
          <cell r="E13">
            <v>103</v>
          </cell>
          <cell r="F13">
            <v>100</v>
          </cell>
          <cell r="H13" t="str">
            <v xml:space="preserve">     Regulatory Affairs</v>
          </cell>
          <cell r="I13">
            <v>27</v>
          </cell>
          <cell r="J13">
            <v>105</v>
          </cell>
          <cell r="K13">
            <v>78</v>
          </cell>
        </row>
        <row r="14">
          <cell r="D14">
            <v>3</v>
          </cell>
          <cell r="E14">
            <v>104</v>
          </cell>
          <cell r="F14">
            <v>101</v>
          </cell>
          <cell r="H14" t="str">
            <v xml:space="preserve">     Regulatory Policy</v>
          </cell>
          <cell r="I14">
            <v>27</v>
          </cell>
          <cell r="J14">
            <v>55</v>
          </cell>
          <cell r="K14">
            <v>28</v>
          </cell>
        </row>
        <row r="15">
          <cell r="D15">
            <v>3</v>
          </cell>
          <cell r="E15">
            <v>105</v>
          </cell>
          <cell r="F15">
            <v>102</v>
          </cell>
          <cell r="H15" t="str">
            <v xml:space="preserve">     Rate hearing and analysis</v>
          </cell>
          <cell r="I15">
            <v>27</v>
          </cell>
          <cell r="J15">
            <v>66</v>
          </cell>
          <cell r="K15">
            <v>39</v>
          </cell>
        </row>
        <row r="16">
          <cell r="D16">
            <v>0</v>
          </cell>
          <cell r="E16">
            <v>0</v>
          </cell>
          <cell r="F16">
            <v>0</v>
          </cell>
          <cell r="H16" t="str">
            <v xml:space="preserve">     Administration</v>
          </cell>
          <cell r="I16">
            <v>0</v>
          </cell>
          <cell r="J16">
            <v>0</v>
          </cell>
          <cell r="K16">
            <v>0</v>
          </cell>
        </row>
        <row r="17">
          <cell r="D17">
            <v>9</v>
          </cell>
          <cell r="E17">
            <v>312</v>
          </cell>
          <cell r="F17">
            <v>303</v>
          </cell>
          <cell r="H17" t="str">
            <v xml:space="preserve">     Special Labour</v>
          </cell>
          <cell r="I17">
            <v>81</v>
          </cell>
          <cell r="J17">
            <v>226</v>
          </cell>
          <cell r="K17">
            <v>145</v>
          </cell>
        </row>
        <row r="18">
          <cell r="D18">
            <v>9</v>
          </cell>
          <cell r="E18">
            <v>312</v>
          </cell>
          <cell r="F18">
            <v>303</v>
          </cell>
          <cell r="I18">
            <v>81</v>
          </cell>
          <cell r="J18">
            <v>226</v>
          </cell>
          <cell r="K18">
            <v>145</v>
          </cell>
        </row>
        <row r="19">
          <cell r="D19">
            <v>3</v>
          </cell>
          <cell r="E19">
            <v>55</v>
          </cell>
          <cell r="F19">
            <v>52</v>
          </cell>
          <cell r="H19" t="str">
            <v>Financial and Economic Studies</v>
          </cell>
          <cell r="I19">
            <v>27</v>
          </cell>
          <cell r="J19">
            <v>77</v>
          </cell>
          <cell r="K19">
            <v>50</v>
          </cell>
        </row>
        <row r="20">
          <cell r="D20">
            <v>3</v>
          </cell>
          <cell r="E20">
            <v>55</v>
          </cell>
          <cell r="F20">
            <v>52</v>
          </cell>
          <cell r="H20" t="str">
            <v>Financial and Economic Studies</v>
          </cell>
          <cell r="I20">
            <v>27</v>
          </cell>
          <cell r="J20">
            <v>77</v>
          </cell>
          <cell r="K20">
            <v>50</v>
          </cell>
        </row>
        <row r="21">
          <cell r="H21" t="str">
            <v>Legal and Corporate Services</v>
          </cell>
        </row>
        <row r="22">
          <cell r="D22">
            <v>66</v>
          </cell>
          <cell r="E22">
            <v>66</v>
          </cell>
          <cell r="F22">
            <v>0</v>
          </cell>
          <cell r="H22" t="str">
            <v xml:space="preserve">     Operating</v>
          </cell>
          <cell r="I22">
            <v>55</v>
          </cell>
          <cell r="J22">
            <v>2</v>
          </cell>
          <cell r="K22">
            <v>-53</v>
          </cell>
        </row>
        <row r="23">
          <cell r="D23">
            <v>0</v>
          </cell>
          <cell r="E23">
            <v>0</v>
          </cell>
          <cell r="F23">
            <v>0</v>
          </cell>
          <cell r="H23" t="str">
            <v xml:space="preserve">     Legal fees</v>
          </cell>
          <cell r="I23">
            <v>0</v>
          </cell>
          <cell r="J23">
            <v>0</v>
          </cell>
          <cell r="K23">
            <v>0</v>
          </cell>
        </row>
        <row r="24">
          <cell r="D24">
            <v>66</v>
          </cell>
          <cell r="E24">
            <v>66</v>
          </cell>
          <cell r="F24">
            <v>0</v>
          </cell>
          <cell r="H24" t="str">
            <v xml:space="preserve">     Legal fees</v>
          </cell>
          <cell r="I24">
            <v>55</v>
          </cell>
          <cell r="J24">
            <v>2</v>
          </cell>
          <cell r="K24">
            <v>-53</v>
          </cell>
        </row>
        <row r="25">
          <cell r="D25">
            <v>78</v>
          </cell>
          <cell r="E25">
            <v>433</v>
          </cell>
          <cell r="F25">
            <v>355</v>
          </cell>
          <cell r="H25" t="str">
            <v>Total</v>
          </cell>
          <cell r="I25">
            <v>163</v>
          </cell>
          <cell r="J25">
            <v>305</v>
          </cell>
          <cell r="K25">
            <v>142</v>
          </cell>
        </row>
        <row r="26">
          <cell r="D26">
            <v>0</v>
          </cell>
          <cell r="E26">
            <v>0</v>
          </cell>
          <cell r="F26">
            <v>0</v>
          </cell>
          <cell r="H26" t="str">
            <v>Federal and Provincial Government Relations</v>
          </cell>
          <cell r="I26">
            <v>0</v>
          </cell>
          <cell r="J26">
            <v>0</v>
          </cell>
          <cell r="K26">
            <v>0</v>
          </cell>
        </row>
        <row r="27">
          <cell r="D27">
            <v>78</v>
          </cell>
          <cell r="E27">
            <v>433</v>
          </cell>
          <cell r="F27">
            <v>355</v>
          </cell>
          <cell r="H27" t="str">
            <v>Total</v>
          </cell>
          <cell r="I27">
            <v>163</v>
          </cell>
          <cell r="J27">
            <v>305</v>
          </cell>
          <cell r="K27">
            <v>142</v>
          </cell>
        </row>
      </sheetData>
      <sheetData sheetId="22" refreshError="1"/>
      <sheetData sheetId="23" refreshError="1">
        <row r="1">
          <cell r="L1" t="str">
            <v>Schedule 7.1.4</v>
          </cell>
        </row>
        <row r="3">
          <cell r="H3" t="str">
            <v>Operation and Maintenance - Engineering and Logistics</v>
          </cell>
        </row>
        <row r="4">
          <cell r="H4" t="str">
            <v>Consumers Gas Utilities Ltd. and Subsidiary Companies</v>
          </cell>
        </row>
        <row r="5">
          <cell r="H5" t="e">
            <v>#N/A</v>
          </cell>
        </row>
        <row r="7">
          <cell r="E7" t="e">
            <v>#N/A</v>
          </cell>
          <cell r="K7" t="str">
            <v>Year to Date</v>
          </cell>
          <cell r="L7" t="str">
            <v>Year to Date</v>
          </cell>
        </row>
        <row r="8">
          <cell r="F8" t="str">
            <v>Favourable</v>
          </cell>
          <cell r="L8" t="str">
            <v>Favourable</v>
          </cell>
        </row>
        <row r="9">
          <cell r="F9" t="str">
            <v>(Unfavourable)</v>
          </cell>
          <cell r="L9" t="str">
            <v>(Unfavourable)</v>
          </cell>
        </row>
        <row r="10">
          <cell r="D10" t="str">
            <v>Actual</v>
          </cell>
          <cell r="E10" t="str">
            <v>Estimate</v>
          </cell>
          <cell r="F10" t="str">
            <v>Variance</v>
          </cell>
          <cell r="H10" t="str">
            <v>(thousands)</v>
          </cell>
          <cell r="J10" t="str">
            <v>Actual</v>
          </cell>
          <cell r="K10" t="str">
            <v>Estimate</v>
          </cell>
          <cell r="L10" t="str">
            <v>Variance</v>
          </cell>
        </row>
        <row r="12">
          <cell r="D12">
            <v>0</v>
          </cell>
          <cell r="E12">
            <v>0</v>
          </cell>
          <cell r="F12">
            <v>0</v>
          </cell>
          <cell r="H12" t="str">
            <v>Distribution operations</v>
          </cell>
          <cell r="I12" t="str">
            <v>Engineering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H13" t="str">
            <v>Distribution maintenance</v>
          </cell>
          <cell r="I13" t="str">
            <v>Logistical Services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H14" t="str">
            <v>Clearing accounts</v>
          </cell>
          <cell r="I14" t="str">
            <v>Technology and Development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H15" t="str">
            <v>Gazifere</v>
          </cell>
          <cell r="I15" t="str">
            <v>Distribution Planning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H16" t="str">
            <v>St. Lawrence</v>
          </cell>
          <cell r="I16" t="str">
            <v>Safety and Environment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H17" t="str">
            <v>Total</v>
          </cell>
          <cell r="I17" t="str">
            <v>Corporate Security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I18" t="str">
            <v>Consumers Gas Canada Charges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I19" t="str">
            <v>Clearing accounts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H20" t="str">
            <v>Credit and Collection</v>
          </cell>
          <cell r="I20" t="str">
            <v>Total</v>
          </cell>
          <cell r="J20">
            <v>0</v>
          </cell>
          <cell r="K20">
            <v>0</v>
          </cell>
          <cell r="L20">
            <v>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>
        <row r="1">
          <cell r="M1" t="str">
            <v>Schedule 7.1.3</v>
          </cell>
        </row>
        <row r="3">
          <cell r="H3" t="str">
            <v>Operation and Maintenance - Customer Support Services</v>
          </cell>
        </row>
        <row r="4">
          <cell r="H4" t="str">
            <v>Consumers Gas Utilities Ltd. and Subsidiary Companies</v>
          </cell>
        </row>
        <row r="5">
          <cell r="H5" t="e">
            <v>#N/A</v>
          </cell>
        </row>
        <row r="7">
          <cell r="E7" t="e">
            <v>#N/A</v>
          </cell>
          <cell r="L7" t="str">
            <v>Year to Date</v>
          </cell>
        </row>
        <row r="8">
          <cell r="F8" t="str">
            <v>Favourable</v>
          </cell>
          <cell r="M8" t="str">
            <v>Favourable</v>
          </cell>
        </row>
        <row r="9">
          <cell r="F9" t="str">
            <v>(Unfavourable)</v>
          </cell>
          <cell r="M9" t="str">
            <v>(Unfavourable)</v>
          </cell>
        </row>
        <row r="10">
          <cell r="D10" t="str">
            <v>Actual</v>
          </cell>
          <cell r="E10" t="str">
            <v>Estimate</v>
          </cell>
          <cell r="F10" t="str">
            <v>Variance</v>
          </cell>
          <cell r="H10" t="str">
            <v>(thousands)</v>
          </cell>
          <cell r="K10" t="str">
            <v>Actual</v>
          </cell>
          <cell r="L10" t="str">
            <v>Estimate</v>
          </cell>
          <cell r="M10" t="str">
            <v>Variance</v>
          </cell>
        </row>
        <row r="12">
          <cell r="D12">
            <v>77</v>
          </cell>
          <cell r="E12">
            <v>77</v>
          </cell>
          <cell r="F12">
            <v>0</v>
          </cell>
          <cell r="H12" t="str">
            <v>Supervision</v>
          </cell>
          <cell r="K12">
            <v>66</v>
          </cell>
          <cell r="L12">
            <v>2</v>
          </cell>
          <cell r="M12">
            <v>-64</v>
          </cell>
        </row>
        <row r="13">
          <cell r="D13">
            <v>88</v>
          </cell>
          <cell r="E13">
            <v>4</v>
          </cell>
          <cell r="F13">
            <v>-84</v>
          </cell>
          <cell r="H13" t="str">
            <v>Customer Support Centre</v>
          </cell>
          <cell r="K13">
            <v>77</v>
          </cell>
          <cell r="L13">
            <v>2</v>
          </cell>
          <cell r="M13">
            <v>-75</v>
          </cell>
        </row>
        <row r="14">
          <cell r="H14" t="str">
            <v>Billing Services</v>
          </cell>
        </row>
        <row r="15">
          <cell r="D15">
            <v>99</v>
          </cell>
          <cell r="E15">
            <v>4</v>
          </cell>
          <cell r="F15">
            <v>-95</v>
          </cell>
          <cell r="I15" t="str">
            <v>Meter reading</v>
          </cell>
          <cell r="K15">
            <v>88</v>
          </cell>
          <cell r="L15">
            <v>2</v>
          </cell>
          <cell r="M15">
            <v>-86</v>
          </cell>
        </row>
        <row r="16">
          <cell r="D16">
            <v>102</v>
          </cell>
          <cell r="E16">
            <v>88</v>
          </cell>
          <cell r="F16">
            <v>-14</v>
          </cell>
          <cell r="I16" t="str">
            <v>Postage</v>
          </cell>
          <cell r="K16">
            <v>99</v>
          </cell>
          <cell r="L16">
            <v>2</v>
          </cell>
          <cell r="M16">
            <v>-97</v>
          </cell>
        </row>
        <row r="17">
          <cell r="D17">
            <v>103</v>
          </cell>
          <cell r="E17">
            <v>99</v>
          </cell>
          <cell r="F17">
            <v>-4</v>
          </cell>
          <cell r="I17" t="str">
            <v>Payment processing</v>
          </cell>
          <cell r="K17">
            <v>101</v>
          </cell>
          <cell r="L17">
            <v>2</v>
          </cell>
          <cell r="M17">
            <v>-99</v>
          </cell>
        </row>
        <row r="18">
          <cell r="D18">
            <v>104</v>
          </cell>
          <cell r="E18">
            <v>104</v>
          </cell>
          <cell r="F18">
            <v>0</v>
          </cell>
          <cell r="I18" t="str">
            <v>Billing services - labour</v>
          </cell>
          <cell r="K18">
            <v>102</v>
          </cell>
          <cell r="L18">
            <v>2</v>
          </cell>
          <cell r="M18">
            <v>-100</v>
          </cell>
        </row>
        <row r="19">
          <cell r="D19">
            <v>105</v>
          </cell>
          <cell r="E19">
            <v>105</v>
          </cell>
          <cell r="F19">
            <v>0</v>
          </cell>
          <cell r="I19" t="str">
            <v>Billing insertion</v>
          </cell>
          <cell r="K19">
            <v>103</v>
          </cell>
          <cell r="L19">
            <v>2</v>
          </cell>
          <cell r="M19">
            <v>-101</v>
          </cell>
        </row>
        <row r="20">
          <cell r="D20">
            <v>55</v>
          </cell>
          <cell r="E20">
            <v>55</v>
          </cell>
          <cell r="F20">
            <v>0</v>
          </cell>
          <cell r="H20" t="str">
            <v>Credit and Collection</v>
          </cell>
          <cell r="K20">
            <v>104</v>
          </cell>
          <cell r="L20">
            <v>2</v>
          </cell>
          <cell r="M20">
            <v>-102</v>
          </cell>
        </row>
        <row r="21">
          <cell r="H21" t="str">
            <v>Customer Systems</v>
          </cell>
        </row>
        <row r="22">
          <cell r="D22">
            <v>66</v>
          </cell>
          <cell r="E22">
            <v>66</v>
          </cell>
          <cell r="F22">
            <v>0</v>
          </cell>
          <cell r="I22" t="str">
            <v>Market Link</v>
          </cell>
          <cell r="K22">
            <v>105</v>
          </cell>
          <cell r="L22">
            <v>2</v>
          </cell>
          <cell r="M22">
            <v>-103</v>
          </cell>
        </row>
        <row r="23">
          <cell r="D23">
            <v>77</v>
          </cell>
          <cell r="E23">
            <v>27</v>
          </cell>
          <cell r="F23">
            <v>-50</v>
          </cell>
          <cell r="I23" t="str">
            <v>Labour</v>
          </cell>
          <cell r="K23">
            <v>106</v>
          </cell>
          <cell r="L23">
            <v>66</v>
          </cell>
          <cell r="M23">
            <v>-40</v>
          </cell>
        </row>
        <row r="24">
          <cell r="D24">
            <v>3</v>
          </cell>
          <cell r="E24">
            <v>55</v>
          </cell>
          <cell r="F24">
            <v>52</v>
          </cell>
          <cell r="H24" t="str">
            <v>Special projects</v>
          </cell>
          <cell r="K24">
            <v>26</v>
          </cell>
          <cell r="L24">
            <v>77</v>
          </cell>
          <cell r="M24">
            <v>51</v>
          </cell>
        </row>
        <row r="25">
          <cell r="D25">
            <v>88</v>
          </cell>
          <cell r="E25">
            <v>66</v>
          </cell>
          <cell r="F25">
            <v>-22</v>
          </cell>
          <cell r="H25" t="str">
            <v>Global adjustments</v>
          </cell>
          <cell r="K25">
            <v>55</v>
          </cell>
          <cell r="L25">
            <v>88</v>
          </cell>
          <cell r="M25">
            <v>33</v>
          </cell>
        </row>
        <row r="26">
          <cell r="D26">
            <v>104</v>
          </cell>
          <cell r="E26">
            <v>105</v>
          </cell>
          <cell r="F26">
            <v>1</v>
          </cell>
          <cell r="H26" t="str">
            <v>Customer Advocacy Centre</v>
          </cell>
          <cell r="K26">
            <v>77</v>
          </cell>
          <cell r="L26">
            <v>102</v>
          </cell>
          <cell r="M26">
            <v>25</v>
          </cell>
        </row>
        <row r="27">
          <cell r="D27">
            <v>105</v>
          </cell>
          <cell r="E27">
            <v>55</v>
          </cell>
          <cell r="F27">
            <v>-50</v>
          </cell>
          <cell r="H27" t="str">
            <v>Provision for uncollectibles</v>
          </cell>
          <cell r="K27">
            <v>88</v>
          </cell>
          <cell r="L27">
            <v>103</v>
          </cell>
          <cell r="M27">
            <v>15</v>
          </cell>
        </row>
        <row r="28">
          <cell r="D28">
            <v>55</v>
          </cell>
          <cell r="E28">
            <v>66</v>
          </cell>
          <cell r="F28">
            <v>11</v>
          </cell>
          <cell r="H28" t="str">
            <v>Administration</v>
          </cell>
          <cell r="K28">
            <v>99</v>
          </cell>
          <cell r="L28">
            <v>104</v>
          </cell>
          <cell r="M28">
            <v>5</v>
          </cell>
        </row>
        <row r="29">
          <cell r="D29">
            <v>1231</v>
          </cell>
          <cell r="E29">
            <v>976</v>
          </cell>
          <cell r="F29">
            <v>-255</v>
          </cell>
          <cell r="H29" t="str">
            <v>Total</v>
          </cell>
          <cell r="K29">
            <v>1296</v>
          </cell>
          <cell r="L29">
            <v>558</v>
          </cell>
          <cell r="M29">
            <v>-738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103"/>
  <sheetViews>
    <sheetView showGridLines="0" zoomScale="75" zoomScaleNormal="75" zoomScalePageLayoutView="75" workbookViewId="0">
      <selection activeCell="F13" sqref="F13:O17"/>
    </sheetView>
  </sheetViews>
  <sheetFormatPr baseColWidth="10" defaultColWidth="8.83203125" defaultRowHeight="14" x14ac:dyDescent="0"/>
  <cols>
    <col min="1" max="1" width="1.5" style="1" customWidth="1"/>
    <col min="2" max="2" width="2.1640625" style="1" customWidth="1"/>
    <col min="3" max="3" width="4.5" style="1" customWidth="1"/>
    <col min="4" max="4" width="37.33203125" style="1" customWidth="1"/>
    <col min="5" max="5" width="8.83203125" style="1" customWidth="1"/>
    <col min="6" max="15" width="8" style="1" bestFit="1" customWidth="1"/>
    <col min="16" max="16" width="20.5" style="152" customWidth="1"/>
    <col min="17" max="16384" width="8.83203125" style="1"/>
  </cols>
  <sheetData>
    <row r="1" spans="2:16">
      <c r="C1" s="2" t="s">
        <v>0</v>
      </c>
    </row>
    <row r="2" spans="2:16">
      <c r="C2" s="2"/>
      <c r="P2" s="151" t="s">
        <v>125</v>
      </c>
    </row>
    <row r="3" spans="2:16" ht="15" thickBot="1">
      <c r="B3" s="3" t="s">
        <v>1</v>
      </c>
      <c r="C3" s="4"/>
      <c r="D3" s="3"/>
      <c r="E3" s="3"/>
      <c r="F3" s="3">
        <v>2019</v>
      </c>
      <c r="G3" s="3">
        <f t="shared" ref="G3:O3" si="0">F3+1</f>
        <v>2020</v>
      </c>
      <c r="H3" s="3">
        <f t="shared" si="0"/>
        <v>2021</v>
      </c>
      <c r="I3" s="3">
        <f t="shared" si="0"/>
        <v>2022</v>
      </c>
      <c r="J3" s="3">
        <f t="shared" si="0"/>
        <v>2023</v>
      </c>
      <c r="K3" s="3">
        <f t="shared" si="0"/>
        <v>2024</v>
      </c>
      <c r="L3" s="3">
        <f t="shared" si="0"/>
        <v>2025</v>
      </c>
      <c r="M3" s="3">
        <f t="shared" si="0"/>
        <v>2026</v>
      </c>
      <c r="N3" s="3">
        <f t="shared" si="0"/>
        <v>2027</v>
      </c>
      <c r="O3" s="3">
        <f t="shared" si="0"/>
        <v>2028</v>
      </c>
      <c r="P3" s="153" t="s">
        <v>124</v>
      </c>
    </row>
    <row r="4" spans="2:16">
      <c r="C4" s="2"/>
      <c r="P4" s="2"/>
    </row>
    <row r="5" spans="2:16">
      <c r="B5" s="5" t="s">
        <v>2</v>
      </c>
      <c r="C5" s="2"/>
    </row>
    <row r="6" spans="2:16">
      <c r="B6" s="6"/>
      <c r="C6" s="1">
        <v>1.1000000000000001</v>
      </c>
      <c r="D6" s="7" t="s">
        <v>3</v>
      </c>
      <c r="F6" s="8">
        <v>29263</v>
      </c>
      <c r="G6" s="8">
        <v>28995</v>
      </c>
      <c r="H6" s="8">
        <v>28169</v>
      </c>
      <c r="I6" s="8">
        <v>27690</v>
      </c>
      <c r="J6" s="8">
        <v>27396</v>
      </c>
      <c r="K6" s="8">
        <v>26926</v>
      </c>
      <c r="L6" s="8">
        <v>26218</v>
      </c>
      <c r="M6" s="8">
        <v>25611</v>
      </c>
      <c r="N6" s="8">
        <v>25397</v>
      </c>
      <c r="O6" s="8">
        <v>25251</v>
      </c>
      <c r="P6" s="147"/>
    </row>
    <row r="7" spans="2:16">
      <c r="B7" s="6"/>
      <c r="C7" s="1">
        <v>1.2</v>
      </c>
      <c r="D7" s="7" t="s">
        <v>4</v>
      </c>
    </row>
    <row r="8" spans="2:16">
      <c r="C8" s="9"/>
      <c r="D8" s="10" t="s">
        <v>5</v>
      </c>
      <c r="F8" s="11">
        <v>1.7299999999999999E-2</v>
      </c>
      <c r="G8" s="11">
        <v>1.7299999999999999E-2</v>
      </c>
      <c r="H8" s="11">
        <v>1.7299999999999999E-2</v>
      </c>
      <c r="I8" s="11">
        <v>1.7299999999999999E-2</v>
      </c>
      <c r="J8" s="11">
        <v>1.7299999999999999E-2</v>
      </c>
      <c r="K8" s="11">
        <v>1.7299999999999999E-2</v>
      </c>
      <c r="L8" s="11">
        <v>1.7299999999999999E-2</v>
      </c>
      <c r="M8" s="11">
        <v>1.7299999999999999E-2</v>
      </c>
      <c r="N8" s="11">
        <v>1.7299999999999999E-2</v>
      </c>
      <c r="O8" s="11">
        <v>1.7299999999999999E-2</v>
      </c>
      <c r="P8" s="154"/>
    </row>
    <row r="9" spans="2:16">
      <c r="C9" s="9"/>
      <c r="D9" s="10" t="s">
        <v>6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54"/>
    </row>
    <row r="10" spans="2:16">
      <c r="C10" s="9"/>
      <c r="D10" s="10" t="s">
        <v>7</v>
      </c>
      <c r="F10" s="11">
        <v>9.2539100313684397E-3</v>
      </c>
      <c r="G10" s="11">
        <v>9.2345840663303758E-3</v>
      </c>
      <c r="H10" s="11">
        <v>8.3899021032651788E-3</v>
      </c>
      <c r="I10" s="11">
        <v>8.6607407052041729E-3</v>
      </c>
      <c r="J10" s="11">
        <v>8.4043042346662045E-3</v>
      </c>
      <c r="K10" s="11">
        <v>8.1927463222002395E-3</v>
      </c>
      <c r="L10" s="11">
        <v>8.0142979893134125E-3</v>
      </c>
      <c r="M10" s="11">
        <v>7.8304003129050503E-3</v>
      </c>
      <c r="N10" s="11">
        <v>7.6698292718346828E-3</v>
      </c>
      <c r="O10" s="11">
        <v>7.5463421831372113E-3</v>
      </c>
      <c r="P10" s="154"/>
    </row>
    <row r="11" spans="2:16" ht="6.5" customHeight="1">
      <c r="B11" s="9"/>
      <c r="C11" s="12"/>
    </row>
    <row r="12" spans="2:16">
      <c r="B12" s="13" t="s">
        <v>8</v>
      </c>
      <c r="C12"/>
    </row>
    <row r="13" spans="2:16">
      <c r="B13" s="13"/>
      <c r="C13" s="14">
        <v>2.1</v>
      </c>
      <c r="D13" s="15" t="s">
        <v>9</v>
      </c>
      <c r="F13" s="16">
        <v>91.763279999999995</v>
      </c>
      <c r="G13" s="16">
        <v>93.598545599999994</v>
      </c>
      <c r="H13" s="16">
        <v>95.470516511999989</v>
      </c>
      <c r="I13" s="16">
        <v>97.122156447657602</v>
      </c>
      <c r="J13" s="16">
        <v>98.80236975420209</v>
      </c>
      <c r="K13" s="16">
        <v>100.5116507509498</v>
      </c>
      <c r="L13" s="16">
        <v>102.25050230894124</v>
      </c>
      <c r="M13" s="16">
        <v>104.01943599888592</v>
      </c>
      <c r="N13" s="16">
        <v>105.81897224166666</v>
      </c>
      <c r="O13" s="16">
        <v>107.6496404614475</v>
      </c>
      <c r="P13" s="155"/>
    </row>
    <row r="14" spans="2:16">
      <c r="B14" s="13"/>
      <c r="C14" s="14">
        <v>2.2000000000000002</v>
      </c>
      <c r="D14" s="15" t="s">
        <v>10</v>
      </c>
      <c r="F14" s="16">
        <v>52.081200000000003</v>
      </c>
      <c r="G14" s="16">
        <v>53.122824000000001</v>
      </c>
      <c r="H14" s="16">
        <v>54.185280480000003</v>
      </c>
      <c r="I14" s="16">
        <v>55.122685832304008</v>
      </c>
      <c r="J14" s="16">
        <v>56.076308297202871</v>
      </c>
      <c r="K14" s="16">
        <v>57.046428430744484</v>
      </c>
      <c r="L14" s="16">
        <v>58.033331642596366</v>
      </c>
      <c r="M14" s="16">
        <v>59.037308280013285</v>
      </c>
      <c r="N14" s="16">
        <v>60.05865371325752</v>
      </c>
      <c r="O14" s="16">
        <v>61.097668422496881</v>
      </c>
      <c r="P14" s="155"/>
    </row>
    <row r="15" spans="2:16">
      <c r="B15" s="13"/>
      <c r="C15" s="14">
        <v>2.2999999999999998</v>
      </c>
      <c r="D15" s="15" t="s">
        <v>11</v>
      </c>
      <c r="F15" s="16">
        <v>66.421773000000002</v>
      </c>
      <c r="G15" s="16">
        <v>67.757375999999994</v>
      </c>
      <c r="H15" s="16">
        <v>67.757375999999994</v>
      </c>
      <c r="I15" s="16">
        <v>68.9295786048</v>
      </c>
      <c r="J15" s="16">
        <v>70.122060314663045</v>
      </c>
      <c r="K15" s="16">
        <v>71.335171958106727</v>
      </c>
      <c r="L15" s="16">
        <v>72.56927043298198</v>
      </c>
      <c r="M15" s="16">
        <v>73.824718811472579</v>
      </c>
      <c r="N15" s="16">
        <v>75.101886446911067</v>
      </c>
      <c r="O15" s="16">
        <v>76.401149082442629</v>
      </c>
      <c r="P15" s="155"/>
    </row>
    <row r="16" spans="2:16">
      <c r="B16" s="13"/>
      <c r="C16" s="14">
        <v>2.4</v>
      </c>
      <c r="D16" s="15" t="s">
        <v>12</v>
      </c>
      <c r="F16" s="16">
        <v>22.110050000000001</v>
      </c>
      <c r="G16" s="16">
        <v>23.465951749999999</v>
      </c>
      <c r="H16" s="16">
        <v>25.011760061249994</v>
      </c>
      <c r="I16" s="16">
        <v>25.444463510309621</v>
      </c>
      <c r="J16" s="16">
        <v>25.884652729037981</v>
      </c>
      <c r="K16" s="16">
        <v>26.33245722125034</v>
      </c>
      <c r="L16" s="16">
        <v>26.788008731177975</v>
      </c>
      <c r="M16" s="16">
        <v>27.251441282227358</v>
      </c>
      <c r="N16" s="16">
        <v>27.722891216409895</v>
      </c>
      <c r="O16" s="16">
        <v>28.202497234453787</v>
      </c>
      <c r="P16" s="155"/>
    </row>
    <row r="17" spans="2:16">
      <c r="B17" s="13"/>
      <c r="C17" s="14">
        <v>2.5</v>
      </c>
      <c r="D17" s="15" t="s">
        <v>13</v>
      </c>
      <c r="F17" s="129">
        <v>208.79788345960296</v>
      </c>
      <c r="G17" s="129">
        <v>212.96688669419902</v>
      </c>
      <c r="H17" s="129">
        <v>217.22432795376864</v>
      </c>
      <c r="I17" s="129">
        <v>220.98230882736885</v>
      </c>
      <c r="J17" s="129">
        <v>224.80530277008236</v>
      </c>
      <c r="K17" s="129">
        <v>228.6944345080048</v>
      </c>
      <c r="L17" s="129">
        <v>232.65084822499333</v>
      </c>
      <c r="M17" s="129">
        <v>236.67570789928573</v>
      </c>
      <c r="N17" s="129">
        <v>240.77019764594337</v>
      </c>
      <c r="O17" s="129">
        <v>244.93552206521821</v>
      </c>
      <c r="P17" s="155"/>
    </row>
    <row r="18" spans="2:16">
      <c r="B18" s="13"/>
      <c r="C18" s="14">
        <v>2.6</v>
      </c>
      <c r="D18" s="15" t="s">
        <v>14</v>
      </c>
      <c r="F18" s="18">
        <f>SUM(F13:F17)</f>
        <v>441.17418645960299</v>
      </c>
      <c r="G18" s="18">
        <f t="shared" ref="G18:O18" si="1">SUM(G13:G17)</f>
        <v>450.911584044199</v>
      </c>
      <c r="H18" s="18">
        <f t="shared" si="1"/>
        <v>459.64926100701859</v>
      </c>
      <c r="I18" s="18">
        <f t="shared" si="1"/>
        <v>467.60119322244009</v>
      </c>
      <c r="J18" s="18">
        <f t="shared" si="1"/>
        <v>475.69069386518834</v>
      </c>
      <c r="K18" s="18">
        <f t="shared" si="1"/>
        <v>483.92014286905612</v>
      </c>
      <c r="L18" s="18">
        <f t="shared" si="1"/>
        <v>492.29196134069082</v>
      </c>
      <c r="M18" s="18">
        <f t="shared" si="1"/>
        <v>500.80861227188484</v>
      </c>
      <c r="N18" s="18">
        <f t="shared" si="1"/>
        <v>509.47260126418854</v>
      </c>
      <c r="O18" s="18">
        <f t="shared" si="1"/>
        <v>518.28647726605902</v>
      </c>
      <c r="P18" s="156"/>
    </row>
    <row r="19" spans="2:16" ht="6.5" customHeight="1">
      <c r="B19" s="9"/>
      <c r="C19" s="19"/>
      <c r="F19" s="8"/>
      <c r="G19" s="8"/>
      <c r="H19" s="8"/>
      <c r="I19" s="8"/>
      <c r="J19" s="8"/>
      <c r="K19" s="8"/>
      <c r="L19" s="8"/>
      <c r="M19" s="8"/>
      <c r="N19" s="8"/>
      <c r="O19" s="8"/>
      <c r="P19" s="147"/>
    </row>
    <row r="20" spans="2:16">
      <c r="B20" s="20" t="s">
        <v>15</v>
      </c>
      <c r="C20" s="21"/>
      <c r="F20" s="8"/>
      <c r="G20" s="8"/>
      <c r="H20" s="8"/>
      <c r="I20" s="8"/>
      <c r="J20" s="8"/>
      <c r="K20" s="8"/>
      <c r="L20" s="8"/>
      <c r="M20" s="8"/>
      <c r="N20" s="8"/>
      <c r="O20" s="8"/>
      <c r="P20" s="147"/>
    </row>
    <row r="21" spans="2:16">
      <c r="B21" s="20"/>
      <c r="C21" s="6">
        <v>3.1</v>
      </c>
      <c r="D21" s="22" t="s">
        <v>16</v>
      </c>
      <c r="F21" s="8">
        <v>633.18170578945092</v>
      </c>
      <c r="G21" s="8">
        <v>724.07445968605282</v>
      </c>
      <c r="H21" s="8">
        <v>575.39393843024436</v>
      </c>
      <c r="I21" s="8">
        <v>634.95652594959984</v>
      </c>
      <c r="J21" s="8">
        <v>577.32107858507197</v>
      </c>
      <c r="K21" s="8">
        <v>585.68833982287583</v>
      </c>
      <c r="L21" s="8">
        <v>609.9279304047368</v>
      </c>
      <c r="M21" s="8">
        <v>820.29122894748195</v>
      </c>
      <c r="N21" s="8">
        <v>594.30758054540001</v>
      </c>
      <c r="O21" s="8">
        <v>601.07257904426024</v>
      </c>
      <c r="P21" s="147"/>
    </row>
    <row r="22" spans="2:16">
      <c r="B22" s="20"/>
      <c r="C22" s="6">
        <v>3.2</v>
      </c>
      <c r="D22" s="22" t="s">
        <v>17</v>
      </c>
      <c r="F22" s="8">
        <v>7024.7094337336775</v>
      </c>
      <c r="G22" s="8">
        <v>7422.1021749490737</v>
      </c>
      <c r="H22" s="8">
        <v>7776.2728203817351</v>
      </c>
      <c r="I22" s="8">
        <v>8059.60566889031</v>
      </c>
      <c r="J22" s="8">
        <v>8329.8093126482745</v>
      </c>
      <c r="K22" s="8">
        <v>8575.635785039296</v>
      </c>
      <c r="L22" s="8">
        <v>8841.6441390097298</v>
      </c>
      <c r="M22" s="8">
        <v>9238.4446269536238</v>
      </c>
      <c r="N22" s="8">
        <v>9622.6750901497126</v>
      </c>
      <c r="O22" s="8">
        <v>9868.6917581693269</v>
      </c>
      <c r="P22" s="147"/>
    </row>
    <row r="23" spans="2:16">
      <c r="B23" s="20"/>
      <c r="C23" s="6">
        <v>3.3</v>
      </c>
      <c r="D23" s="22" t="s">
        <v>18</v>
      </c>
      <c r="F23" s="23">
        <v>3.2498437708314939E-2</v>
      </c>
      <c r="G23" s="23">
        <v>3.2862524475755168E-2</v>
      </c>
      <c r="H23" s="23">
        <v>3.2799868672800207E-2</v>
      </c>
      <c r="I23" s="23">
        <v>3.25794007159649E-2</v>
      </c>
      <c r="J23" s="23">
        <v>3.2037238328890862E-2</v>
      </c>
      <c r="K23" s="23">
        <v>3.1543159376567119E-2</v>
      </c>
      <c r="L23" s="23">
        <v>3.1106663281891989E-2</v>
      </c>
      <c r="M23" s="23">
        <v>3.0369887952588614E-2</v>
      </c>
      <c r="N23" s="23">
        <v>2.9754283453515565E-2</v>
      </c>
      <c r="O23" s="23">
        <v>2.9487393945272056E-2</v>
      </c>
      <c r="P23" s="157"/>
    </row>
    <row r="24" spans="2:16">
      <c r="B24" s="20"/>
      <c r="C24" s="6">
        <v>3.4</v>
      </c>
      <c r="D24" s="22" t="s">
        <v>19</v>
      </c>
      <c r="F24" s="8">
        <f>'EGD_Price cap'!F48</f>
        <v>502.89056235931611</v>
      </c>
      <c r="G24" s="8">
        <f>'EGD_Price cap'!G48</f>
        <v>507.21929032756361</v>
      </c>
      <c r="H24" s="8">
        <f>'EGD_Price cap'!H48</f>
        <v>505.84589418018237</v>
      </c>
      <c r="I24" s="8">
        <f>'EGD_Price cap'!I48</f>
        <v>512.23390581375145</v>
      </c>
      <c r="J24" s="8">
        <f>'EGD_Price cap'!J48</f>
        <v>514.84638743877053</v>
      </c>
      <c r="K24" s="8">
        <f>'EGD_Price cap'!K48</f>
        <v>517.7508824370949</v>
      </c>
      <c r="L24" s="8">
        <f>'EGD_Price cap'!L48</f>
        <v>520.89307002335454</v>
      </c>
      <c r="M24" s="8">
        <f>'EGD_Price cap'!M48</f>
        <v>523.96503153571007</v>
      </c>
      <c r="N24" s="8">
        <f>'EGD_Price cap'!N48</f>
        <v>527.22395425965738</v>
      </c>
      <c r="O24" s="8">
        <f>'EGD_Price cap'!O48</f>
        <v>530.82784706649443</v>
      </c>
      <c r="P24" s="147"/>
    </row>
    <row r="25" spans="2:16">
      <c r="B25" s="20"/>
      <c r="C25" s="6">
        <v>3.5</v>
      </c>
      <c r="D25" s="22" t="s">
        <v>20</v>
      </c>
      <c r="F25" s="8">
        <v>111.47124479293387</v>
      </c>
      <c r="G25" s="8">
        <f t="shared" ref="G25:N25" si="2">G21-G24</f>
        <v>216.85516935848921</v>
      </c>
      <c r="H25" s="8">
        <f t="shared" si="2"/>
        <v>69.548044250061992</v>
      </c>
      <c r="I25" s="8">
        <f t="shared" si="2"/>
        <v>122.72262013584839</v>
      </c>
      <c r="J25" s="8">
        <f t="shared" si="2"/>
        <v>62.474691146301438</v>
      </c>
      <c r="K25" s="8">
        <f t="shared" si="2"/>
        <v>67.937457385780931</v>
      </c>
      <c r="L25" s="8">
        <f t="shared" si="2"/>
        <v>89.034860381382259</v>
      </c>
      <c r="M25" s="8">
        <f t="shared" si="2"/>
        <v>296.32619741177189</v>
      </c>
      <c r="N25" s="8">
        <f t="shared" si="2"/>
        <v>67.083626285742639</v>
      </c>
      <c r="O25" s="8">
        <f>O21-O24</f>
        <v>70.244731977765809</v>
      </c>
      <c r="P25" s="147"/>
    </row>
    <row r="26" spans="2:16" ht="6.5" customHeight="1">
      <c r="B26" s="20"/>
      <c r="C26" s="21"/>
      <c r="D26" s="24"/>
      <c r="F26" s="8"/>
      <c r="G26" s="8"/>
      <c r="H26" s="8"/>
      <c r="I26" s="8"/>
      <c r="J26" s="8"/>
      <c r="K26" s="8"/>
      <c r="L26" s="8"/>
      <c r="M26" s="8"/>
      <c r="N26" s="8"/>
      <c r="O26" s="8"/>
      <c r="P26" s="147"/>
    </row>
    <row r="27" spans="2:16">
      <c r="B27" s="13" t="s">
        <v>21</v>
      </c>
      <c r="C27"/>
      <c r="F27" s="8"/>
      <c r="G27" s="8"/>
      <c r="H27" s="8"/>
      <c r="I27" s="8"/>
      <c r="J27" s="8"/>
      <c r="K27" s="8"/>
      <c r="L27" s="8"/>
      <c r="M27" s="8"/>
      <c r="N27" s="8"/>
      <c r="O27" s="8"/>
      <c r="P27" s="147"/>
    </row>
    <row r="28" spans="2:16">
      <c r="B28" s="26"/>
      <c r="C28" s="14">
        <v>4.0999999999999996</v>
      </c>
      <c r="D28" s="7" t="s">
        <v>22</v>
      </c>
      <c r="F28" s="23">
        <v>4.3499999999999997E-2</v>
      </c>
      <c r="G28" s="23">
        <v>4.65E-2</v>
      </c>
      <c r="H28" s="23">
        <v>4.8000000000000001E-2</v>
      </c>
      <c r="I28" s="23">
        <v>4.8000000000000001E-2</v>
      </c>
      <c r="J28" s="23">
        <v>4.8000000000000001E-2</v>
      </c>
      <c r="K28" s="23">
        <v>4.8000000000000001E-2</v>
      </c>
      <c r="L28" s="23">
        <v>4.8000000000000001E-2</v>
      </c>
      <c r="M28" s="23">
        <v>4.8000000000000001E-2</v>
      </c>
      <c r="N28" s="23">
        <v>4.8000000000000001E-2</v>
      </c>
      <c r="O28" s="23">
        <v>4.8000000000000001E-2</v>
      </c>
      <c r="P28" s="157"/>
    </row>
    <row r="29" spans="2:16">
      <c r="C29" s="25">
        <v>4.2</v>
      </c>
      <c r="D29" s="7" t="s">
        <v>23</v>
      </c>
      <c r="F29" s="27">
        <v>9.1509999999999994E-2</v>
      </c>
      <c r="G29" s="27">
        <v>9.2810000000000004E-2</v>
      </c>
      <c r="H29" s="27">
        <v>9.3679999999999999E-2</v>
      </c>
      <c r="I29" s="27">
        <v>9.3679999999999999E-2</v>
      </c>
      <c r="J29" s="27">
        <v>9.3679999999999999E-2</v>
      </c>
      <c r="K29" s="27">
        <v>9.3679999999999999E-2</v>
      </c>
      <c r="L29" s="27">
        <v>9.3679999999999999E-2</v>
      </c>
      <c r="M29" s="27">
        <v>9.3679999999999999E-2</v>
      </c>
      <c r="N29" s="27">
        <v>9.3679999999999999E-2</v>
      </c>
      <c r="O29" s="27">
        <v>9.3679999999999999E-2</v>
      </c>
      <c r="P29" s="158"/>
    </row>
    <row r="30" spans="2:16" ht="6.5" customHeight="1">
      <c r="B30" s="26"/>
      <c r="D30" s="7"/>
      <c r="F30" s="8"/>
      <c r="G30" s="8"/>
      <c r="H30" s="8"/>
      <c r="I30" s="8"/>
      <c r="J30" s="8"/>
      <c r="K30" s="8"/>
      <c r="L30" s="8"/>
      <c r="M30" s="8"/>
      <c r="N30" s="8"/>
      <c r="O30" s="8"/>
      <c r="P30" s="147"/>
    </row>
    <row r="31" spans="2:16" s="2" customFormat="1">
      <c r="B31" s="26">
        <v>5</v>
      </c>
      <c r="C31" s="2" t="s">
        <v>24</v>
      </c>
      <c r="D31" s="13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147"/>
    </row>
    <row r="32" spans="2:16">
      <c r="B32" s="26"/>
      <c r="C32" s="25">
        <v>5.0999999999999996</v>
      </c>
      <c r="D32" s="7" t="s">
        <v>25</v>
      </c>
      <c r="F32" s="23">
        <v>0.26500000000000001</v>
      </c>
      <c r="G32" s="23">
        <v>0.26500000000000001</v>
      </c>
      <c r="H32" s="23">
        <v>0.26500000000000001</v>
      </c>
      <c r="I32" s="23">
        <v>0.26500000000000001</v>
      </c>
      <c r="J32" s="23">
        <v>0.26500000000000001</v>
      </c>
      <c r="K32" s="23">
        <v>0.26500000000000001</v>
      </c>
      <c r="L32" s="23">
        <v>0.26500000000000001</v>
      </c>
      <c r="M32" s="23">
        <v>0.26500000000000001</v>
      </c>
      <c r="N32" s="23">
        <v>0.26500000000000001</v>
      </c>
      <c r="O32" s="23">
        <v>0.26500000000000001</v>
      </c>
      <c r="P32" s="157"/>
    </row>
    <row r="33" spans="2:16">
      <c r="B33" s="20"/>
      <c r="C33" s="6">
        <v>5.2</v>
      </c>
      <c r="D33" s="22" t="s">
        <v>26</v>
      </c>
      <c r="F33" s="8">
        <v>50.542305053316532</v>
      </c>
      <c r="G33" s="8">
        <v>53.229955370008931</v>
      </c>
      <c r="H33" s="8">
        <v>56.100261127405666</v>
      </c>
      <c r="I33" s="8">
        <v>58.716856282957906</v>
      </c>
      <c r="J33" s="8">
        <v>61.290161446081129</v>
      </c>
      <c r="K33" s="8">
        <v>63.732954255722362</v>
      </c>
      <c r="L33" s="8">
        <v>66.24713924296627</v>
      </c>
      <c r="M33" s="8">
        <v>69.151045233441607</v>
      </c>
      <c r="N33" s="8">
        <v>72.04943346456858</v>
      </c>
      <c r="O33" s="8">
        <v>74.62450575243858</v>
      </c>
      <c r="P33" s="147"/>
    </row>
    <row r="34" spans="2:16">
      <c r="B34" s="26"/>
      <c r="C34" s="25"/>
      <c r="D34" s="7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157"/>
    </row>
    <row r="35" spans="2:16" ht="5" customHeight="1" collapsed="1">
      <c r="B35" s="29"/>
      <c r="C35" s="30"/>
      <c r="D35" s="31"/>
      <c r="E35" s="31"/>
      <c r="F35" s="32"/>
      <c r="G35" s="32"/>
      <c r="H35" s="32"/>
      <c r="I35" s="33"/>
      <c r="J35" s="33"/>
      <c r="K35" s="33"/>
      <c r="L35" s="33"/>
      <c r="M35" s="33"/>
      <c r="N35" s="33"/>
      <c r="O35" s="33"/>
    </row>
    <row r="36" spans="2:16">
      <c r="C36" s="2" t="s">
        <v>27</v>
      </c>
      <c r="P36" s="153" t="s">
        <v>126</v>
      </c>
    </row>
    <row r="37" spans="2:16">
      <c r="B37" s="34"/>
      <c r="C37" s="35"/>
      <c r="D37" s="36"/>
      <c r="E37" s="36"/>
      <c r="F37" s="36"/>
      <c r="G37" s="37"/>
      <c r="H37" s="37"/>
    </row>
    <row r="38" spans="2:16" ht="15" thickBot="1">
      <c r="B38" s="2"/>
      <c r="C38" s="3" t="s">
        <v>28</v>
      </c>
      <c r="D38" s="3"/>
      <c r="E38" s="3"/>
      <c r="F38" s="3">
        <v>2019</v>
      </c>
      <c r="G38" s="3">
        <f t="shared" ref="G38:O38" si="3">F38+1</f>
        <v>2020</v>
      </c>
      <c r="H38" s="3">
        <f t="shared" si="3"/>
        <v>2021</v>
      </c>
      <c r="I38" s="3">
        <f t="shared" si="3"/>
        <v>2022</v>
      </c>
      <c r="J38" s="3">
        <f t="shared" si="3"/>
        <v>2023</v>
      </c>
      <c r="K38" s="3">
        <f t="shared" si="3"/>
        <v>2024</v>
      </c>
      <c r="L38" s="3">
        <f t="shared" si="3"/>
        <v>2025</v>
      </c>
      <c r="M38" s="3">
        <f t="shared" si="3"/>
        <v>2026</v>
      </c>
      <c r="N38" s="3">
        <f t="shared" si="3"/>
        <v>2027</v>
      </c>
      <c r="O38" s="3">
        <f t="shared" si="3"/>
        <v>2028</v>
      </c>
      <c r="P38" s="146"/>
    </row>
    <row r="39" spans="2:16">
      <c r="B39" s="38"/>
      <c r="C39" s="39" t="s">
        <v>29</v>
      </c>
      <c r="D39" s="40"/>
      <c r="E39" s="40"/>
      <c r="F39" s="40"/>
      <c r="G39" s="40"/>
      <c r="H39" s="40"/>
    </row>
    <row r="40" spans="2:16">
      <c r="B40" s="38"/>
      <c r="C40" s="41" t="s">
        <v>30</v>
      </c>
      <c r="D40" s="40"/>
      <c r="E40" s="40"/>
      <c r="F40" s="42">
        <f>F69</f>
        <v>7024.7094337336775</v>
      </c>
      <c r="G40" s="42">
        <f t="shared" ref="G40:O40" si="4">G69</f>
        <v>7422.1021749490737</v>
      </c>
      <c r="H40" s="42">
        <f t="shared" si="4"/>
        <v>7776.2728203817351</v>
      </c>
      <c r="I40" s="42">
        <f t="shared" si="4"/>
        <v>8059.60566889031</v>
      </c>
      <c r="J40" s="42">
        <f t="shared" si="4"/>
        <v>8329.8093126482745</v>
      </c>
      <c r="K40" s="42">
        <f t="shared" si="4"/>
        <v>8575.635785039296</v>
      </c>
      <c r="L40" s="42">
        <f t="shared" si="4"/>
        <v>8841.6441390097298</v>
      </c>
      <c r="M40" s="42">
        <f t="shared" si="4"/>
        <v>9238.4446269536238</v>
      </c>
      <c r="N40" s="42">
        <f t="shared" si="4"/>
        <v>9622.6750901497126</v>
      </c>
      <c r="O40" s="42">
        <f t="shared" si="4"/>
        <v>9868.6917581693269</v>
      </c>
      <c r="P40" s="148"/>
    </row>
    <row r="41" spans="2:16">
      <c r="B41" s="38"/>
      <c r="C41" s="41" t="s">
        <v>31</v>
      </c>
      <c r="D41" s="40"/>
      <c r="E41" s="40"/>
      <c r="F41" s="44">
        <f>F100</f>
        <v>6.1923443229545863E-2</v>
      </c>
      <c r="G41" s="44">
        <f t="shared" ref="G41:O41" si="5">G100</f>
        <v>6.2667002419082976E-2</v>
      </c>
      <c r="H41" s="44">
        <f t="shared" si="5"/>
        <v>6.3068084256411874E-2</v>
      </c>
      <c r="I41" s="44">
        <f t="shared" si="5"/>
        <v>6.3147578817798214E-2</v>
      </c>
      <c r="J41" s="44">
        <f t="shared" si="5"/>
        <v>6.2995656240295489E-2</v>
      </c>
      <c r="K41" s="44">
        <f t="shared" si="5"/>
        <v>6.3060133851570832E-2</v>
      </c>
      <c r="L41" s="44">
        <f t="shared" si="5"/>
        <v>6.3264512378260834E-2</v>
      </c>
      <c r="M41" s="44">
        <f t="shared" si="5"/>
        <v>6.3432815935231299E-2</v>
      </c>
      <c r="N41" s="44">
        <f t="shared" si="5"/>
        <v>6.3465146732076691E-2</v>
      </c>
      <c r="O41" s="44">
        <f t="shared" si="5"/>
        <v>6.3635360490051543E-2</v>
      </c>
      <c r="P41" s="159"/>
    </row>
    <row r="42" spans="2:16">
      <c r="B42" s="38"/>
      <c r="C42" s="41"/>
      <c r="D42" s="40"/>
      <c r="E42" s="40"/>
      <c r="F42" s="46">
        <f>F41*F40</f>
        <v>434.99419582386264</v>
      </c>
      <c r="G42" s="46">
        <f t="shared" ref="G42:O42" si="6">G41*G40</f>
        <v>465.1208949522146</v>
      </c>
      <c r="H42" s="46">
        <f t="shared" si="6"/>
        <v>490.43462943668089</v>
      </c>
      <c r="I42" s="46">
        <f t="shared" si="6"/>
        <v>508.94458421662415</v>
      </c>
      <c r="J42" s="46">
        <f t="shared" si="6"/>
        <v>524.74180400680279</v>
      </c>
      <c r="K42" s="46">
        <f t="shared" si="6"/>
        <v>540.78074046689869</v>
      </c>
      <c r="L42" s="46">
        <f t="shared" si="6"/>
        <v>559.36230507655841</v>
      </c>
      <c r="M42" s="46">
        <f t="shared" si="6"/>
        <v>586.02055754937578</v>
      </c>
      <c r="N42" s="46">
        <f t="shared" si="6"/>
        <v>610.70448655145083</v>
      </c>
      <c r="O42" s="46">
        <f t="shared" si="6"/>
        <v>627.99775759630563</v>
      </c>
      <c r="P42" s="148"/>
    </row>
    <row r="43" spans="2:16">
      <c r="B43" s="38"/>
      <c r="C43" s="47" t="s">
        <v>32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8"/>
      <c r="P43" s="160"/>
    </row>
    <row r="44" spans="2:16">
      <c r="B44" s="38"/>
      <c r="C44" s="41" t="s">
        <v>33</v>
      </c>
      <c r="D44" s="40"/>
      <c r="E44" s="40"/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149"/>
    </row>
    <row r="45" spans="2:16">
      <c r="B45" s="38"/>
      <c r="C45" s="41" t="s">
        <v>34</v>
      </c>
      <c r="D45" s="40"/>
      <c r="E45" s="40"/>
      <c r="F45" s="49">
        <v>441.17418645960299</v>
      </c>
      <c r="G45" s="49">
        <v>450.911584044199</v>
      </c>
      <c r="H45" s="49">
        <v>459.64926100701859</v>
      </c>
      <c r="I45" s="49">
        <v>467.60119322244014</v>
      </c>
      <c r="J45" s="49">
        <v>475.69069386518839</v>
      </c>
      <c r="K45" s="49">
        <v>483.92014286905612</v>
      </c>
      <c r="L45" s="49">
        <v>492.29196134069082</v>
      </c>
      <c r="M45" s="49">
        <v>500.80861227188484</v>
      </c>
      <c r="N45" s="49">
        <v>509.47260126418854</v>
      </c>
      <c r="O45" s="49">
        <v>518.28647726605902</v>
      </c>
      <c r="P45" s="149"/>
    </row>
    <row r="46" spans="2:16">
      <c r="B46" s="38"/>
      <c r="C46" s="41" t="s">
        <v>35</v>
      </c>
      <c r="D46" s="40"/>
      <c r="E46" s="40"/>
      <c r="F46" s="49">
        <v>327.58919048197174</v>
      </c>
      <c r="G46" s="49">
        <v>348.93414223805473</v>
      </c>
      <c r="H46" s="49">
        <v>367.09623949774084</v>
      </c>
      <c r="I46" s="49">
        <v>381.67199792484138</v>
      </c>
      <c r="J46" s="49">
        <v>391.79350189285987</v>
      </c>
      <c r="K46" s="49">
        <v>401.14774672554239</v>
      </c>
      <c r="L46" s="49">
        <v>411.22549076391289</v>
      </c>
      <c r="M46" s="49">
        <v>419.10189910880166</v>
      </c>
      <c r="N46" s="49">
        <v>427.83585319399663</v>
      </c>
      <c r="O46" s="49">
        <v>439.17643981867536</v>
      </c>
      <c r="P46" s="149"/>
    </row>
    <row r="47" spans="2:16">
      <c r="B47" s="38"/>
      <c r="C47" s="41" t="s">
        <v>36</v>
      </c>
      <c r="D47" s="40"/>
      <c r="E47" s="40"/>
      <c r="F47" s="49">
        <v>2.79</v>
      </c>
      <c r="G47" s="49">
        <v>2.8</v>
      </c>
      <c r="H47" s="49">
        <v>2.82</v>
      </c>
      <c r="I47" s="49">
        <v>2.82</v>
      </c>
      <c r="J47" s="49">
        <v>2.82</v>
      </c>
      <c r="K47" s="49">
        <v>2.82</v>
      </c>
      <c r="L47" s="49">
        <v>2.82</v>
      </c>
      <c r="M47" s="49">
        <v>2.82</v>
      </c>
      <c r="N47" s="49">
        <v>2.82</v>
      </c>
      <c r="O47" s="49">
        <v>2.82</v>
      </c>
      <c r="P47" s="149"/>
    </row>
    <row r="48" spans="2:16">
      <c r="B48" s="38"/>
      <c r="C48" s="41" t="s">
        <v>37</v>
      </c>
      <c r="D48" s="40"/>
      <c r="E48" s="40"/>
      <c r="F48" s="126">
        <v>50.542305053316532</v>
      </c>
      <c r="G48" s="126">
        <v>53.229955370008931</v>
      </c>
      <c r="H48" s="126">
        <v>56.100261127405666</v>
      </c>
      <c r="I48" s="126">
        <v>58.716856282957906</v>
      </c>
      <c r="J48" s="126">
        <v>61.290161446081129</v>
      </c>
      <c r="K48" s="126">
        <v>63.732954255722362</v>
      </c>
      <c r="L48" s="126">
        <v>66.24713924296627</v>
      </c>
      <c r="M48" s="126">
        <v>69.151045233441607</v>
      </c>
      <c r="N48" s="126">
        <v>72.04943346456858</v>
      </c>
      <c r="O48" s="126">
        <v>74.62450575243858</v>
      </c>
      <c r="P48" s="149"/>
    </row>
    <row r="49" spans="2:16">
      <c r="B49" s="38"/>
      <c r="C49" s="41"/>
      <c r="D49" s="40"/>
      <c r="E49" s="40"/>
      <c r="F49" s="46">
        <f>SUM(F44:F48)</f>
        <v>822.09568199489127</v>
      </c>
      <c r="G49" s="46">
        <f t="shared" ref="G49:O49" si="7">SUM(G44:G48)</f>
        <v>855.87568165226264</v>
      </c>
      <c r="H49" s="46">
        <f t="shared" si="7"/>
        <v>885.66576163216519</v>
      </c>
      <c r="I49" s="46">
        <f t="shared" si="7"/>
        <v>910.81004743023948</v>
      </c>
      <c r="J49" s="46">
        <f t="shared" si="7"/>
        <v>931.59435720412944</v>
      </c>
      <c r="K49" s="46">
        <f t="shared" si="7"/>
        <v>951.62084385032085</v>
      </c>
      <c r="L49" s="46">
        <f t="shared" si="7"/>
        <v>972.58459134757004</v>
      </c>
      <c r="M49" s="46">
        <f t="shared" si="7"/>
        <v>991.88155661412816</v>
      </c>
      <c r="N49" s="46">
        <f t="shared" si="7"/>
        <v>1012.1778879227538</v>
      </c>
      <c r="O49" s="46">
        <f t="shared" si="7"/>
        <v>1034.907422837173</v>
      </c>
      <c r="P49" s="148"/>
    </row>
    <row r="50" spans="2:16" ht="6.5" customHeight="1">
      <c r="B50" s="38"/>
      <c r="C50" s="41"/>
      <c r="D50" s="40"/>
      <c r="E50" s="40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148"/>
    </row>
    <row r="51" spans="2:16">
      <c r="B51" s="38"/>
      <c r="C51" s="39" t="s">
        <v>39</v>
      </c>
      <c r="D51" s="40"/>
      <c r="E51" s="40"/>
      <c r="F51" s="46">
        <v>43.313219667018281</v>
      </c>
      <c r="G51" s="46">
        <v>36.145357788183766</v>
      </c>
      <c r="H51" s="46">
        <v>51.547177148478184</v>
      </c>
      <c r="I51" s="46">
        <v>53.207679920995645</v>
      </c>
      <c r="J51" s="46">
        <v>59.653970279064296</v>
      </c>
      <c r="K51" s="46">
        <v>53.887473585915401</v>
      </c>
      <c r="L51" s="46">
        <v>60.346217229021434</v>
      </c>
      <c r="M51" s="46">
        <v>51.193587804585107</v>
      </c>
      <c r="N51" s="46">
        <v>69.662367927693765</v>
      </c>
      <c r="O51" s="46">
        <v>74.75891061696467</v>
      </c>
      <c r="P51" s="148"/>
    </row>
    <row r="52" spans="2:16" ht="6.5" customHeight="1">
      <c r="B52" s="38"/>
      <c r="C52" s="51"/>
      <c r="D52" s="40"/>
      <c r="E52" s="40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148"/>
    </row>
    <row r="53" spans="2:16" ht="15" thickBot="1">
      <c r="B53" s="38"/>
      <c r="C53" s="52" t="s">
        <v>40</v>
      </c>
      <c r="D53" s="53"/>
      <c r="E53" s="53"/>
      <c r="F53" s="54">
        <f t="shared" ref="F53:O53" si="8">F51+F49+F42</f>
        <v>1300.4030974857722</v>
      </c>
      <c r="G53" s="54">
        <f t="shared" si="8"/>
        <v>1357.1419343926609</v>
      </c>
      <c r="H53" s="54">
        <f t="shared" si="8"/>
        <v>1427.6475682173243</v>
      </c>
      <c r="I53" s="54">
        <f t="shared" si="8"/>
        <v>1472.9623115678594</v>
      </c>
      <c r="J53" s="54">
        <f t="shared" si="8"/>
        <v>1515.9901314899967</v>
      </c>
      <c r="K53" s="54">
        <f t="shared" si="8"/>
        <v>1546.289057903135</v>
      </c>
      <c r="L53" s="54">
        <f t="shared" si="8"/>
        <v>1592.2931136531499</v>
      </c>
      <c r="M53" s="54">
        <f t="shared" si="8"/>
        <v>1629.0957019680891</v>
      </c>
      <c r="N53" s="54">
        <f t="shared" si="8"/>
        <v>1692.5447424018985</v>
      </c>
      <c r="O53" s="54">
        <f t="shared" si="8"/>
        <v>1737.6640910504434</v>
      </c>
      <c r="P53" s="149"/>
    </row>
    <row r="54" spans="2:16" ht="15" thickTop="1">
      <c r="B54" s="38"/>
      <c r="C54" s="55"/>
      <c r="D54" s="56"/>
      <c r="E54" s="56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149"/>
    </row>
    <row r="55" spans="2:16">
      <c r="B55" s="38"/>
      <c r="C55" s="55" t="s">
        <v>41</v>
      </c>
      <c r="D55" s="56"/>
      <c r="E55" s="56"/>
      <c r="F55" s="57">
        <v>231.41921770114877</v>
      </c>
      <c r="G55" s="57">
        <v>247.98430902852849</v>
      </c>
      <c r="H55" s="57">
        <v>262.25324561280991</v>
      </c>
      <c r="I55" s="57">
        <v>271.8085892621919</v>
      </c>
      <c r="J55" s="57">
        <v>280.9211531072005</v>
      </c>
      <c r="K55" s="57">
        <v>289.21160172329326</v>
      </c>
      <c r="L55" s="57">
        <v>298.18268025927534</v>
      </c>
      <c r="M55" s="57">
        <v>311.56469735508557</v>
      </c>
      <c r="N55" s="57">
        <v>324.52279288028103</v>
      </c>
      <c r="O55" s="57">
        <v>332.81965580590889</v>
      </c>
      <c r="P55" s="149"/>
    </row>
    <row r="56" spans="2:16">
      <c r="B56" s="38"/>
      <c r="C56" s="39"/>
      <c r="D56" s="40"/>
      <c r="E56" s="40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149"/>
    </row>
    <row r="57" spans="2:16" ht="5" customHeight="1" collapsed="1">
      <c r="B57" s="29"/>
      <c r="C57" s="30"/>
      <c r="D57" s="31"/>
      <c r="E57" s="31"/>
      <c r="F57" s="32"/>
      <c r="G57" s="32"/>
      <c r="H57" s="32"/>
      <c r="I57" s="33"/>
      <c r="J57" s="33"/>
      <c r="K57" s="33"/>
      <c r="L57" s="33"/>
      <c r="M57" s="33"/>
      <c r="N57" s="33"/>
      <c r="O57" s="33"/>
    </row>
    <row r="58" spans="2:16">
      <c r="C58" s="2" t="s">
        <v>42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53" t="s">
        <v>127</v>
      </c>
    </row>
    <row r="59" spans="2:16">
      <c r="B59" s="34"/>
      <c r="C59" s="35"/>
      <c r="D59" s="36"/>
      <c r="E59" s="36"/>
      <c r="F59" s="36"/>
      <c r="G59" s="37"/>
      <c r="H59" s="37"/>
    </row>
    <row r="60" spans="2:16" ht="15" thickBot="1">
      <c r="B60" s="2"/>
      <c r="C60" s="3" t="s">
        <v>28</v>
      </c>
      <c r="D60" s="3"/>
      <c r="E60" s="3"/>
      <c r="F60" s="3">
        <v>2019</v>
      </c>
      <c r="G60" s="3">
        <f t="shared" ref="G60:O60" si="9">F60+1</f>
        <v>2020</v>
      </c>
      <c r="H60" s="3">
        <f t="shared" si="9"/>
        <v>2021</v>
      </c>
      <c r="I60" s="3">
        <f t="shared" si="9"/>
        <v>2022</v>
      </c>
      <c r="J60" s="3">
        <f t="shared" si="9"/>
        <v>2023</v>
      </c>
      <c r="K60" s="3">
        <f t="shared" si="9"/>
        <v>2024</v>
      </c>
      <c r="L60" s="3">
        <f t="shared" si="9"/>
        <v>2025</v>
      </c>
      <c r="M60" s="3">
        <f t="shared" si="9"/>
        <v>2026</v>
      </c>
      <c r="N60" s="3">
        <f t="shared" si="9"/>
        <v>2027</v>
      </c>
      <c r="O60" s="3">
        <f t="shared" si="9"/>
        <v>2028</v>
      </c>
      <c r="P60" s="146"/>
    </row>
    <row r="61" spans="2:16">
      <c r="B61" s="58"/>
      <c r="C61" s="40"/>
      <c r="D61" s="59"/>
      <c r="E61" s="59"/>
      <c r="F61" s="60"/>
      <c r="G61" s="60"/>
      <c r="H61" s="40"/>
    </row>
    <row r="62" spans="2:16">
      <c r="B62" s="58"/>
      <c r="C62" s="61" t="s">
        <v>43</v>
      </c>
      <c r="D62" s="59"/>
      <c r="E62" s="59"/>
      <c r="F62" s="60"/>
      <c r="G62" s="60"/>
      <c r="H62" s="40"/>
    </row>
    <row r="63" spans="2:16">
      <c r="B63" s="58"/>
      <c r="C63" s="62" t="s">
        <v>44</v>
      </c>
      <c r="D63" s="59"/>
      <c r="E63" s="59"/>
      <c r="F63" s="49">
        <v>10108.461010663306</v>
      </c>
      <c r="G63" s="49">
        <v>10645.991074001786</v>
      </c>
      <c r="H63" s="49">
        <v>11220.052225481133</v>
      </c>
      <c r="I63" s="49">
        <v>11743.371256591581</v>
      </c>
      <c r="J63" s="49">
        <v>12258.032289216226</v>
      </c>
      <c r="K63" s="49">
        <v>12746.590851144472</v>
      </c>
      <c r="L63" s="49">
        <v>13249.427848593254</v>
      </c>
      <c r="M63" s="49">
        <v>13830.20904668832</v>
      </c>
      <c r="N63" s="49">
        <v>14409.886692913715</v>
      </c>
      <c r="O63" s="49">
        <v>14924.901150487714</v>
      </c>
      <c r="P63" s="149"/>
    </row>
    <row r="64" spans="2:16">
      <c r="B64" s="58"/>
      <c r="C64" s="62" t="s">
        <v>45</v>
      </c>
      <c r="D64" s="59"/>
      <c r="E64" s="59"/>
      <c r="F64" s="126">
        <v>-3442.8515769296282</v>
      </c>
      <c r="G64" s="126">
        <v>-3582.3888990527121</v>
      </c>
      <c r="H64" s="126">
        <v>-3802.2794050993984</v>
      </c>
      <c r="I64" s="126">
        <v>-4042.2655877012712</v>
      </c>
      <c r="J64" s="126">
        <v>-4286.7229765679513</v>
      </c>
      <c r="K64" s="126">
        <v>-4529.4550661051771</v>
      </c>
      <c r="L64" s="126">
        <v>-4766.2837095835239</v>
      </c>
      <c r="M64" s="126">
        <v>-4950.2644197346972</v>
      </c>
      <c r="N64" s="126">
        <v>-5145.7116027640022</v>
      </c>
      <c r="O64" s="126">
        <v>-5414.7093923183866</v>
      </c>
      <c r="P64" s="149"/>
    </row>
    <row r="65" spans="2:16">
      <c r="B65" s="58"/>
      <c r="C65" s="63" t="s">
        <v>46</v>
      </c>
      <c r="D65" s="59"/>
      <c r="E65" s="59"/>
      <c r="F65" s="49">
        <f>SUM(F63:F64)</f>
        <v>6665.6094337336781</v>
      </c>
      <c r="G65" s="49">
        <f t="shared" ref="G65:O65" si="10">SUM(G63:G64)</f>
        <v>7063.6021749490737</v>
      </c>
      <c r="H65" s="49">
        <f t="shared" si="10"/>
        <v>7417.7728203817351</v>
      </c>
      <c r="I65" s="49">
        <f t="shared" si="10"/>
        <v>7701.10566889031</v>
      </c>
      <c r="J65" s="49">
        <f t="shared" si="10"/>
        <v>7971.3093126482745</v>
      </c>
      <c r="K65" s="49">
        <f t="shared" si="10"/>
        <v>8217.135785039296</v>
      </c>
      <c r="L65" s="49">
        <f t="shared" si="10"/>
        <v>8483.1441390097298</v>
      </c>
      <c r="M65" s="49">
        <f t="shared" si="10"/>
        <v>8879.9446269536238</v>
      </c>
      <c r="N65" s="49">
        <f t="shared" si="10"/>
        <v>9264.1750901497126</v>
      </c>
      <c r="O65" s="49">
        <f t="shared" si="10"/>
        <v>9510.1917581693269</v>
      </c>
      <c r="P65" s="149"/>
    </row>
    <row r="66" spans="2:16">
      <c r="B66" s="58"/>
      <c r="C66" s="1" t="s">
        <v>47</v>
      </c>
      <c r="D66" s="59"/>
      <c r="E66" s="59"/>
      <c r="F66" s="50">
        <v>-9.1000000000000014</v>
      </c>
      <c r="G66" s="50">
        <v>-9.1000000000000014</v>
      </c>
      <c r="H66" s="50">
        <v>-9.1000000000000014</v>
      </c>
      <c r="I66" s="50">
        <v>-9.1000000000000014</v>
      </c>
      <c r="J66" s="50">
        <v>-9.1000000000000014</v>
      </c>
      <c r="K66" s="50">
        <v>-9.1000000000000014</v>
      </c>
      <c r="L66" s="50">
        <v>-9.1000000000000014</v>
      </c>
      <c r="M66" s="50">
        <v>-9.1000000000000014</v>
      </c>
      <c r="N66" s="50">
        <v>-9.1000000000000014</v>
      </c>
      <c r="O66" s="50">
        <v>-9.1000000000000014</v>
      </c>
      <c r="P66" s="149"/>
    </row>
    <row r="67" spans="2:16">
      <c r="B67" s="58"/>
      <c r="C67" s="1" t="s">
        <v>48</v>
      </c>
      <c r="D67" s="59"/>
      <c r="E67" s="59"/>
      <c r="F67" s="49">
        <f>SUM(F65:F66)</f>
        <v>6656.5094337336777</v>
      </c>
      <c r="G67" s="49">
        <f t="shared" ref="G67:O67" si="11">SUM(G65:G66)</f>
        <v>7054.5021749490734</v>
      </c>
      <c r="H67" s="49">
        <f t="shared" si="11"/>
        <v>7408.6728203817347</v>
      </c>
      <c r="I67" s="49">
        <f t="shared" si="11"/>
        <v>7692.0056688903096</v>
      </c>
      <c r="J67" s="49">
        <f t="shared" si="11"/>
        <v>7962.2093126482741</v>
      </c>
      <c r="K67" s="49">
        <f t="shared" si="11"/>
        <v>8208.0357850392957</v>
      </c>
      <c r="L67" s="49">
        <f t="shared" si="11"/>
        <v>8474.0441390097294</v>
      </c>
      <c r="M67" s="49">
        <f t="shared" si="11"/>
        <v>8870.8446269536234</v>
      </c>
      <c r="N67" s="49">
        <f t="shared" si="11"/>
        <v>9255.0750901497122</v>
      </c>
      <c r="O67" s="49">
        <f t="shared" si="11"/>
        <v>9501.0917581693266</v>
      </c>
      <c r="P67" s="149"/>
    </row>
    <row r="68" spans="2:16">
      <c r="B68" s="58"/>
      <c r="C68" s="1" t="s">
        <v>49</v>
      </c>
      <c r="D68" s="59"/>
      <c r="E68" s="59"/>
      <c r="F68" s="49">
        <v>368.2</v>
      </c>
      <c r="G68" s="49">
        <v>367.6</v>
      </c>
      <c r="H68" s="49">
        <v>367.6</v>
      </c>
      <c r="I68" s="49">
        <v>367.6</v>
      </c>
      <c r="J68" s="49">
        <v>367.6</v>
      </c>
      <c r="K68" s="49">
        <v>367.6</v>
      </c>
      <c r="L68" s="49">
        <v>367.6</v>
      </c>
      <c r="M68" s="49">
        <v>367.6</v>
      </c>
      <c r="N68" s="49">
        <v>367.6</v>
      </c>
      <c r="O68" s="49">
        <v>367.6</v>
      </c>
      <c r="P68" s="149"/>
    </row>
    <row r="69" spans="2:16" ht="15" thickBot="1">
      <c r="B69" s="58"/>
      <c r="C69" s="64" t="s">
        <v>50</v>
      </c>
      <c r="D69" s="65"/>
      <c r="E69" s="65"/>
      <c r="F69" s="54">
        <f>SUM(F67:F68)</f>
        <v>7024.7094337336775</v>
      </c>
      <c r="G69" s="54">
        <f t="shared" ref="G69:O69" si="12">SUM(G67:G68)</f>
        <v>7422.1021749490737</v>
      </c>
      <c r="H69" s="54">
        <f t="shared" si="12"/>
        <v>7776.2728203817351</v>
      </c>
      <c r="I69" s="54">
        <f t="shared" si="12"/>
        <v>8059.60566889031</v>
      </c>
      <c r="J69" s="54">
        <f t="shared" si="12"/>
        <v>8329.8093126482745</v>
      </c>
      <c r="K69" s="54">
        <f t="shared" si="12"/>
        <v>8575.635785039296</v>
      </c>
      <c r="L69" s="54">
        <f t="shared" si="12"/>
        <v>8841.6441390097298</v>
      </c>
      <c r="M69" s="54">
        <f t="shared" si="12"/>
        <v>9238.4446269536238</v>
      </c>
      <c r="N69" s="54">
        <f t="shared" si="12"/>
        <v>9622.6750901497126</v>
      </c>
      <c r="O69" s="54">
        <f t="shared" si="12"/>
        <v>9868.6917581693269</v>
      </c>
      <c r="P69" s="149"/>
    </row>
    <row r="70" spans="2:16" ht="15" thickTop="1">
      <c r="B70" s="58"/>
      <c r="C70" s="40"/>
      <c r="D70" s="59"/>
      <c r="E70" s="59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161"/>
    </row>
    <row r="71" spans="2:16" ht="5" customHeight="1">
      <c r="B71" s="29"/>
      <c r="C71" s="30"/>
      <c r="D71" s="31"/>
      <c r="E71" s="31"/>
      <c r="F71" s="32"/>
      <c r="G71" s="32"/>
      <c r="H71" s="32"/>
      <c r="I71" s="33"/>
      <c r="J71" s="33"/>
      <c r="K71" s="33"/>
      <c r="L71" s="33"/>
      <c r="M71" s="33"/>
      <c r="N71" s="33"/>
      <c r="O71" s="33"/>
    </row>
    <row r="72" spans="2:16">
      <c r="C72" s="2" t="s">
        <v>51</v>
      </c>
      <c r="P72" s="153" t="s">
        <v>128</v>
      </c>
    </row>
    <row r="73" spans="2:16">
      <c r="B73" s="34"/>
      <c r="C73" s="35"/>
      <c r="D73" s="36"/>
      <c r="E73" s="36"/>
      <c r="F73" s="36"/>
      <c r="G73" s="37"/>
      <c r="H73" s="37"/>
    </row>
    <row r="74" spans="2:16" ht="15" thickBot="1">
      <c r="B74" s="2"/>
      <c r="C74" s="3" t="s">
        <v>28</v>
      </c>
      <c r="D74" s="3"/>
      <c r="E74" s="3"/>
      <c r="F74" s="3">
        <v>2019</v>
      </c>
      <c r="G74" s="3">
        <f t="shared" ref="G74:O74" si="13">F74+1</f>
        <v>2020</v>
      </c>
      <c r="H74" s="3">
        <f t="shared" si="13"/>
        <v>2021</v>
      </c>
      <c r="I74" s="3">
        <f t="shared" si="13"/>
        <v>2022</v>
      </c>
      <c r="J74" s="3">
        <f t="shared" si="13"/>
        <v>2023</v>
      </c>
      <c r="K74" s="3">
        <f t="shared" si="13"/>
        <v>2024</v>
      </c>
      <c r="L74" s="3">
        <f t="shared" si="13"/>
        <v>2025</v>
      </c>
      <c r="M74" s="3">
        <f t="shared" si="13"/>
        <v>2026</v>
      </c>
      <c r="N74" s="3">
        <f t="shared" si="13"/>
        <v>2027</v>
      </c>
      <c r="O74" s="3">
        <f t="shared" si="13"/>
        <v>2028</v>
      </c>
      <c r="P74" s="146"/>
    </row>
    <row r="75" spans="2:16">
      <c r="B75" s="40"/>
      <c r="C75" s="40"/>
      <c r="D75" s="40"/>
      <c r="E75" s="40"/>
      <c r="F75" s="40"/>
      <c r="G75" s="40"/>
      <c r="H75" s="40"/>
    </row>
    <row r="76" spans="2:16">
      <c r="B76" s="40"/>
      <c r="C76" s="1" t="s">
        <v>52</v>
      </c>
      <c r="D76" s="40"/>
      <c r="E76" s="40"/>
      <c r="F76" s="40"/>
      <c r="G76" s="40"/>
      <c r="H76" s="40"/>
    </row>
    <row r="77" spans="2:16">
      <c r="D77" s="1" t="s">
        <v>53</v>
      </c>
      <c r="F77" s="8">
        <v>4217.5</v>
      </c>
      <c r="G77" s="8">
        <v>4513.333333333333</v>
      </c>
      <c r="H77" s="8">
        <v>4689.3744166666665</v>
      </c>
      <c r="I77" s="8">
        <v>4921.666666666667</v>
      </c>
      <c r="J77" s="8">
        <v>5050.8333666666667</v>
      </c>
      <c r="K77" s="8">
        <v>5204.1663833333332</v>
      </c>
      <c r="L77" s="8">
        <v>5479.9998733333332</v>
      </c>
      <c r="M77" s="8">
        <v>5626.6666999999998</v>
      </c>
      <c r="N77" s="8">
        <v>5851.666666666667</v>
      </c>
      <c r="O77" s="8">
        <v>6020.4167666666672</v>
      </c>
      <c r="P77" s="147"/>
    </row>
    <row r="78" spans="2:16">
      <c r="D78" s="1" t="s">
        <v>54</v>
      </c>
      <c r="F78" s="11">
        <f>F77/F69</f>
        <v>0.60038070468038873</v>
      </c>
      <c r="G78" s="11">
        <f t="shared" ref="G78:O78" si="14">G77/G69</f>
        <v>0.60809366766286821</v>
      </c>
      <c r="H78" s="11">
        <f t="shared" si="14"/>
        <v>0.6030362520686956</v>
      </c>
      <c r="I78" s="11">
        <f t="shared" si="14"/>
        <v>0.61065849482736645</v>
      </c>
      <c r="J78" s="11">
        <f t="shared" si="14"/>
        <v>0.60635642150862978</v>
      </c>
      <c r="K78" s="11">
        <f t="shared" si="14"/>
        <v>0.60685487511168668</v>
      </c>
      <c r="L78" s="11">
        <f t="shared" si="14"/>
        <v>0.61979421329063999</v>
      </c>
      <c r="M78" s="11">
        <f t="shared" si="14"/>
        <v>0.60904913404837846</v>
      </c>
      <c r="N78" s="11">
        <f t="shared" si="14"/>
        <v>0.60811225691873849</v>
      </c>
      <c r="O78" s="11">
        <f t="shared" si="14"/>
        <v>0.61005216437963539</v>
      </c>
      <c r="P78" s="154"/>
    </row>
    <row r="79" spans="2:16">
      <c r="D79" s="1" t="s">
        <v>55</v>
      </c>
      <c r="F79" s="67">
        <v>4.6717340446552055E-2</v>
      </c>
      <c r="G79" s="67">
        <v>4.6625469229948507E-2</v>
      </c>
      <c r="H79" s="67">
        <v>4.6846440317689385E-2</v>
      </c>
      <c r="I79" s="67">
        <v>4.6734373653100118E-2</v>
      </c>
      <c r="J79" s="67">
        <v>4.6628750105147346E-2</v>
      </c>
      <c r="K79" s="67">
        <v>4.6723072787765642E-2</v>
      </c>
      <c r="L79" s="67">
        <v>4.6645258500655887E-2</v>
      </c>
      <c r="M79" s="67">
        <v>4.7274088216480215E-2</v>
      </c>
      <c r="N79" s="67">
        <v>4.7363748467111839E-2</v>
      </c>
      <c r="O79" s="67">
        <v>4.7581151274321921E-2</v>
      </c>
      <c r="P79" s="150"/>
    </row>
    <row r="80" spans="2:16">
      <c r="D80" s="1" t="s">
        <v>56</v>
      </c>
      <c r="F80" s="27">
        <f>F79*F78</f>
        <v>2.8048189778094548E-2</v>
      </c>
      <c r="G80" s="27">
        <f t="shared" ref="G80:O80" si="15">G79*G78</f>
        <v>2.8352652590541594E-2</v>
      </c>
      <c r="H80" s="27">
        <f t="shared" si="15"/>
        <v>2.825010179193924E-2</v>
      </c>
      <c r="I80" s="27">
        <f t="shared" si="15"/>
        <v>2.8538742271701851E-2</v>
      </c>
      <c r="J80" s="27">
        <f t="shared" si="15"/>
        <v>2.8273642053177291E-2</v>
      </c>
      <c r="K80" s="27">
        <f t="shared" si="15"/>
        <v>2.8354124501453765E-2</v>
      </c>
      <c r="L80" s="27">
        <f t="shared" si="15"/>
        <v>2.8910461296152552E-2</v>
      </c>
      <c r="M80" s="27">
        <f t="shared" si="15"/>
        <v>2.8792242491173927E-2</v>
      </c>
      <c r="N80" s="27">
        <f t="shared" si="15"/>
        <v>2.8802475976466822E-2</v>
      </c>
      <c r="O80" s="27">
        <f t="shared" si="15"/>
        <v>2.9026984318574936E-2</v>
      </c>
      <c r="P80" s="158"/>
    </row>
    <row r="81" spans="2:16" ht="6.5" customHeight="1"/>
    <row r="82" spans="2:16">
      <c r="C82" s="1" t="s">
        <v>57</v>
      </c>
      <c r="D82" s="40"/>
    </row>
    <row r="83" spans="2:16">
      <c r="D83" s="1" t="s">
        <v>53</v>
      </c>
      <c r="F83" s="8">
        <f t="shared" ref="F83:O83" si="16">F69-F77-F89-F95</f>
        <v>178.31403758955366</v>
      </c>
      <c r="G83" s="8">
        <f t="shared" si="16"/>
        <v>136.81205863407422</v>
      </c>
      <c r="H83" s="8">
        <f t="shared" si="16"/>
        <v>187.44018837764406</v>
      </c>
      <c r="I83" s="8">
        <f t="shared" si="16"/>
        <v>136.4809614231317</v>
      </c>
      <c r="J83" s="8">
        <f t="shared" si="16"/>
        <v>180.24459342822911</v>
      </c>
      <c r="K83" s="8">
        <f t="shared" si="16"/>
        <v>184.24051909181617</v>
      </c>
      <c r="L83" s="8">
        <f t="shared" si="16"/>
        <v>78.652375632893836</v>
      </c>
      <c r="M83" s="8">
        <f t="shared" si="16"/>
        <v>185.93786125031966</v>
      </c>
      <c r="N83" s="8">
        <f t="shared" si="16"/>
        <v>206.84539102914914</v>
      </c>
      <c r="O83" s="8">
        <f t="shared" si="16"/>
        <v>195.54595856170226</v>
      </c>
      <c r="P83" s="147"/>
    </row>
    <row r="84" spans="2:16">
      <c r="D84" s="1" t="s">
        <v>54</v>
      </c>
      <c r="F84" s="11">
        <f>F83/F69</f>
        <v>2.538383107111359E-2</v>
      </c>
      <c r="G84" s="11">
        <f t="shared" ref="G84:O84" si="17">G83/G69</f>
        <v>1.8433060527762533E-2</v>
      </c>
      <c r="H84" s="11">
        <f t="shared" si="17"/>
        <v>2.4104116805979382E-2</v>
      </c>
      <c r="I84" s="11">
        <f t="shared" si="17"/>
        <v>1.6933950248948487E-2</v>
      </c>
      <c r="J84" s="11">
        <f t="shared" si="17"/>
        <v>2.1638501754720773E-2</v>
      </c>
      <c r="K84" s="11">
        <f t="shared" si="17"/>
        <v>2.1484181897420906E-2</v>
      </c>
      <c r="L84" s="11">
        <f t="shared" si="17"/>
        <v>8.895673066717992E-3</v>
      </c>
      <c r="M84" s="11">
        <f t="shared" si="17"/>
        <v>2.0126533064649937E-2</v>
      </c>
      <c r="N84" s="11">
        <f t="shared" si="17"/>
        <v>2.1495622484530026E-2</v>
      </c>
      <c r="O84" s="11">
        <f t="shared" si="17"/>
        <v>1.9814780251883827E-2</v>
      </c>
      <c r="P84" s="154"/>
    </row>
    <row r="85" spans="2:16">
      <c r="D85" s="1" t="s">
        <v>55</v>
      </c>
      <c r="F85" s="67">
        <v>2.1000000000000001E-2</v>
      </c>
      <c r="G85" s="67">
        <v>2.5000000000000001E-2</v>
      </c>
      <c r="H85" s="67">
        <v>2.7E-2</v>
      </c>
      <c r="I85" s="67">
        <v>2.7E-2</v>
      </c>
      <c r="J85" s="67">
        <v>2.7E-2</v>
      </c>
      <c r="K85" s="67">
        <v>2.7E-2</v>
      </c>
      <c r="L85" s="67">
        <v>2.7E-2</v>
      </c>
      <c r="M85" s="67">
        <v>2.7E-2</v>
      </c>
      <c r="N85" s="67">
        <v>2.7E-2</v>
      </c>
      <c r="O85" s="67">
        <v>2.7E-2</v>
      </c>
      <c r="P85" s="150"/>
    </row>
    <row r="86" spans="2:16">
      <c r="D86" s="1" t="s">
        <v>56</v>
      </c>
      <c r="F86" s="27">
        <f>F85*F84</f>
        <v>5.3306045249338545E-4</v>
      </c>
      <c r="G86" s="27">
        <f t="shared" ref="G86:O86" si="18">G85*G84</f>
        <v>4.6082651319406332E-4</v>
      </c>
      <c r="H86" s="27">
        <f t="shared" si="18"/>
        <v>6.508111537614433E-4</v>
      </c>
      <c r="I86" s="27">
        <f t="shared" si="18"/>
        <v>4.5721665672160915E-4</v>
      </c>
      <c r="J86" s="27">
        <f t="shared" si="18"/>
        <v>5.8423954737746081E-4</v>
      </c>
      <c r="K86" s="27">
        <f t="shared" si="18"/>
        <v>5.8007291123036444E-4</v>
      </c>
      <c r="L86" s="27">
        <f t="shared" si="18"/>
        <v>2.4018317280138579E-4</v>
      </c>
      <c r="M86" s="27">
        <f t="shared" si="18"/>
        <v>5.4341639274554834E-4</v>
      </c>
      <c r="N86" s="27">
        <f t="shared" si="18"/>
        <v>5.8038180708231074E-4</v>
      </c>
      <c r="O86" s="27">
        <f t="shared" si="18"/>
        <v>5.3499906680086332E-4</v>
      </c>
      <c r="P86" s="158"/>
    </row>
    <row r="87" spans="2:16" ht="6.5" customHeight="1"/>
    <row r="88" spans="2:16">
      <c r="B88" s="40"/>
      <c r="C88" s="1" t="s">
        <v>58</v>
      </c>
      <c r="D88" s="40"/>
      <c r="E88" s="40"/>
      <c r="F88" s="40"/>
      <c r="G88" s="40"/>
      <c r="H88" s="40"/>
    </row>
    <row r="89" spans="2:16">
      <c r="D89" s="1" t="s">
        <v>53</v>
      </c>
      <c r="F89" s="8">
        <v>100</v>
      </c>
      <c r="G89" s="8">
        <v>100</v>
      </c>
      <c r="H89" s="8">
        <v>100</v>
      </c>
      <c r="I89" s="8">
        <v>100</v>
      </c>
      <c r="J89" s="8">
        <v>100</v>
      </c>
      <c r="K89" s="8">
        <v>100</v>
      </c>
      <c r="L89" s="8">
        <v>100</v>
      </c>
      <c r="M89" s="8">
        <v>100</v>
      </c>
      <c r="N89" s="8">
        <v>100</v>
      </c>
      <c r="O89" s="8">
        <v>100</v>
      </c>
      <c r="P89" s="147"/>
    </row>
    <row r="90" spans="2:16">
      <c r="D90" s="1" t="s">
        <v>54</v>
      </c>
      <c r="F90" s="11">
        <f t="shared" ref="F90" si="19">F89/F69</f>
        <v>1.4235464248497658E-2</v>
      </c>
      <c r="G90" s="11">
        <f t="shared" ref="G90:O90" si="20">G89/G69</f>
        <v>1.347327180936931E-2</v>
      </c>
      <c r="H90" s="11">
        <f t="shared" si="20"/>
        <v>1.2859631125325028E-2</v>
      </c>
      <c r="I90" s="11">
        <f t="shared" si="20"/>
        <v>1.2407554923685062E-2</v>
      </c>
      <c r="J90" s="11">
        <f t="shared" si="20"/>
        <v>1.2005076736649481E-2</v>
      </c>
      <c r="K90" s="11">
        <f t="shared" si="20"/>
        <v>1.1660942990892396E-2</v>
      </c>
      <c r="L90" s="11">
        <f t="shared" si="20"/>
        <v>1.1310113642642042E-2</v>
      </c>
      <c r="M90" s="11">
        <f t="shared" si="20"/>
        <v>1.082433288697158E-2</v>
      </c>
      <c r="N90" s="11">
        <f t="shared" si="20"/>
        <v>1.0392120596731502E-2</v>
      </c>
      <c r="O90" s="11">
        <f t="shared" si="20"/>
        <v>1.0133055368480809E-2</v>
      </c>
      <c r="P90" s="154"/>
    </row>
    <row r="91" spans="2:16">
      <c r="D91" s="1" t="s">
        <v>55</v>
      </c>
      <c r="F91" s="67">
        <v>2.8000000000000004E-2</v>
      </c>
      <c r="G91" s="67">
        <v>3.2800000000000003E-2</v>
      </c>
      <c r="H91" s="67">
        <v>3.44E-2</v>
      </c>
      <c r="I91" s="67">
        <v>3.44E-2</v>
      </c>
      <c r="J91" s="67">
        <v>3.44E-2</v>
      </c>
      <c r="K91" s="67">
        <v>3.44E-2</v>
      </c>
      <c r="L91" s="67">
        <v>3.44E-2</v>
      </c>
      <c r="M91" s="67">
        <v>3.44E-2</v>
      </c>
      <c r="N91" s="67">
        <v>3.44E-2</v>
      </c>
      <c r="O91" s="67">
        <v>3.44E-2</v>
      </c>
      <c r="P91" s="150"/>
    </row>
    <row r="92" spans="2:16">
      <c r="D92" s="1" t="s">
        <v>56</v>
      </c>
      <c r="F92" s="27">
        <f>F91*F90</f>
        <v>3.9859299895793446E-4</v>
      </c>
      <c r="G92" s="27">
        <f t="shared" ref="G92:O92" si="21">G91*G90</f>
        <v>4.4192331534731341E-4</v>
      </c>
      <c r="H92" s="27">
        <f t="shared" si="21"/>
        <v>4.4237131071118096E-4</v>
      </c>
      <c r="I92" s="27">
        <f t="shared" si="21"/>
        <v>4.2681988937476616E-4</v>
      </c>
      <c r="J92" s="27">
        <f t="shared" si="21"/>
        <v>4.1297463974074213E-4</v>
      </c>
      <c r="K92" s="27">
        <f t="shared" si="21"/>
        <v>4.0113643888669843E-4</v>
      </c>
      <c r="L92" s="27">
        <f t="shared" si="21"/>
        <v>3.8906790930688624E-4</v>
      </c>
      <c r="M92" s="27">
        <f t="shared" si="21"/>
        <v>3.7235705131182238E-4</v>
      </c>
      <c r="N92" s="27">
        <f t="shared" si="21"/>
        <v>3.5748894852756367E-4</v>
      </c>
      <c r="O92" s="27">
        <f t="shared" si="21"/>
        <v>3.4857710467573979E-4</v>
      </c>
      <c r="P92" s="158"/>
    </row>
    <row r="93" spans="2:16" ht="6.5" customHeight="1"/>
    <row r="94" spans="2:16">
      <c r="B94" s="40"/>
      <c r="C94" s="1" t="s">
        <v>59</v>
      </c>
      <c r="D94" s="40"/>
      <c r="E94" s="40"/>
      <c r="F94" s="40"/>
      <c r="G94" s="40"/>
      <c r="H94" s="40"/>
    </row>
    <row r="95" spans="2:16">
      <c r="D95" s="1" t="s">
        <v>53</v>
      </c>
      <c r="F95" s="8">
        <f t="shared" ref="F95:O95" si="22">0.36*F69</f>
        <v>2528.8953961441239</v>
      </c>
      <c r="G95" s="8">
        <f t="shared" si="22"/>
        <v>2671.9567829816665</v>
      </c>
      <c r="H95" s="8">
        <f t="shared" si="22"/>
        <v>2799.4582153374245</v>
      </c>
      <c r="I95" s="8">
        <f t="shared" si="22"/>
        <v>2901.4580408005113</v>
      </c>
      <c r="J95" s="8">
        <f t="shared" si="22"/>
        <v>2998.7313525533787</v>
      </c>
      <c r="K95" s="8">
        <f t="shared" si="22"/>
        <v>3087.2288826141466</v>
      </c>
      <c r="L95" s="8">
        <f t="shared" si="22"/>
        <v>3182.9918900435027</v>
      </c>
      <c r="M95" s="8">
        <f t="shared" si="22"/>
        <v>3325.8400657033044</v>
      </c>
      <c r="N95" s="8">
        <f t="shared" si="22"/>
        <v>3464.1630324538964</v>
      </c>
      <c r="O95" s="8">
        <f t="shared" si="22"/>
        <v>3552.7290329409575</v>
      </c>
      <c r="P95" s="147"/>
    </row>
    <row r="96" spans="2:16">
      <c r="D96" s="1" t="s">
        <v>54</v>
      </c>
      <c r="F96" s="11">
        <f t="shared" ref="F96:O96" si="23">F95/F69</f>
        <v>0.36</v>
      </c>
      <c r="G96" s="11">
        <f t="shared" si="23"/>
        <v>0.36</v>
      </c>
      <c r="H96" s="11">
        <f t="shared" si="23"/>
        <v>0.36</v>
      </c>
      <c r="I96" s="11">
        <f t="shared" si="23"/>
        <v>0.36</v>
      </c>
      <c r="J96" s="11">
        <f t="shared" si="23"/>
        <v>0.36</v>
      </c>
      <c r="K96" s="11">
        <f t="shared" si="23"/>
        <v>0.36</v>
      </c>
      <c r="L96" s="11">
        <f t="shared" si="23"/>
        <v>0.36</v>
      </c>
      <c r="M96" s="11">
        <f t="shared" si="23"/>
        <v>0.36</v>
      </c>
      <c r="N96" s="11">
        <f t="shared" si="23"/>
        <v>0.36</v>
      </c>
      <c r="O96" s="11">
        <f t="shared" si="23"/>
        <v>0.36</v>
      </c>
      <c r="P96" s="154"/>
    </row>
    <row r="97" spans="3:16">
      <c r="D97" s="1" t="s">
        <v>55</v>
      </c>
      <c r="F97" s="67">
        <v>9.1509999999999994E-2</v>
      </c>
      <c r="G97" s="67">
        <v>9.2810000000000004E-2</v>
      </c>
      <c r="H97" s="67">
        <v>9.3679999999999999E-2</v>
      </c>
      <c r="I97" s="67">
        <v>9.3679999999999999E-2</v>
      </c>
      <c r="J97" s="67">
        <v>9.3679999999999999E-2</v>
      </c>
      <c r="K97" s="67">
        <v>9.3679999999999999E-2</v>
      </c>
      <c r="L97" s="67">
        <v>9.3679999999999999E-2</v>
      </c>
      <c r="M97" s="67">
        <v>9.3679999999999999E-2</v>
      </c>
      <c r="N97" s="67">
        <v>9.3679999999999999E-2</v>
      </c>
      <c r="O97" s="67">
        <v>9.3679999999999999E-2</v>
      </c>
      <c r="P97" s="150"/>
    </row>
    <row r="98" spans="3:16">
      <c r="D98" s="1" t="s">
        <v>56</v>
      </c>
      <c r="F98" s="27">
        <f>F97*F96</f>
        <v>3.2943599999999996E-2</v>
      </c>
      <c r="G98" s="27">
        <f t="shared" ref="G98:O98" si="24">G97*G96</f>
        <v>3.34116E-2</v>
      </c>
      <c r="H98" s="27">
        <f t="shared" si="24"/>
        <v>3.3724799999999999E-2</v>
      </c>
      <c r="I98" s="27">
        <f t="shared" si="24"/>
        <v>3.3724799999999999E-2</v>
      </c>
      <c r="J98" s="27">
        <f t="shared" si="24"/>
        <v>3.3724799999999999E-2</v>
      </c>
      <c r="K98" s="27">
        <f t="shared" si="24"/>
        <v>3.3724799999999999E-2</v>
      </c>
      <c r="L98" s="27">
        <f t="shared" si="24"/>
        <v>3.3724799999999999E-2</v>
      </c>
      <c r="M98" s="27">
        <f t="shared" si="24"/>
        <v>3.3724799999999999E-2</v>
      </c>
      <c r="N98" s="27">
        <f t="shared" si="24"/>
        <v>3.3724799999999999E-2</v>
      </c>
      <c r="O98" s="27">
        <f t="shared" si="24"/>
        <v>3.3724799999999999E-2</v>
      </c>
      <c r="P98" s="158"/>
    </row>
    <row r="99" spans="3:16" ht="6.5" customHeight="1"/>
    <row r="100" spans="3:16" s="2" customFormat="1" ht="15" thickBot="1">
      <c r="C100" s="68" t="s">
        <v>60</v>
      </c>
      <c r="D100" s="68"/>
      <c r="E100" s="68"/>
      <c r="F100" s="69">
        <f>F98+F92+F80+F86</f>
        <v>6.1923443229545863E-2</v>
      </c>
      <c r="G100" s="69">
        <f t="shared" ref="G100:O100" si="25">G98+G92+G80+G86</f>
        <v>6.2667002419082976E-2</v>
      </c>
      <c r="H100" s="69">
        <f t="shared" si="25"/>
        <v>6.3068084256411874E-2</v>
      </c>
      <c r="I100" s="69">
        <f t="shared" si="25"/>
        <v>6.3147578817798214E-2</v>
      </c>
      <c r="J100" s="69">
        <f t="shared" si="25"/>
        <v>6.2995656240295489E-2</v>
      </c>
      <c r="K100" s="69">
        <f t="shared" si="25"/>
        <v>6.3060133851570832E-2</v>
      </c>
      <c r="L100" s="69">
        <f t="shared" si="25"/>
        <v>6.3264512378260834E-2</v>
      </c>
      <c r="M100" s="69">
        <f t="shared" si="25"/>
        <v>6.3432815935231299E-2</v>
      </c>
      <c r="N100" s="69">
        <f t="shared" si="25"/>
        <v>6.3465146732076691E-2</v>
      </c>
      <c r="O100" s="69">
        <f t="shared" si="25"/>
        <v>6.3635360490051543E-2</v>
      </c>
      <c r="P100" s="150"/>
    </row>
    <row r="101" spans="3:16" s="2" customFormat="1" ht="15" thickTop="1">
      <c r="C101" s="70"/>
      <c r="D101" s="70"/>
      <c r="E101" s="70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150"/>
    </row>
    <row r="102" spans="3:16" ht="6" customHeight="1">
      <c r="C102" s="33"/>
      <c r="D102" s="33"/>
      <c r="E102" s="33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162"/>
    </row>
    <row r="103" spans="3:16">
      <c r="F103" s="18"/>
    </row>
  </sheetData>
  <pageMargins left="0.7" right="0.7" top="0.75" bottom="0.75" header="0.3" footer="0.3"/>
  <pageSetup scale="10" orientation="landscape"/>
  <ignoredErrors>
    <ignoredError sqref="F67:O67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showGridLines="0" zoomScale="75" zoomScaleNormal="75" zoomScalePageLayoutView="75" workbookViewId="0">
      <selection activeCell="F13" sqref="F13:O15"/>
    </sheetView>
  </sheetViews>
  <sheetFormatPr baseColWidth="10" defaultColWidth="8.83203125" defaultRowHeight="14" x14ac:dyDescent="0"/>
  <cols>
    <col min="1" max="1" width="1.5" style="1" customWidth="1"/>
    <col min="2" max="2" width="2.1640625" style="1" customWidth="1"/>
    <col min="3" max="3" width="3.6640625" style="1" customWidth="1"/>
    <col min="4" max="4" width="39.33203125" style="1" customWidth="1"/>
    <col min="5" max="5" width="8.83203125" style="1" customWidth="1"/>
    <col min="6" max="15" width="8" style="1" bestFit="1" customWidth="1"/>
    <col min="16" max="16" width="20.5" style="1" bestFit="1" customWidth="1"/>
    <col min="17" max="16384" width="8.83203125" style="1"/>
  </cols>
  <sheetData>
    <row r="1" spans="2:16">
      <c r="C1" s="2" t="s">
        <v>108</v>
      </c>
    </row>
    <row r="2" spans="2:16">
      <c r="C2" s="2"/>
      <c r="P2" s="151" t="s">
        <v>125</v>
      </c>
    </row>
    <row r="3" spans="2:16" ht="15" thickBot="1">
      <c r="B3" s="3" t="s">
        <v>109</v>
      </c>
      <c r="C3" s="4"/>
      <c r="D3" s="3"/>
      <c r="E3" s="3"/>
      <c r="F3" s="3">
        <v>2019</v>
      </c>
      <c r="G3" s="3">
        <f t="shared" ref="G3:O3" si="0">F3+1</f>
        <v>2020</v>
      </c>
      <c r="H3" s="3">
        <f t="shared" si="0"/>
        <v>2021</v>
      </c>
      <c r="I3" s="3">
        <f t="shared" si="0"/>
        <v>2022</v>
      </c>
      <c r="J3" s="3">
        <f t="shared" si="0"/>
        <v>2023</v>
      </c>
      <c r="K3" s="3">
        <f t="shared" si="0"/>
        <v>2024</v>
      </c>
      <c r="L3" s="3">
        <f t="shared" si="0"/>
        <v>2025</v>
      </c>
      <c r="M3" s="3">
        <f t="shared" si="0"/>
        <v>2026</v>
      </c>
      <c r="N3" s="3">
        <f t="shared" si="0"/>
        <v>2027</v>
      </c>
      <c r="O3" s="3">
        <f t="shared" si="0"/>
        <v>2028</v>
      </c>
      <c r="P3" s="153" t="s">
        <v>129</v>
      </c>
    </row>
    <row r="4" spans="2:16">
      <c r="C4" s="2"/>
    </row>
    <row r="5" spans="2:16">
      <c r="B5" s="5" t="s">
        <v>2</v>
      </c>
      <c r="C5" s="2"/>
    </row>
    <row r="6" spans="2:16">
      <c r="B6" s="6"/>
      <c r="C6" s="1">
        <v>1.1000000000000001</v>
      </c>
      <c r="D6" s="7" t="s">
        <v>3</v>
      </c>
      <c r="F6" s="8">
        <v>17742.25</v>
      </c>
      <c r="G6" s="8">
        <v>17287.75</v>
      </c>
      <c r="H6" s="8">
        <v>17290</v>
      </c>
      <c r="I6" s="8">
        <v>17284</v>
      </c>
      <c r="J6" s="8">
        <v>17257</v>
      </c>
      <c r="K6" s="8">
        <v>17201</v>
      </c>
      <c r="L6" s="8">
        <v>17195</v>
      </c>
      <c r="M6" s="8">
        <v>17217</v>
      </c>
      <c r="N6" s="8">
        <v>17296</v>
      </c>
      <c r="O6" s="8">
        <v>17432</v>
      </c>
      <c r="P6" s="8"/>
    </row>
    <row r="7" spans="2:16">
      <c r="B7" s="6"/>
      <c r="C7" s="1">
        <v>1.2</v>
      </c>
      <c r="D7" s="7" t="s">
        <v>4</v>
      </c>
    </row>
    <row r="8" spans="2:16">
      <c r="C8" s="9"/>
      <c r="D8" s="10" t="s">
        <v>5</v>
      </c>
      <c r="F8" s="11">
        <v>1.7299999999999999E-2</v>
      </c>
      <c r="G8" s="11">
        <v>1.7299999999999999E-2</v>
      </c>
      <c r="H8" s="11">
        <v>1.7299999999999999E-2</v>
      </c>
      <c r="I8" s="11">
        <v>1.7299999999999999E-2</v>
      </c>
      <c r="J8" s="11">
        <v>1.7299999999999999E-2</v>
      </c>
      <c r="K8" s="11">
        <v>1.7299999999999999E-2</v>
      </c>
      <c r="L8" s="11">
        <v>1.7299999999999999E-2</v>
      </c>
      <c r="M8" s="11">
        <v>1.7299999999999999E-2</v>
      </c>
      <c r="N8" s="11">
        <v>1.7299999999999999E-2</v>
      </c>
      <c r="O8" s="11">
        <v>1.7299999999999999E-2</v>
      </c>
      <c r="P8" s="11"/>
    </row>
    <row r="9" spans="2:16">
      <c r="C9" s="9"/>
      <c r="D9" s="10" t="s">
        <v>6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/>
    </row>
    <row r="10" spans="2:16">
      <c r="C10" s="9"/>
      <c r="D10" s="10" t="s">
        <v>7</v>
      </c>
      <c r="F10" s="11">
        <v>9.2857499085960971E-3</v>
      </c>
      <c r="G10" s="11">
        <v>8.9646351772432187E-3</v>
      </c>
      <c r="H10" s="11">
        <v>8.8861409127516389E-3</v>
      </c>
      <c r="I10" s="11">
        <v>8.804816392519843E-3</v>
      </c>
      <c r="J10" s="11">
        <v>8.7143339404531783E-3</v>
      </c>
      <c r="K10" s="11">
        <v>8.6110161340100522E-3</v>
      </c>
      <c r="L10" s="11">
        <v>8.5345215629299975E-3</v>
      </c>
      <c r="M10" s="11">
        <v>8.4731269014457489E-3</v>
      </c>
      <c r="N10" s="11">
        <v>8.4404884141477954E-3</v>
      </c>
      <c r="O10" s="11">
        <v>8.4356556779123792E-3</v>
      </c>
      <c r="P10" s="11"/>
    </row>
    <row r="11" spans="2:16" ht="6.5" customHeight="1">
      <c r="B11" s="9"/>
      <c r="C11" s="12"/>
    </row>
    <row r="12" spans="2:16">
      <c r="B12" s="13" t="s">
        <v>110</v>
      </c>
      <c r="C12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2:16">
      <c r="B13" s="13"/>
      <c r="C13" s="14">
        <v>2.1</v>
      </c>
      <c r="D13" s="15" t="s">
        <v>9</v>
      </c>
      <c r="F13" s="116">
        <v>0</v>
      </c>
      <c r="G13" s="116">
        <v>0</v>
      </c>
      <c r="H13" s="116">
        <v>0</v>
      </c>
      <c r="I13" s="116">
        <v>2</v>
      </c>
      <c r="J13" s="116">
        <v>4</v>
      </c>
      <c r="K13" s="116">
        <v>6</v>
      </c>
      <c r="L13" s="116">
        <v>8</v>
      </c>
      <c r="M13" s="116">
        <v>10</v>
      </c>
      <c r="N13" s="116">
        <v>12</v>
      </c>
      <c r="O13" s="116">
        <v>14</v>
      </c>
      <c r="P13" s="116"/>
    </row>
    <row r="14" spans="2:16">
      <c r="B14" s="13"/>
      <c r="C14" s="14">
        <v>2.2000000000000002</v>
      </c>
      <c r="D14" s="15" t="s">
        <v>11</v>
      </c>
      <c r="F14" s="116">
        <v>63</v>
      </c>
      <c r="G14" s="116">
        <v>63</v>
      </c>
      <c r="H14" s="116">
        <v>63</v>
      </c>
      <c r="I14" s="116">
        <v>63</v>
      </c>
      <c r="J14" s="116">
        <v>63</v>
      </c>
      <c r="K14" s="116">
        <v>63</v>
      </c>
      <c r="L14" s="116">
        <v>63</v>
      </c>
      <c r="M14" s="116">
        <v>63</v>
      </c>
      <c r="N14" s="116">
        <v>63</v>
      </c>
      <c r="O14" s="116">
        <v>63</v>
      </c>
      <c r="P14" s="116"/>
    </row>
    <row r="15" spans="2:16">
      <c r="B15" s="13"/>
      <c r="C15" s="14">
        <v>2.2999999999999998</v>
      </c>
      <c r="D15" s="15" t="s">
        <v>111</v>
      </c>
      <c r="F15" s="124">
        <v>380</v>
      </c>
      <c r="G15" s="124">
        <v>393</v>
      </c>
      <c r="H15" s="124">
        <v>400</v>
      </c>
      <c r="I15" s="124">
        <v>408.21749999999997</v>
      </c>
      <c r="J15" s="124">
        <v>416.61176274999997</v>
      </c>
      <c r="K15" s="124">
        <v>425.18584624557496</v>
      </c>
      <c r="L15" s="124">
        <v>433.94286138562342</v>
      </c>
      <c r="M15" s="124">
        <v>442.88597288759468</v>
      </c>
      <c r="N15" s="124">
        <v>452.01840021855008</v>
      </c>
      <c r="O15" s="124">
        <v>461.34341854233099</v>
      </c>
      <c r="P15" s="116"/>
    </row>
    <row r="16" spans="2:16">
      <c r="B16" s="13"/>
      <c r="C16" s="14">
        <v>2.4</v>
      </c>
      <c r="D16" s="15" t="s">
        <v>14</v>
      </c>
      <c r="F16" s="18">
        <f t="shared" ref="F16" si="1">SUM(F13:F15)</f>
        <v>443</v>
      </c>
      <c r="G16" s="18">
        <f t="shared" ref="G16:O16" si="2">SUM(G13:G15)</f>
        <v>456</v>
      </c>
      <c r="H16" s="18">
        <f t="shared" si="2"/>
        <v>463</v>
      </c>
      <c r="I16" s="18">
        <f t="shared" si="2"/>
        <v>473.21749999999997</v>
      </c>
      <c r="J16" s="18">
        <f t="shared" si="2"/>
        <v>483.61176274999997</v>
      </c>
      <c r="K16" s="18">
        <f t="shared" si="2"/>
        <v>494.18584624557496</v>
      </c>
      <c r="L16" s="18">
        <f t="shared" si="2"/>
        <v>504.94286138562342</v>
      </c>
      <c r="M16" s="18">
        <f t="shared" si="2"/>
        <v>515.88597288759468</v>
      </c>
      <c r="N16" s="18">
        <f t="shared" si="2"/>
        <v>527.01840021855014</v>
      </c>
      <c r="O16" s="18">
        <f t="shared" si="2"/>
        <v>538.34341854233094</v>
      </c>
      <c r="P16" s="18"/>
    </row>
    <row r="17" spans="2:16" ht="6.5" customHeight="1">
      <c r="B17" s="13"/>
      <c r="C17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2:16">
      <c r="B18" s="20" t="s">
        <v>15</v>
      </c>
      <c r="C18" s="21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2:16">
      <c r="B19" s="20"/>
      <c r="C19" s="6">
        <v>3.1</v>
      </c>
      <c r="D19" s="22" t="s">
        <v>16</v>
      </c>
      <c r="F19" s="8">
        <v>586.79999999999995</v>
      </c>
      <c r="G19" s="8">
        <v>428.79999999999995</v>
      </c>
      <c r="H19" s="8">
        <v>449.90000000000003</v>
      </c>
      <c r="I19" s="8">
        <v>437.9</v>
      </c>
      <c r="J19" s="8">
        <v>608.70000000000005</v>
      </c>
      <c r="K19" s="8">
        <v>588.5</v>
      </c>
      <c r="L19" s="8">
        <v>426.2</v>
      </c>
      <c r="M19" s="8">
        <v>423.1</v>
      </c>
      <c r="N19" s="8">
        <v>435.6</v>
      </c>
      <c r="O19" s="8">
        <v>435.6</v>
      </c>
      <c r="P19" s="8"/>
    </row>
    <row r="20" spans="2:16">
      <c r="B20" s="20"/>
      <c r="C20" s="6">
        <v>3.2</v>
      </c>
      <c r="D20" s="22" t="s">
        <v>17</v>
      </c>
      <c r="F20" s="8">
        <v>6416.8985739999998</v>
      </c>
      <c r="G20" s="8">
        <v>6732.0740256962781</v>
      </c>
      <c r="H20" s="8">
        <v>6851.5150146599217</v>
      </c>
      <c r="I20" s="8">
        <v>7002.5919556860927</v>
      </c>
      <c r="J20" s="8">
        <v>7116.3026815507956</v>
      </c>
      <c r="K20" s="8">
        <v>7361.9407206962569</v>
      </c>
      <c r="L20" s="8">
        <v>7549.2336180617822</v>
      </c>
      <c r="M20" s="8">
        <v>7585.5584554082088</v>
      </c>
      <c r="N20" s="8">
        <v>7611.8940462827386</v>
      </c>
      <c r="O20" s="8">
        <v>7638.2806737464953</v>
      </c>
      <c r="P20" s="8"/>
    </row>
    <row r="21" spans="2:16">
      <c r="B21" s="20"/>
      <c r="C21" s="6">
        <v>3.3</v>
      </c>
      <c r="D21" s="22" t="s">
        <v>18</v>
      </c>
      <c r="F21" s="23">
        <v>2.92E-2</v>
      </c>
      <c r="G21" s="23">
        <v>2.9860184954974875E-2</v>
      </c>
      <c r="H21" s="23">
        <v>2.9860184954974875E-2</v>
      </c>
      <c r="I21" s="23">
        <v>2.9860184954974875E-2</v>
      </c>
      <c r="J21" s="23">
        <v>2.9860184954974875E-2</v>
      </c>
      <c r="K21" s="23">
        <v>2.9860184954974875E-2</v>
      </c>
      <c r="L21" s="23">
        <v>2.9860184954974875E-2</v>
      </c>
      <c r="M21" s="23">
        <v>2.9860184954974875E-2</v>
      </c>
      <c r="N21" s="23">
        <v>2.9860184954974875E-2</v>
      </c>
      <c r="O21" s="23">
        <v>2.9860184954974875E-2</v>
      </c>
      <c r="P21" s="23"/>
    </row>
    <row r="22" spans="2:16">
      <c r="B22" s="20"/>
      <c r="C22" s="6">
        <v>3.4</v>
      </c>
      <c r="D22" s="22" t="s">
        <v>19</v>
      </c>
      <c r="F22" s="8">
        <f>'UGL Price cap'!F49</f>
        <v>329.56079531488405</v>
      </c>
      <c r="G22" s="8">
        <f>'UGL Price cap'!G49</f>
        <v>330.95927336872728</v>
      </c>
      <c r="H22" s="8">
        <f>'UGL Price cap'!H49</f>
        <v>333.58488250871011</v>
      </c>
      <c r="I22" s="8">
        <f>'UGL Price cap'!I49</f>
        <v>336.23442570692117</v>
      </c>
      <c r="J22" s="8">
        <f>'UGL Price cap'!J49</f>
        <v>338.86838583026298</v>
      </c>
      <c r="K22" s="8">
        <f>'UGL Price cap'!K49</f>
        <v>341.45660749887315</v>
      </c>
      <c r="L22" s="8">
        <f>'UGL Price cap'!L49</f>
        <v>344.24344325260631</v>
      </c>
      <c r="M22" s="8">
        <f>'UGL Price cap'!M49</f>
        <v>347.17245501357809</v>
      </c>
      <c r="N22" s="8">
        <f>'UGL Price cap'!N49</f>
        <v>350.35315404539256</v>
      </c>
      <c r="O22" s="8">
        <f>'UGL Price cap'!O49</f>
        <v>353.80591522401971</v>
      </c>
      <c r="P22" s="8"/>
    </row>
    <row r="23" spans="2:16">
      <c r="B23" s="20"/>
      <c r="C23" s="6">
        <v>3.5</v>
      </c>
      <c r="D23" s="22" t="s">
        <v>20</v>
      </c>
      <c r="F23" s="8">
        <v>211.4</v>
      </c>
      <c r="G23" s="8">
        <v>77</v>
      </c>
      <c r="H23" s="8">
        <v>114</v>
      </c>
      <c r="I23" s="8">
        <v>96</v>
      </c>
      <c r="J23" s="8">
        <v>264</v>
      </c>
      <c r="K23" s="8">
        <v>249</v>
      </c>
      <c r="L23" s="8">
        <v>76</v>
      </c>
      <c r="M23" s="8">
        <v>58</v>
      </c>
      <c r="N23" s="8">
        <v>88</v>
      </c>
      <c r="O23" s="8">
        <v>31</v>
      </c>
      <c r="P23" s="8"/>
    </row>
    <row r="24" spans="2:16" ht="6.5" customHeight="1">
      <c r="B24" s="20"/>
      <c r="C24" s="21"/>
      <c r="D24" s="24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2:16">
      <c r="B25" s="13" t="s">
        <v>21</v>
      </c>
      <c r="C2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2:16" collapsed="1">
      <c r="B26" s="26"/>
      <c r="C26" s="25">
        <v>4.0999999999999996</v>
      </c>
      <c r="D26" s="7" t="s">
        <v>22</v>
      </c>
      <c r="F26" s="23">
        <v>4.3499999999999997E-2</v>
      </c>
      <c r="G26" s="23">
        <v>4.65E-2</v>
      </c>
      <c r="H26" s="23">
        <v>4.8000000000000001E-2</v>
      </c>
      <c r="I26" s="23">
        <v>4.8000000000000001E-2</v>
      </c>
      <c r="J26" s="23">
        <v>4.8000000000000001E-2</v>
      </c>
      <c r="K26" s="23">
        <v>4.8000000000000001E-2</v>
      </c>
      <c r="L26" s="23">
        <v>4.8000000000000001E-2</v>
      </c>
      <c r="M26" s="23">
        <v>4.8000000000000001E-2</v>
      </c>
      <c r="N26" s="23">
        <v>4.8000000000000001E-2</v>
      </c>
      <c r="O26" s="23">
        <v>4.8000000000000001E-2</v>
      </c>
      <c r="P26" s="23"/>
    </row>
    <row r="27" spans="2:16">
      <c r="C27" s="25">
        <v>4.2</v>
      </c>
      <c r="D27" s="7" t="s">
        <v>23</v>
      </c>
      <c r="F27" s="27">
        <v>9.1509999999999994E-2</v>
      </c>
      <c r="G27" s="27">
        <v>9.2810000000000004E-2</v>
      </c>
      <c r="H27" s="27">
        <v>9.3679999999999999E-2</v>
      </c>
      <c r="I27" s="27">
        <v>9.3679999999999999E-2</v>
      </c>
      <c r="J27" s="27">
        <v>9.3679999999999999E-2</v>
      </c>
      <c r="K27" s="27">
        <v>9.3679999999999999E-2</v>
      </c>
      <c r="L27" s="27">
        <v>9.3679999999999999E-2</v>
      </c>
      <c r="M27" s="27">
        <v>9.3679999999999999E-2</v>
      </c>
      <c r="N27" s="27">
        <v>9.3679999999999999E-2</v>
      </c>
      <c r="O27" s="27">
        <v>9.3679999999999999E-2</v>
      </c>
      <c r="P27" s="27"/>
    </row>
    <row r="28" spans="2:16" ht="6.5" customHeight="1">
      <c r="B28" s="26"/>
      <c r="D28" s="7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2:16" s="2" customFormat="1">
      <c r="B29" s="26">
        <v>5</v>
      </c>
      <c r="C29" s="2" t="s">
        <v>24</v>
      </c>
      <c r="D29" s="13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163"/>
    </row>
    <row r="30" spans="2:16">
      <c r="B30" s="26"/>
      <c r="C30" s="25">
        <v>5.0999999999999996</v>
      </c>
      <c r="D30" s="7" t="s">
        <v>25</v>
      </c>
      <c r="F30" s="23">
        <v>0.26500000000000001</v>
      </c>
      <c r="G30" s="23">
        <v>0.26500000000000001</v>
      </c>
      <c r="H30" s="23">
        <v>0.26500000000000001</v>
      </c>
      <c r="I30" s="23">
        <v>0.26500000000000001</v>
      </c>
      <c r="J30" s="23">
        <v>0.26500000000000001</v>
      </c>
      <c r="K30" s="23">
        <v>0.26500000000000001</v>
      </c>
      <c r="L30" s="23">
        <v>0.26500000000000001</v>
      </c>
      <c r="M30" s="23">
        <v>0.26500000000000001</v>
      </c>
      <c r="N30" s="23">
        <v>0.26500000000000001</v>
      </c>
      <c r="O30" s="23">
        <v>0.26500000000000001</v>
      </c>
      <c r="P30" s="164"/>
    </row>
    <row r="31" spans="2:16">
      <c r="B31" s="20"/>
      <c r="C31" s="6">
        <v>5.2</v>
      </c>
      <c r="D31" s="22" t="s">
        <v>26</v>
      </c>
      <c r="F31" s="8">
        <v>79</v>
      </c>
      <c r="G31" s="8">
        <v>81</v>
      </c>
      <c r="H31" s="8">
        <v>83</v>
      </c>
      <c r="I31" s="8">
        <v>85</v>
      </c>
      <c r="J31" s="8">
        <v>87</v>
      </c>
      <c r="K31" s="8">
        <v>89</v>
      </c>
      <c r="L31" s="8">
        <v>91</v>
      </c>
      <c r="M31" s="8">
        <v>93</v>
      </c>
      <c r="N31" s="8">
        <v>95</v>
      </c>
      <c r="O31" s="8">
        <v>97</v>
      </c>
      <c r="P31" s="165"/>
    </row>
    <row r="32" spans="2:16">
      <c r="C32" s="2"/>
      <c r="P32" s="15"/>
    </row>
    <row r="33" spans="1:16" ht="5" customHeight="1" collapsed="1">
      <c r="A33" s="29"/>
      <c r="B33" s="29"/>
      <c r="C33" s="30"/>
      <c r="D33" s="31"/>
      <c r="E33" s="31"/>
      <c r="F33" s="32"/>
      <c r="G33" s="32"/>
      <c r="H33" s="32"/>
      <c r="I33" s="33"/>
      <c r="J33" s="33"/>
      <c r="K33" s="33"/>
      <c r="L33" s="33"/>
      <c r="M33" s="33"/>
      <c r="N33" s="33"/>
      <c r="O33" s="33"/>
      <c r="P33" s="15"/>
    </row>
    <row r="34" spans="1:16">
      <c r="C34" s="2" t="s">
        <v>112</v>
      </c>
      <c r="P34" s="153" t="s">
        <v>130</v>
      </c>
    </row>
    <row r="35" spans="1:16">
      <c r="A35" s="34"/>
      <c r="B35" s="34"/>
      <c r="C35" s="35"/>
      <c r="D35" s="36"/>
      <c r="E35" s="36"/>
      <c r="F35" s="36"/>
      <c r="G35" s="37"/>
      <c r="H35" s="37"/>
    </row>
    <row r="36" spans="1:16" ht="15" thickBot="1">
      <c r="A36" s="2"/>
      <c r="B36" s="2"/>
      <c r="C36" s="3" t="s">
        <v>28</v>
      </c>
      <c r="D36" s="3"/>
      <c r="E36" s="3"/>
      <c r="F36" s="3">
        <v>2019</v>
      </c>
      <c r="G36" s="3">
        <f t="shared" ref="G36:O36" si="3">F36+1</f>
        <v>2020</v>
      </c>
      <c r="H36" s="3">
        <f t="shared" si="3"/>
        <v>2021</v>
      </c>
      <c r="I36" s="3">
        <f t="shared" si="3"/>
        <v>2022</v>
      </c>
      <c r="J36" s="3">
        <f t="shared" si="3"/>
        <v>2023</v>
      </c>
      <c r="K36" s="3">
        <f t="shared" si="3"/>
        <v>2024</v>
      </c>
      <c r="L36" s="3">
        <f t="shared" si="3"/>
        <v>2025</v>
      </c>
      <c r="M36" s="3">
        <f t="shared" si="3"/>
        <v>2026</v>
      </c>
      <c r="N36" s="3">
        <f t="shared" si="3"/>
        <v>2027</v>
      </c>
      <c r="O36" s="3">
        <f t="shared" si="3"/>
        <v>2028</v>
      </c>
      <c r="P36" s="70"/>
    </row>
    <row r="37" spans="1:16">
      <c r="A37" s="38"/>
      <c r="B37" s="38"/>
      <c r="C37" s="39" t="s">
        <v>29</v>
      </c>
      <c r="D37" s="40"/>
      <c r="E37" s="40"/>
      <c r="F37" s="40"/>
      <c r="G37" s="40"/>
      <c r="H37" s="40"/>
    </row>
    <row r="38" spans="1:16">
      <c r="A38" s="38"/>
      <c r="B38" s="38"/>
      <c r="C38" s="41" t="s">
        <v>30</v>
      </c>
      <c r="D38" s="40"/>
      <c r="E38" s="40"/>
      <c r="F38" s="42">
        <f>F67</f>
        <v>6416.8985739999998</v>
      </c>
      <c r="G38" s="42">
        <f t="shared" ref="G38:O38" si="4">G67</f>
        <v>6732.0740256962781</v>
      </c>
      <c r="H38" s="42">
        <f t="shared" si="4"/>
        <v>6851.5150146599217</v>
      </c>
      <c r="I38" s="42">
        <f t="shared" si="4"/>
        <v>7002.5919556860927</v>
      </c>
      <c r="J38" s="42">
        <f t="shared" si="4"/>
        <v>7116.3026815507956</v>
      </c>
      <c r="K38" s="42">
        <f t="shared" si="4"/>
        <v>7361.9407206962569</v>
      </c>
      <c r="L38" s="42">
        <f t="shared" si="4"/>
        <v>7549.2336180617822</v>
      </c>
      <c r="M38" s="42">
        <f t="shared" si="4"/>
        <v>7585.5584554082088</v>
      </c>
      <c r="N38" s="42">
        <f t="shared" si="4"/>
        <v>7611.8940462827386</v>
      </c>
      <c r="O38" s="42">
        <f t="shared" si="4"/>
        <v>7638.2806737464953</v>
      </c>
      <c r="P38" s="42"/>
    </row>
    <row r="39" spans="1:16">
      <c r="A39" s="38"/>
      <c r="B39" s="38"/>
      <c r="C39" s="41" t="s">
        <v>31</v>
      </c>
      <c r="D39" s="40"/>
      <c r="E39" s="40"/>
      <c r="F39" s="125">
        <f>F98</f>
        <v>5.9873216362448065E-2</v>
      </c>
      <c r="G39" s="125">
        <f t="shared" ref="G39:O39" si="5">G98</f>
        <v>6.0531821353417239E-2</v>
      </c>
      <c r="H39" s="125">
        <f t="shared" si="5"/>
        <v>6.1609486191477769E-2</v>
      </c>
      <c r="I39" s="125">
        <f t="shared" si="5"/>
        <v>6.1847827907451546E-2</v>
      </c>
      <c r="J39" s="125">
        <f t="shared" si="5"/>
        <v>6.2249679574069523E-2</v>
      </c>
      <c r="K39" s="125">
        <f t="shared" si="5"/>
        <v>6.2331745321031272E-2</v>
      </c>
      <c r="L39" s="125">
        <f t="shared" si="5"/>
        <v>6.2045982573452653E-2</v>
      </c>
      <c r="M39" s="125">
        <f t="shared" si="5"/>
        <v>6.2380292941478246E-2</v>
      </c>
      <c r="N39" s="125">
        <f t="shared" si="5"/>
        <v>6.2400360615082438E-2</v>
      </c>
      <c r="O39" s="125">
        <f t="shared" si="5"/>
        <v>6.2420213632681493E-2</v>
      </c>
      <c r="P39" s="144"/>
    </row>
    <row r="40" spans="1:16">
      <c r="A40" s="38"/>
      <c r="B40" s="38"/>
      <c r="C40" s="41"/>
      <c r="D40" s="40"/>
      <c r="E40" s="40"/>
      <c r="F40" s="46">
        <f>F39*F38</f>
        <v>384.20035669698643</v>
      </c>
      <c r="G40" s="46">
        <f t="shared" ref="G40:O40" si="6">G39*G38</f>
        <v>407.50470226142755</v>
      </c>
      <c r="H40" s="46">
        <f t="shared" si="6"/>
        <v>422.11831968639308</v>
      </c>
      <c r="I40" s="46">
        <f t="shared" si="6"/>
        <v>433.09510218137802</v>
      </c>
      <c r="J40" s="46">
        <f t="shared" si="6"/>
        <v>442.98756167862871</v>
      </c>
      <c r="K40" s="46">
        <f t="shared" si="6"/>
        <v>458.88261407096849</v>
      </c>
      <c r="L40" s="46">
        <f t="shared" si="6"/>
        <v>468.39961750918428</v>
      </c>
      <c r="M40" s="46">
        <f t="shared" si="6"/>
        <v>473.18935857307133</v>
      </c>
      <c r="N40" s="46">
        <f t="shared" si="6"/>
        <v>474.98493345184193</v>
      </c>
      <c r="O40" s="46">
        <f t="shared" si="6"/>
        <v>476.78311144163854</v>
      </c>
      <c r="P40" s="46"/>
    </row>
    <row r="41" spans="1:16">
      <c r="A41" s="38"/>
      <c r="B41" s="38"/>
      <c r="C41" s="47" t="s">
        <v>32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8"/>
      <c r="P41" s="48"/>
    </row>
    <row r="42" spans="1:16">
      <c r="A42" s="38"/>
      <c r="B42" s="38"/>
      <c r="C42" s="41" t="s">
        <v>33</v>
      </c>
      <c r="D42" s="40"/>
      <c r="E42" s="40"/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/>
    </row>
    <row r="43" spans="1:16">
      <c r="A43" s="38"/>
      <c r="B43" s="38"/>
      <c r="C43" s="41" t="s">
        <v>34</v>
      </c>
      <c r="D43" s="40"/>
      <c r="E43" s="40"/>
      <c r="F43" s="49">
        <v>443</v>
      </c>
      <c r="G43" s="49">
        <v>456</v>
      </c>
      <c r="H43" s="49">
        <v>463</v>
      </c>
      <c r="I43" s="49">
        <v>473.21749999999997</v>
      </c>
      <c r="J43" s="49">
        <v>483.61176274999997</v>
      </c>
      <c r="K43" s="49">
        <v>494.18584624557496</v>
      </c>
      <c r="L43" s="49">
        <v>504.94286138562347</v>
      </c>
      <c r="M43" s="49">
        <v>515.88597288759468</v>
      </c>
      <c r="N43" s="49">
        <v>527.01840021855014</v>
      </c>
      <c r="O43" s="49">
        <v>538.34341854233094</v>
      </c>
      <c r="P43" s="49"/>
    </row>
    <row r="44" spans="1:16">
      <c r="A44" s="38"/>
      <c r="B44" s="38"/>
      <c r="C44" s="41" t="s">
        <v>35</v>
      </c>
      <c r="D44" s="40"/>
      <c r="E44" s="40"/>
      <c r="F44" s="49">
        <v>297.91110200000003</v>
      </c>
      <c r="G44" s="49">
        <v>318.62074460744805</v>
      </c>
      <c r="H44" s="49">
        <v>329.79727746526282</v>
      </c>
      <c r="I44" s="49">
        <v>340.34884048239525</v>
      </c>
      <c r="J44" s="49">
        <v>353.37970778819806</v>
      </c>
      <c r="K44" s="49">
        <v>369.16921392087892</v>
      </c>
      <c r="L44" s="49">
        <v>382.29499134807043</v>
      </c>
      <c r="M44" s="49">
        <v>392.93033395907577</v>
      </c>
      <c r="N44" s="49">
        <v>403.72348429186457</v>
      </c>
      <c r="O44" s="49">
        <v>414.70326078062197</v>
      </c>
      <c r="P44" s="49"/>
    </row>
    <row r="45" spans="1:16">
      <c r="A45" s="38"/>
      <c r="B45" s="38"/>
      <c r="C45" s="41" t="s">
        <v>36</v>
      </c>
      <c r="D45" s="40"/>
      <c r="E45" s="40"/>
      <c r="F45" s="49">
        <v>2</v>
      </c>
      <c r="G45" s="49">
        <v>2</v>
      </c>
      <c r="H45" s="49">
        <v>2</v>
      </c>
      <c r="I45" s="49">
        <v>2</v>
      </c>
      <c r="J45" s="49">
        <v>2</v>
      </c>
      <c r="K45" s="49">
        <v>2</v>
      </c>
      <c r="L45" s="49">
        <v>2</v>
      </c>
      <c r="M45" s="49">
        <v>2</v>
      </c>
      <c r="N45" s="49">
        <v>2</v>
      </c>
      <c r="O45" s="49">
        <v>2</v>
      </c>
      <c r="P45" s="49"/>
    </row>
    <row r="46" spans="1:16">
      <c r="A46" s="38"/>
      <c r="B46" s="38"/>
      <c r="C46" s="41" t="s">
        <v>37</v>
      </c>
      <c r="D46" s="40"/>
      <c r="E46" s="40"/>
      <c r="F46" s="126">
        <v>79</v>
      </c>
      <c r="G46" s="126">
        <v>81</v>
      </c>
      <c r="H46" s="126">
        <v>83</v>
      </c>
      <c r="I46" s="126">
        <v>85</v>
      </c>
      <c r="J46" s="126">
        <v>87</v>
      </c>
      <c r="K46" s="126">
        <v>89</v>
      </c>
      <c r="L46" s="126">
        <v>91</v>
      </c>
      <c r="M46" s="126">
        <v>93</v>
      </c>
      <c r="N46" s="126">
        <v>95</v>
      </c>
      <c r="O46" s="126">
        <v>97</v>
      </c>
      <c r="P46" s="49"/>
    </row>
    <row r="47" spans="1:16">
      <c r="A47" s="38"/>
      <c r="B47" s="38"/>
      <c r="C47" s="41"/>
      <c r="D47" s="40"/>
      <c r="E47" s="40"/>
      <c r="F47" s="46">
        <f>SUM(F42:F46)</f>
        <v>821.91110200000003</v>
      </c>
      <c r="G47" s="46">
        <f t="shared" ref="G47:O47" si="7">SUM(G42:G46)</f>
        <v>857.62074460744805</v>
      </c>
      <c r="H47" s="46">
        <f t="shared" si="7"/>
        <v>877.79727746526282</v>
      </c>
      <c r="I47" s="46">
        <f t="shared" si="7"/>
        <v>900.56634048239516</v>
      </c>
      <c r="J47" s="46">
        <f t="shared" si="7"/>
        <v>925.99147053819797</v>
      </c>
      <c r="K47" s="46">
        <f t="shared" si="7"/>
        <v>954.35506016645388</v>
      </c>
      <c r="L47" s="46">
        <f t="shared" si="7"/>
        <v>980.2378527336939</v>
      </c>
      <c r="M47" s="46">
        <f t="shared" si="7"/>
        <v>1003.8163068466704</v>
      </c>
      <c r="N47" s="46">
        <f t="shared" si="7"/>
        <v>1027.7418845104148</v>
      </c>
      <c r="O47" s="46">
        <f t="shared" si="7"/>
        <v>1052.046679322953</v>
      </c>
      <c r="P47" s="46"/>
    </row>
    <row r="48" spans="1:16" ht="6.5" customHeight="1">
      <c r="A48" s="38"/>
      <c r="B48" s="38"/>
      <c r="C48" s="41"/>
      <c r="D48" s="40"/>
      <c r="E48" s="40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</row>
    <row r="49" spans="1:16" collapsed="1">
      <c r="A49" s="38"/>
      <c r="B49" s="38"/>
      <c r="C49" s="39" t="s">
        <v>39</v>
      </c>
      <c r="D49" s="40"/>
      <c r="E49" s="40"/>
      <c r="F49" s="46">
        <v>24.408115773527918</v>
      </c>
      <c r="G49" s="46">
        <v>34.933801825804721</v>
      </c>
      <c r="H49" s="46">
        <v>39.602266221299885</v>
      </c>
      <c r="I49" s="46">
        <v>42.893277447584971</v>
      </c>
      <c r="J49" s="46">
        <v>47.498182644099899</v>
      </c>
      <c r="K49" s="46">
        <v>54.914250694489873</v>
      </c>
      <c r="L49" s="46">
        <v>62.549493295482314</v>
      </c>
      <c r="M49" s="46">
        <v>67.604569377754729</v>
      </c>
      <c r="N49" s="46">
        <v>72.577309682855301</v>
      </c>
      <c r="O49" s="46">
        <v>84.774563640517414</v>
      </c>
      <c r="P49" s="46"/>
    </row>
    <row r="50" spans="1:16" ht="6.5" customHeight="1">
      <c r="A50" s="38"/>
      <c r="B50" s="38"/>
      <c r="C50" s="51"/>
      <c r="D50" s="40"/>
      <c r="E50" s="40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</row>
    <row r="51" spans="1:16" ht="15" thickBot="1">
      <c r="A51" s="38"/>
      <c r="B51" s="38"/>
      <c r="C51" s="52" t="s">
        <v>40</v>
      </c>
      <c r="D51" s="53"/>
      <c r="E51" s="53"/>
      <c r="F51" s="54">
        <f>F49+F47+F40</f>
        <v>1230.5195744705143</v>
      </c>
      <c r="G51" s="54">
        <f t="shared" ref="G51:O51" si="8">G49+G47+G40</f>
        <v>1300.0592486946803</v>
      </c>
      <c r="H51" s="54">
        <f t="shared" si="8"/>
        <v>1339.5178633729558</v>
      </c>
      <c r="I51" s="54">
        <f t="shared" si="8"/>
        <v>1376.5547201113582</v>
      </c>
      <c r="J51" s="54">
        <f t="shared" si="8"/>
        <v>1416.4772148609266</v>
      </c>
      <c r="K51" s="54">
        <f t="shared" si="8"/>
        <v>1468.1519249319122</v>
      </c>
      <c r="L51" s="54">
        <f t="shared" si="8"/>
        <v>1511.1869635383605</v>
      </c>
      <c r="M51" s="54">
        <f t="shared" si="8"/>
        <v>1544.6102347974966</v>
      </c>
      <c r="N51" s="54">
        <f t="shared" si="8"/>
        <v>1575.304127645112</v>
      </c>
      <c r="O51" s="54">
        <f t="shared" si="8"/>
        <v>1613.604354405109</v>
      </c>
      <c r="P51" s="57"/>
    </row>
    <row r="52" spans="1:16" ht="15" thickTop="1">
      <c r="A52" s="38"/>
      <c r="B52" s="38"/>
      <c r="C52" s="55"/>
      <c r="D52" s="56"/>
      <c r="E52" s="56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</row>
    <row r="53" spans="1:16">
      <c r="A53" s="38"/>
      <c r="B53" s="38"/>
      <c r="C53" s="55" t="s">
        <v>41</v>
      </c>
      <c r="D53" s="56"/>
      <c r="E53" s="56"/>
      <c r="F53" s="57">
        <v>211.39573986242638</v>
      </c>
      <c r="G53" s="57">
        <v>224.92936451695374</v>
      </c>
      <c r="H53" s="57">
        <v>231.0659735664029</v>
      </c>
      <c r="I53" s="57">
        <v>236.16101318712234</v>
      </c>
      <c r="J53" s="57">
        <v>239.99588467476428</v>
      </c>
      <c r="K53" s="57">
        <v>248.27997841733711</v>
      </c>
      <c r="L53" s="57">
        <v>254.59639392240996</v>
      </c>
      <c r="M53" s="57">
        <v>255.82144179695072</v>
      </c>
      <c r="N53" s="57">
        <v>256.70960433207608</v>
      </c>
      <c r="O53" s="57">
        <v>257.59948806596577</v>
      </c>
      <c r="P53" s="57"/>
    </row>
    <row r="54" spans="1:16">
      <c r="A54" s="38"/>
      <c r="B54" s="38"/>
      <c r="C54" s="39"/>
      <c r="D54" s="40"/>
      <c r="E54" s="40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85"/>
    </row>
    <row r="55" spans="1:16" ht="5" customHeight="1" collapsed="1">
      <c r="A55" s="29"/>
      <c r="B55" s="29"/>
      <c r="C55" s="30"/>
      <c r="D55" s="31"/>
      <c r="E55" s="31"/>
      <c r="F55" s="32"/>
      <c r="G55" s="32"/>
      <c r="H55" s="32"/>
      <c r="I55" s="33"/>
      <c r="J55" s="33"/>
      <c r="K55" s="33"/>
      <c r="L55" s="33"/>
      <c r="M55" s="33"/>
      <c r="N55" s="33"/>
      <c r="O55" s="33"/>
      <c r="P55" s="15"/>
    </row>
    <row r="56" spans="1:16">
      <c r="C56" s="2" t="s">
        <v>113</v>
      </c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166" t="s">
        <v>131</v>
      </c>
    </row>
    <row r="57" spans="1:16">
      <c r="A57" s="34"/>
      <c r="B57" s="34"/>
      <c r="C57" s="35"/>
      <c r="D57" s="36"/>
      <c r="E57" s="36"/>
      <c r="F57" s="36"/>
      <c r="G57" s="37"/>
      <c r="H57" s="37"/>
      <c r="P57" s="15"/>
    </row>
    <row r="58" spans="1:16" ht="15" thickBot="1">
      <c r="A58" s="2"/>
      <c r="B58" s="2"/>
      <c r="C58" s="3" t="s">
        <v>28</v>
      </c>
      <c r="D58" s="3"/>
      <c r="E58" s="3"/>
      <c r="F58" s="3">
        <v>2019</v>
      </c>
      <c r="G58" s="3">
        <f t="shared" ref="G58:O58" si="9">F58+1</f>
        <v>2020</v>
      </c>
      <c r="H58" s="3">
        <f t="shared" si="9"/>
        <v>2021</v>
      </c>
      <c r="I58" s="3">
        <f t="shared" si="9"/>
        <v>2022</v>
      </c>
      <c r="J58" s="3">
        <f t="shared" si="9"/>
        <v>2023</v>
      </c>
      <c r="K58" s="3">
        <f t="shared" si="9"/>
        <v>2024</v>
      </c>
      <c r="L58" s="3">
        <f t="shared" si="9"/>
        <v>2025</v>
      </c>
      <c r="M58" s="3">
        <f t="shared" si="9"/>
        <v>2026</v>
      </c>
      <c r="N58" s="3">
        <f t="shared" si="9"/>
        <v>2027</v>
      </c>
      <c r="O58" s="3">
        <f t="shared" si="9"/>
        <v>2028</v>
      </c>
      <c r="P58" s="167"/>
    </row>
    <row r="59" spans="1:16">
      <c r="A59" s="58"/>
      <c r="B59" s="58"/>
      <c r="C59" s="40"/>
      <c r="D59" s="59"/>
      <c r="E59" s="59"/>
      <c r="F59" s="60"/>
      <c r="G59" s="60"/>
      <c r="H59" s="40"/>
      <c r="P59" s="15"/>
    </row>
    <row r="60" spans="1:16">
      <c r="A60" s="58"/>
      <c r="B60" s="58"/>
      <c r="C60" s="61" t="s">
        <v>114</v>
      </c>
      <c r="D60" s="59"/>
      <c r="E60" s="59"/>
      <c r="F60" s="60"/>
      <c r="G60" s="60"/>
      <c r="H60" s="40"/>
      <c r="P60" s="15"/>
    </row>
    <row r="61" spans="1:16">
      <c r="A61" s="58"/>
      <c r="B61" s="58"/>
      <c r="C61" s="62" t="s">
        <v>44</v>
      </c>
      <c r="D61" s="59"/>
      <c r="E61" s="59"/>
      <c r="F61" s="49">
        <v>9995.372625</v>
      </c>
      <c r="G61" s="49">
        <v>10574.283500000001</v>
      </c>
      <c r="H61" s="49">
        <v>10952.879000000001</v>
      </c>
      <c r="I61" s="49">
        <v>11361.444628278688</v>
      </c>
      <c r="J61" s="49">
        <v>11741.515696335586</v>
      </c>
      <c r="K61" s="49">
        <v>12264.85945326649</v>
      </c>
      <c r="L61" s="49">
        <v>12753.709005365996</v>
      </c>
      <c r="M61" s="49">
        <v>13109.167862879085</v>
      </c>
      <c r="N61" s="49">
        <v>13465.93660801164</v>
      </c>
      <c r="O61" s="49">
        <v>13833.642853144194</v>
      </c>
      <c r="P61" s="45"/>
    </row>
    <row r="62" spans="1:16">
      <c r="A62" s="58"/>
      <c r="B62" s="58"/>
      <c r="C62" s="137" t="s">
        <v>45</v>
      </c>
      <c r="D62" s="60"/>
      <c r="E62" s="59"/>
      <c r="F62" s="126">
        <v>-3783.4740510000001</v>
      </c>
      <c r="G62" s="126">
        <v>-4047.2094743037237</v>
      </c>
      <c r="H62" s="126">
        <v>-4306.3639853400791</v>
      </c>
      <c r="I62" s="126">
        <v>-4563.8526725925958</v>
      </c>
      <c r="J62" s="126">
        <v>-4830.2130147847902</v>
      </c>
      <c r="K62" s="126">
        <v>-5107.9187325702333</v>
      </c>
      <c r="L62" s="126">
        <v>-5409.4753873042137</v>
      </c>
      <c r="M62" s="126">
        <v>-5728.6094074708762</v>
      </c>
      <c r="N62" s="126">
        <v>-6059.0425617289011</v>
      </c>
      <c r="O62" s="126">
        <v>-6400.362179397699</v>
      </c>
      <c r="P62" s="45"/>
    </row>
    <row r="63" spans="1:16">
      <c r="A63" s="58"/>
      <c r="B63" s="58"/>
      <c r="C63" s="138" t="s">
        <v>46</v>
      </c>
      <c r="D63" s="60"/>
      <c r="E63" s="59"/>
      <c r="F63" s="49">
        <f>SUM(F61:F62)</f>
        <v>6211.8985739999998</v>
      </c>
      <c r="G63" s="49">
        <f t="shared" ref="G63:O63" si="10">SUM(G61:G62)</f>
        <v>6527.0740256962781</v>
      </c>
      <c r="H63" s="49">
        <f t="shared" si="10"/>
        <v>6646.5150146599217</v>
      </c>
      <c r="I63" s="49">
        <f t="shared" si="10"/>
        <v>6797.5919556860927</v>
      </c>
      <c r="J63" s="49">
        <f t="shared" si="10"/>
        <v>6911.3026815507956</v>
      </c>
      <c r="K63" s="49">
        <f t="shared" si="10"/>
        <v>7156.9407206962569</v>
      </c>
      <c r="L63" s="49">
        <f t="shared" si="10"/>
        <v>7344.2336180617822</v>
      </c>
      <c r="M63" s="49">
        <f t="shared" si="10"/>
        <v>7380.5584554082088</v>
      </c>
      <c r="N63" s="49">
        <f t="shared" si="10"/>
        <v>7406.8940462827386</v>
      </c>
      <c r="O63" s="49">
        <f t="shared" si="10"/>
        <v>7433.2806737464953</v>
      </c>
      <c r="P63" s="45"/>
    </row>
    <row r="64" spans="1:16">
      <c r="A64" s="58"/>
      <c r="B64" s="58"/>
      <c r="C64" s="22" t="s">
        <v>47</v>
      </c>
      <c r="D64" s="60"/>
      <c r="E64" s="59"/>
      <c r="F64" s="126">
        <v>0</v>
      </c>
      <c r="G64" s="126">
        <v>0</v>
      </c>
      <c r="H64" s="126">
        <v>0</v>
      </c>
      <c r="I64" s="126">
        <v>0</v>
      </c>
      <c r="J64" s="126">
        <v>0</v>
      </c>
      <c r="K64" s="126">
        <v>0</v>
      </c>
      <c r="L64" s="126">
        <v>0</v>
      </c>
      <c r="M64" s="126">
        <v>0</v>
      </c>
      <c r="N64" s="126">
        <v>0</v>
      </c>
      <c r="O64" s="126">
        <v>0</v>
      </c>
      <c r="P64" s="45"/>
    </row>
    <row r="65" spans="1:16">
      <c r="A65" s="58"/>
      <c r="B65" s="58"/>
      <c r="C65" s="22" t="s">
        <v>48</v>
      </c>
      <c r="D65" s="60"/>
      <c r="E65" s="59"/>
      <c r="F65" s="49">
        <f>SUM(F63:F64)</f>
        <v>6211.8985739999998</v>
      </c>
      <c r="G65" s="49">
        <f t="shared" ref="G65:O65" si="11">SUM(G63:G64)</f>
        <v>6527.0740256962781</v>
      </c>
      <c r="H65" s="49">
        <f t="shared" si="11"/>
        <v>6646.5150146599217</v>
      </c>
      <c r="I65" s="49">
        <f t="shared" si="11"/>
        <v>6797.5919556860927</v>
      </c>
      <c r="J65" s="49">
        <f t="shared" si="11"/>
        <v>6911.3026815507956</v>
      </c>
      <c r="K65" s="49">
        <f t="shared" si="11"/>
        <v>7156.9407206962569</v>
      </c>
      <c r="L65" s="49">
        <f t="shared" si="11"/>
        <v>7344.2336180617822</v>
      </c>
      <c r="M65" s="49">
        <f t="shared" si="11"/>
        <v>7380.5584554082088</v>
      </c>
      <c r="N65" s="49">
        <f t="shared" si="11"/>
        <v>7406.8940462827386</v>
      </c>
      <c r="O65" s="49">
        <f t="shared" si="11"/>
        <v>7433.2806737464953</v>
      </c>
      <c r="P65" s="45"/>
    </row>
    <row r="66" spans="1:16">
      <c r="A66" s="58"/>
      <c r="B66" s="58"/>
      <c r="C66" s="1" t="s">
        <v>49</v>
      </c>
      <c r="D66" s="59"/>
      <c r="E66" s="59"/>
      <c r="F66" s="49">
        <v>205</v>
      </c>
      <c r="G66" s="49">
        <v>205</v>
      </c>
      <c r="H66" s="49">
        <v>205</v>
      </c>
      <c r="I66" s="49">
        <v>205</v>
      </c>
      <c r="J66" s="49">
        <v>205</v>
      </c>
      <c r="K66" s="49">
        <v>205</v>
      </c>
      <c r="L66" s="49">
        <v>205</v>
      </c>
      <c r="M66" s="49">
        <v>205</v>
      </c>
      <c r="N66" s="49">
        <v>205</v>
      </c>
      <c r="O66" s="49">
        <v>205</v>
      </c>
      <c r="P66" s="45"/>
    </row>
    <row r="67" spans="1:16" ht="15" thickBot="1">
      <c r="A67" s="58"/>
      <c r="B67" s="58"/>
      <c r="C67" s="64" t="s">
        <v>50</v>
      </c>
      <c r="D67" s="65"/>
      <c r="E67" s="65"/>
      <c r="F67" s="54">
        <f>SUM(F65:F66)</f>
        <v>6416.8985739999998</v>
      </c>
      <c r="G67" s="54">
        <f t="shared" ref="G67:O67" si="12">SUM(G65:G66)</f>
        <v>6732.0740256962781</v>
      </c>
      <c r="H67" s="54">
        <f t="shared" si="12"/>
        <v>6851.5150146599217</v>
      </c>
      <c r="I67" s="54">
        <f t="shared" si="12"/>
        <v>7002.5919556860927</v>
      </c>
      <c r="J67" s="54">
        <f t="shared" si="12"/>
        <v>7116.3026815507956</v>
      </c>
      <c r="K67" s="54">
        <f t="shared" si="12"/>
        <v>7361.9407206962569</v>
      </c>
      <c r="L67" s="54">
        <f t="shared" si="12"/>
        <v>7549.2336180617822</v>
      </c>
      <c r="M67" s="54">
        <f t="shared" si="12"/>
        <v>7585.5584554082088</v>
      </c>
      <c r="N67" s="54">
        <f t="shared" si="12"/>
        <v>7611.8940462827386</v>
      </c>
      <c r="O67" s="54">
        <f t="shared" si="12"/>
        <v>7638.2806737464953</v>
      </c>
      <c r="P67" s="85"/>
    </row>
    <row r="68" spans="1:16" ht="15" thickTop="1">
      <c r="A68" s="58"/>
      <c r="B68" s="58"/>
      <c r="C68" s="40"/>
      <c r="D68" s="59"/>
      <c r="E68" s="59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168"/>
    </row>
    <row r="69" spans="1:16" ht="5" customHeight="1">
      <c r="A69" s="29"/>
      <c r="B69" s="29"/>
      <c r="C69" s="30"/>
      <c r="D69" s="31"/>
      <c r="E69" s="31"/>
      <c r="F69" s="32"/>
      <c r="G69" s="32"/>
      <c r="H69" s="32"/>
      <c r="I69" s="33"/>
      <c r="J69" s="33"/>
      <c r="K69" s="33"/>
      <c r="L69" s="33"/>
      <c r="M69" s="33"/>
      <c r="N69" s="33"/>
      <c r="O69" s="33"/>
      <c r="P69" s="15"/>
    </row>
    <row r="70" spans="1:16">
      <c r="C70" s="2" t="s">
        <v>115</v>
      </c>
      <c r="P70" s="166" t="s">
        <v>132</v>
      </c>
    </row>
    <row r="71" spans="1:16">
      <c r="A71" s="34"/>
      <c r="B71" s="34"/>
      <c r="C71" s="35"/>
      <c r="D71" s="36"/>
      <c r="E71" s="36"/>
      <c r="F71" s="36"/>
      <c r="G71" s="37"/>
      <c r="H71" s="37"/>
    </row>
    <row r="72" spans="1:16" ht="15" thickBot="1">
      <c r="A72" s="2"/>
      <c r="B72" s="2"/>
      <c r="C72" s="3" t="s">
        <v>28</v>
      </c>
      <c r="D72" s="3"/>
      <c r="E72" s="3"/>
      <c r="F72" s="3">
        <v>2019</v>
      </c>
      <c r="G72" s="3">
        <f t="shared" ref="G72:O72" si="13">F72+1</f>
        <v>2020</v>
      </c>
      <c r="H72" s="3">
        <f t="shared" si="13"/>
        <v>2021</v>
      </c>
      <c r="I72" s="3">
        <f t="shared" si="13"/>
        <v>2022</v>
      </c>
      <c r="J72" s="3">
        <f t="shared" si="13"/>
        <v>2023</v>
      </c>
      <c r="K72" s="3">
        <f t="shared" si="13"/>
        <v>2024</v>
      </c>
      <c r="L72" s="3">
        <f t="shared" si="13"/>
        <v>2025</v>
      </c>
      <c r="M72" s="3">
        <f t="shared" si="13"/>
        <v>2026</v>
      </c>
      <c r="N72" s="3">
        <f t="shared" si="13"/>
        <v>2027</v>
      </c>
      <c r="O72" s="3">
        <f t="shared" si="13"/>
        <v>2028</v>
      </c>
      <c r="P72" s="70"/>
    </row>
    <row r="73" spans="1:16" ht="6.5" customHeight="1">
      <c r="A73" s="40"/>
      <c r="B73" s="40"/>
      <c r="C73" s="40"/>
      <c r="D73" s="40"/>
      <c r="E73" s="40"/>
      <c r="F73" s="40"/>
      <c r="G73" s="40"/>
      <c r="H73" s="40"/>
    </row>
    <row r="74" spans="1:16">
      <c r="A74" s="40"/>
      <c r="B74" s="40"/>
      <c r="C74" s="1" t="s">
        <v>52</v>
      </c>
      <c r="D74" s="40"/>
      <c r="E74" s="40"/>
      <c r="F74" s="40"/>
      <c r="G74" s="40"/>
      <c r="H74" s="40"/>
    </row>
    <row r="75" spans="1:16">
      <c r="D75" s="1" t="s">
        <v>53</v>
      </c>
      <c r="F75" s="8">
        <v>3958</v>
      </c>
      <c r="G75" s="8">
        <v>4161</v>
      </c>
      <c r="H75" s="8">
        <v>4314</v>
      </c>
      <c r="I75" s="8">
        <v>4377</v>
      </c>
      <c r="J75" s="8">
        <v>4450</v>
      </c>
      <c r="K75" s="8">
        <v>4607</v>
      </c>
      <c r="L75" s="8">
        <v>4677</v>
      </c>
      <c r="M75" s="8">
        <v>4575</v>
      </c>
      <c r="N75" s="8">
        <v>4592</v>
      </c>
      <c r="O75" s="8">
        <v>4609</v>
      </c>
      <c r="P75" s="8"/>
    </row>
    <row r="76" spans="1:16">
      <c r="D76" s="1" t="s">
        <v>54</v>
      </c>
      <c r="F76" s="11">
        <f>F75/F67</f>
        <v>0.6168088764932379</v>
      </c>
      <c r="G76" s="11">
        <f t="shared" ref="G76:O76" si="14">G75/G67</f>
        <v>0.61808589509228407</v>
      </c>
      <c r="H76" s="11">
        <f t="shared" si="14"/>
        <v>0.6296417640141635</v>
      </c>
      <c r="I76" s="11">
        <f t="shared" si="14"/>
        <v>0.62505426957597943</v>
      </c>
      <c r="J76" s="11">
        <f t="shared" si="14"/>
        <v>0.62532472256088034</v>
      </c>
      <c r="K76" s="11">
        <f t="shared" si="14"/>
        <v>0.62578607663174612</v>
      </c>
      <c r="L76" s="11">
        <f t="shared" si="14"/>
        <v>0.61953308595592116</v>
      </c>
      <c r="M76" s="11">
        <f t="shared" si="14"/>
        <v>0.60311973428115928</v>
      </c>
      <c r="N76" s="11">
        <f t="shared" si="14"/>
        <v>0.60326641070923726</v>
      </c>
      <c r="O76" s="11">
        <f t="shared" si="14"/>
        <v>0.60340804388631275</v>
      </c>
      <c r="P76" s="11"/>
    </row>
    <row r="77" spans="1:16">
      <c r="D77" s="1" t="s">
        <v>55</v>
      </c>
      <c r="F77" s="128">
        <v>4.2601995957554317E-2</v>
      </c>
      <c r="G77" s="128">
        <v>4.2723949371144758E-2</v>
      </c>
      <c r="H77" s="128">
        <v>4.3596515221758621E-2</v>
      </c>
      <c r="I77" s="128">
        <v>4.4104980580306152E-2</v>
      </c>
      <c r="J77" s="128">
        <v>4.4744082397003754E-2</v>
      </c>
      <c r="K77" s="128">
        <v>4.48700889950076E-2</v>
      </c>
      <c r="L77" s="128">
        <v>4.459496828451287E-2</v>
      </c>
      <c r="M77" s="128">
        <v>4.5629216757741349E-2</v>
      </c>
      <c r="N77" s="128">
        <v>4.5658754355400705E-2</v>
      </c>
      <c r="O77" s="128">
        <v>4.5688074058002466E-2</v>
      </c>
      <c r="P77" s="145"/>
    </row>
    <row r="78" spans="1:16">
      <c r="D78" s="1" t="s">
        <v>56</v>
      </c>
      <c r="F78" s="27">
        <f>F77*F76</f>
        <v>2.627728926294854E-2</v>
      </c>
      <c r="G78" s="27">
        <f t="shared" ref="G78:O78" si="15">G77*G76</f>
        <v>2.6407070488941434E-2</v>
      </c>
      <c r="H78" s="27">
        <f t="shared" si="15"/>
        <v>2.7450186749098427E-2</v>
      </c>
      <c r="I78" s="27">
        <f t="shared" si="15"/>
        <v>2.7568006421286019E-2</v>
      </c>
      <c r="J78" s="27">
        <f t="shared" si="15"/>
        <v>2.7979580911147543E-2</v>
      </c>
      <c r="K78" s="27">
        <f t="shared" si="15"/>
        <v>2.8079076950303095E-2</v>
      </c>
      <c r="L78" s="27">
        <f t="shared" si="15"/>
        <v>2.7628058319410689E-2</v>
      </c>
      <c r="M78" s="27">
        <f t="shared" si="15"/>
        <v>2.7519881086386384E-2</v>
      </c>
      <c r="N78" s="27">
        <f t="shared" si="15"/>
        <v>2.7544392857437337E-2</v>
      </c>
      <c r="O78" s="27">
        <f t="shared" si="15"/>
        <v>2.7568551396272258E-2</v>
      </c>
      <c r="P78" s="27"/>
    </row>
    <row r="79" spans="1:16" ht="6.5" customHeight="1"/>
    <row r="80" spans="1:16">
      <c r="C80" s="1" t="s">
        <v>57</v>
      </c>
      <c r="D80" s="40"/>
    </row>
    <row r="81" spans="1:16">
      <c r="D81" s="1" t="s">
        <v>53</v>
      </c>
      <c r="F81" s="8">
        <f t="shared" ref="F81:O81" si="16">F67-F75-F87-F93</f>
        <v>44.815087359999779</v>
      </c>
      <c r="G81" s="8">
        <f t="shared" si="16"/>
        <v>43.527376445618302</v>
      </c>
      <c r="H81" s="8">
        <f t="shared" si="16"/>
        <v>-33.030390617650028</v>
      </c>
      <c r="I81" s="8">
        <f t="shared" si="16"/>
        <v>0.65885163909933908</v>
      </c>
      <c r="J81" s="8">
        <f t="shared" si="16"/>
        <v>0.43371619250910953</v>
      </c>
      <c r="K81" s="8">
        <f t="shared" si="16"/>
        <v>0.64206124560450917</v>
      </c>
      <c r="L81" s="8">
        <f t="shared" si="16"/>
        <v>50.509515559540887</v>
      </c>
      <c r="M81" s="8">
        <f t="shared" si="16"/>
        <v>175.75741146125392</v>
      </c>
      <c r="N81" s="8">
        <f t="shared" si="16"/>
        <v>175.6121896209529</v>
      </c>
      <c r="O81" s="8">
        <f t="shared" si="16"/>
        <v>175.49963119775703</v>
      </c>
      <c r="P81" s="8"/>
    </row>
    <row r="82" spans="1:16">
      <c r="D82" s="1" t="s">
        <v>54</v>
      </c>
      <c r="F82" s="11">
        <f>F81/F67</f>
        <v>6.9839170501434485E-3</v>
      </c>
      <c r="G82" s="11">
        <f t="shared" ref="G82:O82" si="17">G81/G67</f>
        <v>6.4656710962289806E-3</v>
      </c>
      <c r="H82" s="11">
        <f t="shared" si="17"/>
        <v>-4.8208885986495221E-3</v>
      </c>
      <c r="I82" s="11">
        <f t="shared" si="17"/>
        <v>9.4086824317151979E-5</v>
      </c>
      <c r="J82" s="11">
        <f t="shared" si="17"/>
        <v>6.0946844438409052E-5</v>
      </c>
      <c r="K82" s="11">
        <f t="shared" si="17"/>
        <v>8.7213585379669576E-5</v>
      </c>
      <c r="L82" s="11">
        <f t="shared" si="17"/>
        <v>6.69068121546739E-3</v>
      </c>
      <c r="M82" s="11">
        <f t="shared" si="17"/>
        <v>2.3170002906766306E-2</v>
      </c>
      <c r="N82" s="11">
        <f t="shared" si="17"/>
        <v>2.3070761173654666E-2</v>
      </c>
      <c r="O82" s="11">
        <f t="shared" si="17"/>
        <v>2.2976326570581011E-2</v>
      </c>
      <c r="P82" s="11"/>
    </row>
    <row r="83" spans="1:16">
      <c r="D83" s="1" t="s">
        <v>55</v>
      </c>
      <c r="F83" s="128">
        <v>2.1000000000000001E-2</v>
      </c>
      <c r="G83" s="128">
        <v>2.5000000000000001E-2</v>
      </c>
      <c r="H83" s="128">
        <v>2.7E-2</v>
      </c>
      <c r="I83" s="128">
        <v>2.7E-2</v>
      </c>
      <c r="J83" s="128">
        <v>2.7E-2</v>
      </c>
      <c r="K83" s="128">
        <v>2.7E-2</v>
      </c>
      <c r="L83" s="128">
        <v>2.7E-2</v>
      </c>
      <c r="M83" s="128">
        <v>2.7E-2</v>
      </c>
      <c r="N83" s="128">
        <v>2.7E-2</v>
      </c>
      <c r="O83" s="128">
        <v>2.7E-2</v>
      </c>
      <c r="P83" s="145"/>
    </row>
    <row r="84" spans="1:16">
      <c r="D84" s="1" t="s">
        <v>56</v>
      </c>
      <c r="F84" s="27">
        <f>F83*F82</f>
        <v>1.4666225805301243E-4</v>
      </c>
      <c r="G84" s="27">
        <f t="shared" ref="G84:O84" si="18">G83*G82</f>
        <v>1.6164177740572453E-4</v>
      </c>
      <c r="H84" s="27">
        <f t="shared" si="18"/>
        <v>-1.301639921635371E-4</v>
      </c>
      <c r="I84" s="27">
        <f t="shared" si="18"/>
        <v>2.5403442565631033E-6</v>
      </c>
      <c r="J84" s="27">
        <f t="shared" si="18"/>
        <v>1.6455647998370444E-6</v>
      </c>
      <c r="K84" s="27">
        <f t="shared" si="18"/>
        <v>2.3547668052510784E-6</v>
      </c>
      <c r="L84" s="27">
        <f t="shared" si="18"/>
        <v>1.8064839281761952E-4</v>
      </c>
      <c r="M84" s="27">
        <f t="shared" si="18"/>
        <v>6.2559007848269027E-4</v>
      </c>
      <c r="N84" s="27">
        <f t="shared" si="18"/>
        <v>6.2291055168867593E-4</v>
      </c>
      <c r="O84" s="27">
        <f t="shared" si="18"/>
        <v>6.2036081740568733E-4</v>
      </c>
      <c r="P84" s="27"/>
    </row>
    <row r="85" spans="1:16" ht="6.5" customHeight="1"/>
    <row r="86" spans="1:16">
      <c r="A86" s="40"/>
      <c r="B86" s="40"/>
      <c r="C86" s="1" t="s">
        <v>58</v>
      </c>
      <c r="D86" s="40"/>
      <c r="E86" s="40"/>
      <c r="F86" s="40"/>
      <c r="G86" s="40"/>
      <c r="H86" s="40"/>
    </row>
    <row r="87" spans="1:16">
      <c r="D87" s="1" t="s">
        <v>53</v>
      </c>
      <c r="F87" s="8">
        <v>104</v>
      </c>
      <c r="G87" s="8">
        <v>104</v>
      </c>
      <c r="H87" s="8">
        <v>104</v>
      </c>
      <c r="I87" s="8">
        <v>104</v>
      </c>
      <c r="J87" s="8">
        <v>104</v>
      </c>
      <c r="K87" s="8">
        <v>104</v>
      </c>
      <c r="L87" s="8">
        <v>104</v>
      </c>
      <c r="M87" s="8">
        <v>104</v>
      </c>
      <c r="N87" s="8">
        <v>104</v>
      </c>
      <c r="O87" s="8">
        <v>104</v>
      </c>
      <c r="P87" s="8"/>
    </row>
    <row r="88" spans="1:16">
      <c r="D88" s="1" t="s">
        <v>54</v>
      </c>
      <c r="F88" s="11">
        <f t="shared" ref="F88:O88" si="19">F87/F67</f>
        <v>1.6207206456618679E-2</v>
      </c>
      <c r="G88" s="11">
        <f t="shared" si="19"/>
        <v>1.5448433811487031E-2</v>
      </c>
      <c r="H88" s="11">
        <f t="shared" si="19"/>
        <v>1.5179124584486092E-2</v>
      </c>
      <c r="I88" s="11">
        <f t="shared" si="19"/>
        <v>1.4851643599703418E-2</v>
      </c>
      <c r="J88" s="11">
        <f t="shared" si="19"/>
        <v>1.4614330594681249E-2</v>
      </c>
      <c r="K88" s="11">
        <f t="shared" si="19"/>
        <v>1.4126709782874234E-2</v>
      </c>
      <c r="L88" s="11">
        <f t="shared" si="19"/>
        <v>1.3776232828611462E-2</v>
      </c>
      <c r="M88" s="11">
        <f t="shared" si="19"/>
        <v>1.3710262812074442E-2</v>
      </c>
      <c r="N88" s="11">
        <f t="shared" si="19"/>
        <v>1.366282811710816E-2</v>
      </c>
      <c r="O88" s="11">
        <f t="shared" si="19"/>
        <v>1.3615629543106212E-2</v>
      </c>
      <c r="P88" s="11"/>
    </row>
    <row r="89" spans="1:16">
      <c r="D89" s="1" t="s">
        <v>55</v>
      </c>
      <c r="F89" s="128">
        <v>3.1199999999999999E-2</v>
      </c>
      <c r="G89" s="128">
        <v>3.5700000000000003E-2</v>
      </c>
      <c r="H89" s="128">
        <v>3.7199999999999997E-2</v>
      </c>
      <c r="I89" s="128">
        <v>3.7199999999999997E-2</v>
      </c>
      <c r="J89" s="128">
        <v>3.7199999999999997E-2</v>
      </c>
      <c r="K89" s="128">
        <v>3.7199999999999997E-2</v>
      </c>
      <c r="L89" s="128">
        <v>3.7199999999999997E-2</v>
      </c>
      <c r="M89" s="128">
        <v>3.7199999999999997E-2</v>
      </c>
      <c r="N89" s="128">
        <v>3.7199999999999997E-2</v>
      </c>
      <c r="O89" s="128">
        <v>3.7199999999999997E-2</v>
      </c>
      <c r="P89" s="145"/>
    </row>
    <row r="90" spans="1:16">
      <c r="D90" s="1" t="s">
        <v>56</v>
      </c>
      <c r="F90" s="27">
        <f>F89*F88</f>
        <v>5.0566484144650271E-4</v>
      </c>
      <c r="G90" s="27">
        <f t="shared" ref="G90:O90" si="20">G89*G88</f>
        <v>5.5150908707008708E-4</v>
      </c>
      <c r="H90" s="27">
        <f t="shared" si="20"/>
        <v>5.6466343454288255E-4</v>
      </c>
      <c r="I90" s="27">
        <f t="shared" si="20"/>
        <v>5.5248114190896707E-4</v>
      </c>
      <c r="J90" s="27">
        <f t="shared" si="20"/>
        <v>5.4365309812214242E-4</v>
      </c>
      <c r="K90" s="27">
        <f t="shared" si="20"/>
        <v>5.2551360392292146E-4</v>
      </c>
      <c r="L90" s="27">
        <f t="shared" si="20"/>
        <v>5.1247586122434637E-4</v>
      </c>
      <c r="M90" s="27">
        <f t="shared" si="20"/>
        <v>5.1002177660916916E-4</v>
      </c>
      <c r="N90" s="27">
        <f t="shared" si="20"/>
        <v>5.0825720595642349E-4</v>
      </c>
      <c r="O90" s="27">
        <f t="shared" si="20"/>
        <v>5.0650141900355106E-4</v>
      </c>
      <c r="P90" s="27"/>
    </row>
    <row r="91" spans="1:16" ht="6.5" customHeight="1"/>
    <row r="92" spans="1:16">
      <c r="A92" s="40"/>
      <c r="B92" s="40"/>
      <c r="C92" s="1" t="s">
        <v>59</v>
      </c>
      <c r="D92" s="40"/>
      <c r="E92" s="40"/>
      <c r="F92" s="40"/>
      <c r="G92" s="40"/>
      <c r="H92" s="40"/>
    </row>
    <row r="93" spans="1:16">
      <c r="D93" s="1" t="s">
        <v>53</v>
      </c>
      <c r="F93" s="8">
        <f t="shared" ref="F93:O93" si="21">0.36*F67</f>
        <v>2310.08348664</v>
      </c>
      <c r="G93" s="8">
        <f t="shared" si="21"/>
        <v>2423.5466492506598</v>
      </c>
      <c r="H93" s="8">
        <f t="shared" si="21"/>
        <v>2466.5454052775717</v>
      </c>
      <c r="I93" s="8">
        <f t="shared" si="21"/>
        <v>2520.9331040469933</v>
      </c>
      <c r="J93" s="8">
        <f t="shared" si="21"/>
        <v>2561.8689653582865</v>
      </c>
      <c r="K93" s="8">
        <f t="shared" si="21"/>
        <v>2650.2986594506524</v>
      </c>
      <c r="L93" s="8">
        <f t="shared" si="21"/>
        <v>2717.7241025022413</v>
      </c>
      <c r="M93" s="8">
        <f t="shared" si="21"/>
        <v>2730.8010439469549</v>
      </c>
      <c r="N93" s="8">
        <f t="shared" si="21"/>
        <v>2740.2818566617857</v>
      </c>
      <c r="O93" s="8">
        <f t="shared" si="21"/>
        <v>2749.7810425487382</v>
      </c>
      <c r="P93" s="8"/>
    </row>
    <row r="94" spans="1:16">
      <c r="D94" s="1" t="s">
        <v>54</v>
      </c>
      <c r="F94" s="11">
        <f t="shared" ref="F94:O94" si="22">F93/F67</f>
        <v>0.36000000000000004</v>
      </c>
      <c r="G94" s="11">
        <f t="shared" si="22"/>
        <v>0.35999999999999993</v>
      </c>
      <c r="H94" s="11">
        <f t="shared" si="22"/>
        <v>0.36</v>
      </c>
      <c r="I94" s="11">
        <f t="shared" si="22"/>
        <v>0.36</v>
      </c>
      <c r="J94" s="11">
        <f t="shared" si="22"/>
        <v>0.36</v>
      </c>
      <c r="K94" s="11">
        <f t="shared" si="22"/>
        <v>0.36</v>
      </c>
      <c r="L94" s="11">
        <f t="shared" si="22"/>
        <v>0.36</v>
      </c>
      <c r="M94" s="11">
        <f t="shared" si="22"/>
        <v>0.36</v>
      </c>
      <c r="N94" s="11">
        <f t="shared" si="22"/>
        <v>0.36</v>
      </c>
      <c r="O94" s="11">
        <f t="shared" si="22"/>
        <v>0.36</v>
      </c>
      <c r="P94" s="11"/>
    </row>
    <row r="95" spans="1:16">
      <c r="D95" s="1" t="s">
        <v>55</v>
      </c>
      <c r="F95" s="128">
        <v>9.1509999999999994E-2</v>
      </c>
      <c r="G95" s="128">
        <v>9.2810000000000004E-2</v>
      </c>
      <c r="H95" s="128">
        <v>9.3679999999999999E-2</v>
      </c>
      <c r="I95" s="128">
        <v>9.3679999999999999E-2</v>
      </c>
      <c r="J95" s="128">
        <v>9.3679999999999999E-2</v>
      </c>
      <c r="K95" s="128">
        <v>9.3679999999999999E-2</v>
      </c>
      <c r="L95" s="128">
        <v>9.3679999999999999E-2</v>
      </c>
      <c r="M95" s="128">
        <v>9.3679999999999999E-2</v>
      </c>
      <c r="N95" s="128">
        <v>9.3679999999999999E-2</v>
      </c>
      <c r="O95" s="128">
        <v>9.3679999999999999E-2</v>
      </c>
      <c r="P95" s="145"/>
    </row>
    <row r="96" spans="1:16">
      <c r="D96" s="1" t="s">
        <v>56</v>
      </c>
      <c r="F96" s="27">
        <f>F95*F94</f>
        <v>3.2943600000000003E-2</v>
      </c>
      <c r="G96" s="27">
        <f t="shared" ref="G96:O96" si="23">G95*G94</f>
        <v>3.3411599999999993E-2</v>
      </c>
      <c r="H96" s="27">
        <f t="shared" si="23"/>
        <v>3.3724799999999999E-2</v>
      </c>
      <c r="I96" s="27">
        <f t="shared" si="23"/>
        <v>3.3724799999999999E-2</v>
      </c>
      <c r="J96" s="27">
        <f t="shared" si="23"/>
        <v>3.3724799999999999E-2</v>
      </c>
      <c r="K96" s="27">
        <f t="shared" si="23"/>
        <v>3.3724799999999999E-2</v>
      </c>
      <c r="L96" s="27">
        <f t="shared" si="23"/>
        <v>3.3724799999999999E-2</v>
      </c>
      <c r="M96" s="27">
        <f t="shared" si="23"/>
        <v>3.3724799999999999E-2</v>
      </c>
      <c r="N96" s="27">
        <f t="shared" si="23"/>
        <v>3.3724799999999999E-2</v>
      </c>
      <c r="O96" s="27">
        <f t="shared" si="23"/>
        <v>3.3724799999999999E-2</v>
      </c>
      <c r="P96" s="27"/>
    </row>
    <row r="97" spans="1:16" ht="6.5" customHeight="1"/>
    <row r="98" spans="1:16" s="2" customFormat="1" ht="15" thickBot="1">
      <c r="C98" s="68" t="s">
        <v>60</v>
      </c>
      <c r="D98" s="68"/>
      <c r="E98" s="68"/>
      <c r="F98" s="69">
        <f>F96+F90+F78+F84</f>
        <v>5.9873216362448065E-2</v>
      </c>
      <c r="G98" s="69">
        <f t="shared" ref="G98:O98" si="24">G96+G90+G78+G84</f>
        <v>6.0531821353417239E-2</v>
      </c>
      <c r="H98" s="69">
        <f t="shared" si="24"/>
        <v>6.1609486191477769E-2</v>
      </c>
      <c r="I98" s="69">
        <f t="shared" si="24"/>
        <v>6.1847827907451546E-2</v>
      </c>
      <c r="J98" s="69">
        <f t="shared" si="24"/>
        <v>6.2249679574069523E-2</v>
      </c>
      <c r="K98" s="69">
        <f t="shared" si="24"/>
        <v>6.2331745321031272E-2</v>
      </c>
      <c r="L98" s="69">
        <f t="shared" si="24"/>
        <v>6.2045982573452653E-2</v>
      </c>
      <c r="M98" s="69">
        <f t="shared" si="24"/>
        <v>6.2380292941478246E-2</v>
      </c>
      <c r="N98" s="69">
        <f t="shared" si="24"/>
        <v>6.2400360615082438E-2</v>
      </c>
      <c r="O98" s="69">
        <f t="shared" si="24"/>
        <v>6.2420213632681493E-2</v>
      </c>
      <c r="P98" s="71"/>
    </row>
    <row r="99" spans="1:16" s="2" customFormat="1" ht="15" thickTop="1">
      <c r="C99" s="70"/>
      <c r="D99" s="70"/>
      <c r="E99" s="70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</row>
    <row r="100" spans="1:16" ht="5" customHeight="1">
      <c r="A100" s="29"/>
      <c r="B100" s="29"/>
      <c r="C100" s="30"/>
      <c r="D100" s="31"/>
      <c r="E100" s="31"/>
      <c r="F100" s="32"/>
      <c r="G100" s="32"/>
      <c r="H100" s="32"/>
      <c r="I100" s="33"/>
      <c r="J100" s="33"/>
      <c r="K100" s="33"/>
      <c r="L100" s="33"/>
      <c r="M100" s="33"/>
      <c r="N100" s="33"/>
      <c r="O100" s="33"/>
      <c r="P100" s="33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showGridLines="0" zoomScale="75" zoomScaleNormal="75" zoomScalePageLayoutView="75" workbookViewId="0">
      <selection activeCell="H37" sqref="H37"/>
    </sheetView>
  </sheetViews>
  <sheetFormatPr baseColWidth="10" defaultColWidth="8.83203125" defaultRowHeight="14" x14ac:dyDescent="0"/>
  <cols>
    <col min="1" max="1" width="1.5" customWidth="1"/>
    <col min="12" max="12" width="9.5" bestFit="1" customWidth="1"/>
    <col min="16" max="16" width="20.5" bestFit="1" customWidth="1"/>
  </cols>
  <sheetData>
    <row r="1" spans="1:20">
      <c r="B1" s="2" t="s">
        <v>134</v>
      </c>
      <c r="P1" s="151" t="s">
        <v>125</v>
      </c>
    </row>
    <row r="2" spans="1:20">
      <c r="P2" s="153" t="s">
        <v>135</v>
      </c>
    </row>
    <row r="3" spans="1:20" s="1" customFormat="1">
      <c r="B3" s="2" t="s">
        <v>92</v>
      </c>
    </row>
    <row r="4" spans="1:20" s="1" customFormat="1">
      <c r="A4" s="34"/>
      <c r="B4" s="35"/>
      <c r="C4" s="36"/>
      <c r="D4" s="36"/>
      <c r="E4" s="36"/>
      <c r="F4" s="36"/>
      <c r="G4" s="37"/>
      <c r="H4" s="37"/>
    </row>
    <row r="5" spans="1:20" s="1" customFormat="1" ht="15" thickBot="1">
      <c r="A5" s="2"/>
      <c r="B5" s="3" t="s">
        <v>28</v>
      </c>
      <c r="C5" s="3"/>
      <c r="D5" s="3"/>
      <c r="E5" s="3"/>
      <c r="F5" s="3">
        <v>2019</v>
      </c>
      <c r="G5" s="3">
        <f t="shared" ref="G5:O5" si="0">F5+1</f>
        <v>2020</v>
      </c>
      <c r="H5" s="3">
        <f t="shared" si="0"/>
        <v>2021</v>
      </c>
      <c r="I5" s="3">
        <f t="shared" si="0"/>
        <v>2022</v>
      </c>
      <c r="J5" s="3">
        <f t="shared" si="0"/>
        <v>2023</v>
      </c>
      <c r="K5" s="3">
        <f t="shared" si="0"/>
        <v>2024</v>
      </c>
      <c r="L5" s="3">
        <f t="shared" si="0"/>
        <v>2025</v>
      </c>
      <c r="M5" s="3">
        <f t="shared" si="0"/>
        <v>2026</v>
      </c>
      <c r="N5" s="3">
        <f t="shared" si="0"/>
        <v>2027</v>
      </c>
      <c r="O5" s="3">
        <f t="shared" si="0"/>
        <v>2028</v>
      </c>
      <c r="P5" s="70"/>
    </row>
    <row r="6" spans="1:20" s="1" customFormat="1">
      <c r="B6"/>
      <c r="E6" s="40"/>
    </row>
    <row r="7" spans="1:20" s="1" customFormat="1">
      <c r="B7" s="1" t="s">
        <v>0</v>
      </c>
      <c r="E7" s="40"/>
      <c r="F7" s="8">
        <f>'EGD_Price cap'!F27</f>
        <v>1304.9607217461835</v>
      </c>
      <c r="G7" s="8">
        <f>'EGD_Price cap'!G27</f>
        <v>1352.7451662190317</v>
      </c>
      <c r="H7" s="8">
        <f>'EGD_Price cap'!H27</f>
        <v>1397.3263105397052</v>
      </c>
      <c r="I7" s="8">
        <f>'EGD_Price cap'!I27</f>
        <v>1439.746437313647</v>
      </c>
      <c r="J7" s="8">
        <f>'EGD_Price cap'!J27</f>
        <v>1482.3340895533981</v>
      </c>
      <c r="K7" s="8">
        <f>'EGD_Price cap'!K27</f>
        <v>1523.0088747971236</v>
      </c>
      <c r="L7" s="8">
        <f>'EGD_Price cap'!L27</f>
        <v>1565.4466772172725</v>
      </c>
      <c r="M7" s="8">
        <f>'EGD_Price cap'!M27</f>
        <v>1618.7308800479095</v>
      </c>
      <c r="N7" s="8">
        <f>'EGD_Price cap'!N27</f>
        <v>1671.5481672145504</v>
      </c>
      <c r="O7" s="8">
        <f>'EGD_Price cap'!O27</f>
        <v>1714.8473631523416</v>
      </c>
      <c r="P7" s="8"/>
    </row>
    <row r="8" spans="1:20" s="1" customFormat="1">
      <c r="B8" s="1" t="s">
        <v>93</v>
      </c>
      <c r="E8" s="40"/>
      <c r="F8" s="8">
        <f>'UGL Price cap'!F28</f>
        <v>1224.8246512097339</v>
      </c>
      <c r="G8" s="8">
        <f>'UGL Price cap'!G28</f>
        <v>1276.9194295696805</v>
      </c>
      <c r="H8" s="8">
        <f>'UGL Price cap'!H28</f>
        <v>1311.2685429810936</v>
      </c>
      <c r="I8" s="8">
        <f>'UGL Price cap'!I28</f>
        <v>1348.0614541737091</v>
      </c>
      <c r="J8" s="8">
        <f>'UGL Price cap'!J28</f>
        <v>1389.7487794193955</v>
      </c>
      <c r="K8" s="8">
        <f>'UGL Price cap'!K28</f>
        <v>1441.0849549688537</v>
      </c>
      <c r="L8" s="8">
        <f>'UGL Price cap'!L28</f>
        <v>1489.0492884044565</v>
      </c>
      <c r="M8" s="8">
        <f>'UGL Price cap'!M28</f>
        <v>1525.4699929510116</v>
      </c>
      <c r="N8" s="8">
        <f>'UGL Price cap'!N28</f>
        <v>1562.5908676876495</v>
      </c>
      <c r="O8" s="8">
        <f>'UGL Price cap'!O28</f>
        <v>1598.8562757181683</v>
      </c>
      <c r="P8" s="8"/>
    </row>
    <row r="9" spans="1:20" s="2" customFormat="1" ht="15" thickBot="1">
      <c r="B9" s="68" t="s">
        <v>94</v>
      </c>
      <c r="C9" s="68"/>
      <c r="D9" s="68"/>
      <c r="E9" s="93"/>
      <c r="F9" s="114">
        <f>SUM(F7:F8)</f>
        <v>2529.7853729559174</v>
      </c>
      <c r="G9" s="114">
        <f t="shared" ref="G9:O9" si="1">SUM(G7:G8)</f>
        <v>2629.6645957887122</v>
      </c>
      <c r="H9" s="114">
        <f t="shared" si="1"/>
        <v>2708.594853520799</v>
      </c>
      <c r="I9" s="114">
        <f t="shared" si="1"/>
        <v>2787.8078914873558</v>
      </c>
      <c r="J9" s="114">
        <f t="shared" si="1"/>
        <v>2872.0828689727937</v>
      </c>
      <c r="K9" s="114">
        <f t="shared" si="1"/>
        <v>2964.0938297659773</v>
      </c>
      <c r="L9" s="180">
        <f t="shared" si="1"/>
        <v>3054.4959656217288</v>
      </c>
      <c r="M9" s="114">
        <f t="shared" si="1"/>
        <v>3144.2008729989211</v>
      </c>
      <c r="N9" s="114">
        <f t="shared" si="1"/>
        <v>3234.1390349021999</v>
      </c>
      <c r="O9" s="114">
        <f t="shared" si="1"/>
        <v>3313.7036388705101</v>
      </c>
      <c r="P9" s="143"/>
    </row>
    <row r="10" spans="1:20" ht="15" thickTop="1">
      <c r="P10" s="169"/>
    </row>
    <row r="11" spans="1:20">
      <c r="P11" s="169"/>
    </row>
    <row r="12" spans="1:20" s="1" customFormat="1" ht="5" customHeight="1">
      <c r="B12" s="30"/>
      <c r="C12" s="31"/>
      <c r="D12" s="31"/>
      <c r="E12" s="32"/>
      <c r="F12" s="32"/>
      <c r="G12" s="32"/>
      <c r="H12" s="32"/>
      <c r="I12" s="33"/>
      <c r="J12" s="33"/>
      <c r="K12" s="33"/>
      <c r="L12" s="33"/>
      <c r="M12" s="33"/>
      <c r="N12" s="33"/>
      <c r="O12" s="33"/>
      <c r="P12" s="15"/>
    </row>
    <row r="13" spans="1:20" s="1" customFormat="1">
      <c r="B13" s="2" t="s">
        <v>100</v>
      </c>
      <c r="E13" s="40"/>
      <c r="P13" s="166"/>
      <c r="Q13" s="22"/>
      <c r="R13" s="22"/>
      <c r="S13" s="22"/>
    </row>
    <row r="14" spans="1:20" s="1" customFormat="1">
      <c r="E14" s="40"/>
      <c r="P14" s="15"/>
      <c r="Q14" s="16"/>
      <c r="R14" s="16"/>
      <c r="S14" s="116"/>
      <c r="T14" s="18"/>
    </row>
    <row r="15" spans="1:20" s="1" customFormat="1" ht="15" thickBot="1">
      <c r="B15" s="3" t="s">
        <v>28</v>
      </c>
      <c r="C15" s="3"/>
      <c r="D15" s="3"/>
      <c r="E15" s="3">
        <v>2018</v>
      </c>
      <c r="F15" s="3">
        <f t="shared" ref="F15:O15" si="2">E15+1</f>
        <v>2019</v>
      </c>
      <c r="G15" s="3">
        <f t="shared" si="2"/>
        <v>2020</v>
      </c>
      <c r="H15" s="3">
        <f t="shared" si="2"/>
        <v>2021</v>
      </c>
      <c r="I15" s="3">
        <f t="shared" si="2"/>
        <v>2022</v>
      </c>
      <c r="J15" s="3">
        <f t="shared" si="2"/>
        <v>2023</v>
      </c>
      <c r="K15" s="3">
        <f t="shared" si="2"/>
        <v>2024</v>
      </c>
      <c r="L15" s="3">
        <f t="shared" si="2"/>
        <v>2025</v>
      </c>
      <c r="M15" s="3">
        <f t="shared" si="2"/>
        <v>2026</v>
      </c>
      <c r="N15" s="3">
        <f t="shared" si="2"/>
        <v>2027</v>
      </c>
      <c r="O15" s="3">
        <f t="shared" si="2"/>
        <v>2028</v>
      </c>
      <c r="P15" s="167"/>
      <c r="Q15" s="143"/>
      <c r="R15" s="143"/>
      <c r="S15" s="143"/>
      <c r="T15" s="28"/>
    </row>
    <row r="16" spans="1:20" s="1" customFormat="1">
      <c r="B16" s="1" t="s">
        <v>101</v>
      </c>
      <c r="E16" s="40"/>
      <c r="P16" s="15"/>
      <c r="Q16" s="22"/>
      <c r="R16" s="22"/>
      <c r="S16" s="22"/>
    </row>
    <row r="17" spans="2:16" s="1" customFormat="1">
      <c r="B17" s="1" t="s">
        <v>0</v>
      </c>
      <c r="E17" s="40"/>
      <c r="F17" s="18">
        <f>'EGD_Price cap'!F29</f>
        <v>234.76737751421061</v>
      </c>
      <c r="G17" s="18">
        <f>'EGD_Price cap'!G29</f>
        <v>244.74661145177328</v>
      </c>
      <c r="H17" s="18">
        <f>'EGD_Price cap'!H29</f>
        <v>239.96072379564504</v>
      </c>
      <c r="I17" s="18">
        <f>'EGD_Price cap'!I29</f>
        <v>247.38635027370387</v>
      </c>
      <c r="J17" s="18">
        <f>'EGD_Price cap'!J29</f>
        <v>256.17318869383655</v>
      </c>
      <c r="K17" s="18">
        <f>'EGD_Price cap'!K29</f>
        <v>272.08765379097701</v>
      </c>
      <c r="L17" s="18">
        <f>'EGD_Price cap'!L29</f>
        <v>278.45242963773177</v>
      </c>
      <c r="M17" s="18">
        <f>'EGD_Price cap'!M29</f>
        <v>303.92892748872532</v>
      </c>
      <c r="N17" s="18">
        <f>'EGD_Price cap'!N29</f>
        <v>309.07030818166118</v>
      </c>
      <c r="O17" s="18">
        <f>'EGD_Price cap'!O29</f>
        <v>316.02692426008684</v>
      </c>
      <c r="P17" s="18"/>
    </row>
    <row r="18" spans="2:16" s="1" customFormat="1">
      <c r="B18" s="1" t="s">
        <v>93</v>
      </c>
      <c r="E18" s="40"/>
      <c r="F18" s="129">
        <f>'UGL Price cap'!F30</f>
        <v>207.2134992657526</v>
      </c>
      <c r="G18" s="129">
        <f>'UGL Price cap'!G30</f>
        <v>207.92365546007886</v>
      </c>
      <c r="H18" s="129">
        <f>'UGL Price cap'!H30</f>
        <v>210.30184107838426</v>
      </c>
      <c r="I18" s="129">
        <f>'UGL Price cap'!I30</f>
        <v>215.21758072295023</v>
      </c>
      <c r="J18" s="129">
        <f>'UGL Price cap'!J30</f>
        <v>220.3496026252389</v>
      </c>
      <c r="K18" s="129">
        <f>'UGL Price cap'!K30</f>
        <v>228.38487349448906</v>
      </c>
      <c r="L18" s="129">
        <f>'UGL Price cap'!L30</f>
        <v>238.32432069899039</v>
      </c>
      <c r="M18" s="129">
        <f>'UGL Price cap'!M30</f>
        <v>241.75248203978447</v>
      </c>
      <c r="N18" s="129">
        <f>'UGL Price cap'!N30</f>
        <v>247.36447626334115</v>
      </c>
      <c r="O18" s="129">
        <f>'UGL Price cap'!O30</f>
        <v>246.75876823106435</v>
      </c>
      <c r="P18" s="16"/>
    </row>
    <row r="19" spans="2:16" s="2" customFormat="1">
      <c r="B19" s="2" t="s">
        <v>102</v>
      </c>
      <c r="E19" s="84"/>
      <c r="F19" s="117">
        <f>SUM(F17:F18)</f>
        <v>441.98087677996318</v>
      </c>
      <c r="G19" s="117">
        <f t="shared" ref="G19:O19" si="3">SUM(G17:G18)</f>
        <v>452.67026691185214</v>
      </c>
      <c r="H19" s="117">
        <f t="shared" si="3"/>
        <v>450.26256487402929</v>
      </c>
      <c r="I19" s="117">
        <f t="shared" si="3"/>
        <v>462.60393099665407</v>
      </c>
      <c r="J19" s="117">
        <f t="shared" si="3"/>
        <v>476.52279131907545</v>
      </c>
      <c r="K19" s="117">
        <f t="shared" si="3"/>
        <v>500.47252728546607</v>
      </c>
      <c r="L19" s="117">
        <f t="shared" si="3"/>
        <v>516.77675033672222</v>
      </c>
      <c r="M19" s="117">
        <f t="shared" si="3"/>
        <v>545.68140952850979</v>
      </c>
      <c r="N19" s="117">
        <f t="shared" si="3"/>
        <v>556.43478444500238</v>
      </c>
      <c r="O19" s="117">
        <f t="shared" si="3"/>
        <v>562.78569249115117</v>
      </c>
      <c r="P19" s="117"/>
    </row>
    <row r="20" spans="2:16" s="1" customFormat="1" ht="6.5" customHeight="1">
      <c r="E20" s="40"/>
      <c r="F20" s="18"/>
    </row>
    <row r="21" spans="2:16" s="1" customFormat="1">
      <c r="B21" s="2" t="s">
        <v>103</v>
      </c>
      <c r="E21" s="40"/>
    </row>
    <row r="22" spans="2:16" s="1" customFormat="1">
      <c r="B22" s="1" t="s">
        <v>98</v>
      </c>
      <c r="E22" s="40"/>
      <c r="F22" s="118">
        <v>0.7727750912000001</v>
      </c>
      <c r="G22" s="119">
        <v>2.8034579959893327</v>
      </c>
      <c r="H22" s="119">
        <v>3.112564645802669</v>
      </c>
      <c r="I22" s="119">
        <v>-2.1669830350080002</v>
      </c>
      <c r="J22" s="119">
        <v>-10.321962528192003</v>
      </c>
      <c r="K22" s="119">
        <v>-15.698512432768002</v>
      </c>
      <c r="L22" s="119">
        <v>-17.078756659648004</v>
      </c>
      <c r="M22" s="119">
        <v>-16.737825886528</v>
      </c>
      <c r="N22" s="119">
        <v>-16.396895113408</v>
      </c>
      <c r="O22" s="120">
        <v>-16.055964340288003</v>
      </c>
      <c r="P22" s="116"/>
    </row>
    <row r="23" spans="2:16" s="1" customFormat="1">
      <c r="B23" s="1" t="s">
        <v>104</v>
      </c>
      <c r="E23" s="40"/>
      <c r="F23" s="121">
        <v>2.2050000000000001</v>
      </c>
      <c r="G23" s="124">
        <v>27.93</v>
      </c>
      <c r="H23" s="124">
        <v>46.305</v>
      </c>
      <c r="I23" s="124">
        <v>51.449999999999996</v>
      </c>
      <c r="J23" s="124">
        <v>59.534999999999997</v>
      </c>
      <c r="K23" s="124">
        <v>62.475000000000001</v>
      </c>
      <c r="L23" s="124">
        <v>62.475000000000001</v>
      </c>
      <c r="M23" s="124">
        <v>62.475000000000001</v>
      </c>
      <c r="N23" s="124">
        <v>62.475000000000001</v>
      </c>
      <c r="O23" s="122">
        <v>62.475000000000001</v>
      </c>
      <c r="P23" s="116"/>
    </row>
    <row r="24" spans="2:16" s="2" customFormat="1">
      <c r="B24" s="70" t="s">
        <v>99</v>
      </c>
      <c r="E24" s="84"/>
      <c r="F24" s="117">
        <f>SUM(F22:F23)</f>
        <v>2.9777750912000003</v>
      </c>
      <c r="G24" s="117">
        <f t="shared" ref="G24:O24" si="4">SUM(G22:G23)</f>
        <v>30.733457995989333</v>
      </c>
      <c r="H24" s="117">
        <f t="shared" si="4"/>
        <v>49.41756464580267</v>
      </c>
      <c r="I24" s="117">
        <f t="shared" si="4"/>
        <v>49.283016964991994</v>
      </c>
      <c r="J24" s="117">
        <f t="shared" si="4"/>
        <v>49.213037471807993</v>
      </c>
      <c r="K24" s="117">
        <f t="shared" si="4"/>
        <v>46.776487567231996</v>
      </c>
      <c r="L24" s="117">
        <f t="shared" si="4"/>
        <v>45.396243340352001</v>
      </c>
      <c r="M24" s="117">
        <f t="shared" si="4"/>
        <v>45.737174113472001</v>
      </c>
      <c r="N24" s="117">
        <f t="shared" si="4"/>
        <v>46.078104886592001</v>
      </c>
      <c r="O24" s="117">
        <f t="shared" si="4"/>
        <v>46.419035659711994</v>
      </c>
      <c r="P24" s="117"/>
    </row>
    <row r="25" spans="2:16" s="1" customFormat="1" ht="6.5" customHeight="1">
      <c r="E25" s="40"/>
    </row>
    <row r="26" spans="2:16" s="2" customFormat="1">
      <c r="B26" s="2" t="s">
        <v>105</v>
      </c>
      <c r="E26" s="84"/>
      <c r="F26" s="117">
        <f>F24+F19</f>
        <v>444.95865187116317</v>
      </c>
      <c r="G26" s="117">
        <f t="shared" ref="G26:O26" si="5">G24+G19</f>
        <v>483.40372490784148</v>
      </c>
      <c r="H26" s="117">
        <f t="shared" si="5"/>
        <v>499.68012951983195</v>
      </c>
      <c r="I26" s="117">
        <f t="shared" si="5"/>
        <v>511.88694796164606</v>
      </c>
      <c r="J26" s="117">
        <f t="shared" si="5"/>
        <v>525.73582879088349</v>
      </c>
      <c r="K26" s="117">
        <f t="shared" si="5"/>
        <v>547.24901485269811</v>
      </c>
      <c r="L26" s="117">
        <f t="shared" si="5"/>
        <v>562.17299367707426</v>
      </c>
      <c r="M26" s="117">
        <f t="shared" si="5"/>
        <v>591.41858364198174</v>
      </c>
      <c r="N26" s="117">
        <f t="shared" si="5"/>
        <v>602.51288933159435</v>
      </c>
      <c r="O26" s="117">
        <f t="shared" si="5"/>
        <v>609.20472815086316</v>
      </c>
      <c r="P26" s="117"/>
    </row>
    <row r="27" spans="2:16" s="1" customFormat="1">
      <c r="B27" s="1" t="s">
        <v>106</v>
      </c>
      <c r="E27" s="40"/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/>
    </row>
    <row r="28" spans="2:16" s="1" customFormat="1" ht="15" thickBot="1">
      <c r="B28" s="68" t="s">
        <v>107</v>
      </c>
      <c r="C28" s="123"/>
      <c r="D28" s="123"/>
      <c r="E28" s="53"/>
      <c r="F28" s="114">
        <f>SUM(F26:F27)</f>
        <v>444.95865187116317</v>
      </c>
      <c r="G28" s="114">
        <f t="shared" ref="G28:O28" si="6">SUM(G26:G27)</f>
        <v>483.40372490784148</v>
      </c>
      <c r="H28" s="114">
        <f t="shared" si="6"/>
        <v>499.68012951983195</v>
      </c>
      <c r="I28" s="114">
        <f t="shared" si="6"/>
        <v>511.88694796164606</v>
      </c>
      <c r="J28" s="114">
        <f t="shared" si="6"/>
        <v>525.73582879088349</v>
      </c>
      <c r="K28" s="114">
        <f t="shared" si="6"/>
        <v>547.24901485269811</v>
      </c>
      <c r="L28" s="114">
        <f t="shared" si="6"/>
        <v>562.17299367707426</v>
      </c>
      <c r="M28" s="114">
        <f t="shared" si="6"/>
        <v>591.41858364198174</v>
      </c>
      <c r="N28" s="114">
        <f t="shared" si="6"/>
        <v>602.51288933159435</v>
      </c>
      <c r="O28" s="114">
        <f t="shared" si="6"/>
        <v>609.20472815086316</v>
      </c>
      <c r="P28" s="143"/>
    </row>
    <row r="29" spans="2:16" s="1" customFormat="1" ht="15" thickTop="1">
      <c r="F29" s="40"/>
    </row>
    <row r="30" spans="2:16" s="1" customFormat="1">
      <c r="F30" s="40"/>
      <c r="G30" s="18"/>
    </row>
    <row r="31" spans="2:16" s="1" customFormat="1">
      <c r="F31" s="40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R79"/>
  <sheetViews>
    <sheetView showGridLines="0" topLeftCell="A46" zoomScale="75" zoomScaleNormal="75" zoomScalePageLayoutView="75" workbookViewId="0">
      <selection activeCell="R49" sqref="R49"/>
    </sheetView>
  </sheetViews>
  <sheetFormatPr baseColWidth="10" defaultColWidth="8.83203125" defaultRowHeight="14" x14ac:dyDescent="0"/>
  <cols>
    <col min="1" max="1" width="1.5" style="1" customWidth="1"/>
    <col min="2" max="2" width="2.1640625" style="1" customWidth="1"/>
    <col min="3" max="3" width="4.5" style="1" customWidth="1"/>
    <col min="4" max="4" width="37.33203125" style="1" customWidth="1"/>
    <col min="5" max="5" width="8.83203125" style="1" customWidth="1"/>
    <col min="6" max="6" width="9.5" style="1" bestFit="1" customWidth="1"/>
    <col min="7" max="11" width="8" style="1" bestFit="1" customWidth="1"/>
    <col min="12" max="12" width="8" style="1" customWidth="1"/>
    <col min="13" max="15" width="8" style="1" bestFit="1" customWidth="1"/>
    <col min="16" max="16" width="20.5" style="1" bestFit="1" customWidth="1"/>
    <col min="17" max="16384" width="8.83203125" style="1"/>
  </cols>
  <sheetData>
    <row r="1" spans="2:16">
      <c r="C1" s="2" t="s">
        <v>0</v>
      </c>
    </row>
    <row r="2" spans="2:16">
      <c r="C2" s="2"/>
      <c r="P2" s="151" t="s">
        <v>125</v>
      </c>
    </row>
    <row r="3" spans="2:16">
      <c r="C3" s="2" t="s">
        <v>61</v>
      </c>
      <c r="P3" s="153" t="s">
        <v>133</v>
      </c>
    </row>
    <row r="4" spans="2:16">
      <c r="B4" s="34"/>
      <c r="C4" s="35"/>
      <c r="D4" s="36"/>
      <c r="E4" s="36"/>
      <c r="F4" s="36"/>
      <c r="G4" s="37"/>
      <c r="H4" s="37"/>
    </row>
    <row r="5" spans="2:16" ht="15" thickBot="1">
      <c r="B5" s="2"/>
      <c r="C5" s="3" t="s">
        <v>28</v>
      </c>
      <c r="D5" s="3"/>
      <c r="E5" s="3"/>
      <c r="F5" s="3">
        <v>2019</v>
      </c>
      <c r="G5" s="3">
        <f t="shared" ref="G5:O5" si="0">F5+1</f>
        <v>2020</v>
      </c>
      <c r="H5" s="3">
        <f t="shared" si="0"/>
        <v>2021</v>
      </c>
      <c r="I5" s="3">
        <f t="shared" si="0"/>
        <v>2022</v>
      </c>
      <c r="J5" s="3">
        <f t="shared" si="0"/>
        <v>2023</v>
      </c>
      <c r="K5" s="3">
        <f t="shared" si="0"/>
        <v>2024</v>
      </c>
      <c r="L5" s="3">
        <f t="shared" si="0"/>
        <v>2025</v>
      </c>
      <c r="M5" s="3">
        <f t="shared" si="0"/>
        <v>2026</v>
      </c>
      <c r="N5" s="3">
        <f t="shared" si="0"/>
        <v>2027</v>
      </c>
      <c r="O5" s="3">
        <f t="shared" si="0"/>
        <v>2028</v>
      </c>
    </row>
    <row r="7" spans="2:16">
      <c r="C7" s="21" t="s">
        <v>62</v>
      </c>
    </row>
    <row r="8" spans="2:16">
      <c r="C8" s="75" t="s">
        <v>63</v>
      </c>
      <c r="D8" s="75"/>
      <c r="E8" s="75"/>
      <c r="F8" s="76">
        <v>1232.7954661395145</v>
      </c>
      <c r="G8" s="8"/>
      <c r="H8" s="8"/>
      <c r="I8" s="8"/>
      <c r="J8" s="8"/>
      <c r="K8" s="8"/>
      <c r="L8" s="8"/>
      <c r="M8" s="8"/>
      <c r="N8" s="8"/>
      <c r="O8" s="8"/>
      <c r="P8" s="165"/>
    </row>
    <row r="9" spans="2:16">
      <c r="C9" s="77" t="s">
        <v>64</v>
      </c>
      <c r="D9" s="75"/>
      <c r="E9" s="75"/>
      <c r="F9" s="78">
        <v>-5</v>
      </c>
      <c r="G9" s="8"/>
      <c r="H9" s="8"/>
      <c r="I9" s="8"/>
      <c r="J9" s="8"/>
      <c r="K9" s="8"/>
      <c r="L9" s="8"/>
      <c r="M9" s="8"/>
      <c r="N9" s="8"/>
      <c r="O9" s="8"/>
      <c r="P9" s="165"/>
    </row>
    <row r="10" spans="2:16">
      <c r="C10" s="77" t="s">
        <v>11</v>
      </c>
      <c r="D10" s="75"/>
      <c r="E10" s="75"/>
      <c r="F10" s="76">
        <v>-67.554086999999996</v>
      </c>
      <c r="G10" s="8"/>
      <c r="H10" s="8"/>
      <c r="I10" s="8"/>
      <c r="J10" s="8"/>
      <c r="K10" s="8"/>
      <c r="L10" s="8"/>
      <c r="M10" s="8"/>
      <c r="N10" s="8"/>
      <c r="O10" s="8"/>
      <c r="P10" s="165"/>
    </row>
    <row r="11" spans="2:16">
      <c r="C11" s="77" t="s">
        <v>65</v>
      </c>
      <c r="D11" s="75"/>
      <c r="E11" s="75"/>
      <c r="F11" s="79">
        <v>0</v>
      </c>
      <c r="G11" s="8"/>
      <c r="H11" s="8"/>
      <c r="I11" s="8"/>
      <c r="J11" s="8"/>
      <c r="K11" s="8"/>
      <c r="L11" s="8"/>
      <c r="M11" s="8"/>
      <c r="N11" s="8"/>
      <c r="O11" s="8"/>
      <c r="P11" s="165"/>
    </row>
    <row r="12" spans="2:16">
      <c r="C12" s="80" t="s">
        <v>66</v>
      </c>
      <c r="D12" s="75"/>
      <c r="E12" s="75"/>
      <c r="F12" s="76">
        <f>SUM(F8:F11)</f>
        <v>1160.2413791395145</v>
      </c>
      <c r="G12" s="8"/>
      <c r="H12" s="8"/>
      <c r="I12" s="8"/>
      <c r="J12" s="8"/>
      <c r="K12" s="8"/>
      <c r="L12" s="8"/>
      <c r="M12" s="8"/>
      <c r="N12" s="8"/>
      <c r="O12" s="8"/>
      <c r="P12" s="165"/>
    </row>
    <row r="13" spans="2:16" ht="6.5" customHeight="1">
      <c r="C13" s="81"/>
      <c r="F13" s="8"/>
      <c r="G13" s="8"/>
      <c r="H13" s="8"/>
      <c r="I13" s="8"/>
      <c r="J13" s="8"/>
      <c r="K13" s="8"/>
      <c r="L13" s="8"/>
      <c r="M13" s="8"/>
      <c r="N13" s="8"/>
      <c r="O13" s="8"/>
      <c r="P13" s="165"/>
    </row>
    <row r="14" spans="2:16">
      <c r="C14" s="81" t="s">
        <v>67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165"/>
    </row>
    <row r="15" spans="2:16">
      <c r="C15" s="82" t="s">
        <v>68</v>
      </c>
      <c r="F15" s="27">
        <f>EGD_standalone!F8</f>
        <v>1.7299999999999999E-2</v>
      </c>
      <c r="G15" s="27">
        <f>EGD_standalone!G8</f>
        <v>1.7299999999999999E-2</v>
      </c>
      <c r="H15" s="27">
        <f>EGD_standalone!H8</f>
        <v>1.7299999999999999E-2</v>
      </c>
      <c r="I15" s="27">
        <f>EGD_standalone!I8</f>
        <v>1.7299999999999999E-2</v>
      </c>
      <c r="J15" s="27">
        <f>EGD_standalone!J8</f>
        <v>1.7299999999999999E-2</v>
      </c>
      <c r="K15" s="27">
        <f>EGD_standalone!K8</f>
        <v>1.7299999999999999E-2</v>
      </c>
      <c r="L15" s="27">
        <f>EGD_standalone!L8</f>
        <v>1.7299999999999999E-2</v>
      </c>
      <c r="M15" s="27">
        <f>EGD_standalone!M8</f>
        <v>1.7299999999999999E-2</v>
      </c>
      <c r="N15" s="27">
        <f>EGD_standalone!N8</f>
        <v>1.7299999999999999E-2</v>
      </c>
      <c r="O15" s="27">
        <f>EGD_standalone!O8</f>
        <v>1.7299999999999999E-2</v>
      </c>
      <c r="P15" s="170"/>
    </row>
    <row r="16" spans="2:16">
      <c r="C16" s="82" t="s">
        <v>69</v>
      </c>
      <c r="F16" s="27">
        <f>F58</f>
        <v>9.2563069268627451E-3</v>
      </c>
      <c r="G16" s="27">
        <f t="shared" ref="G16:O16" si="1">G58</f>
        <v>9.2369540191121757E-3</v>
      </c>
      <c r="H16" s="27">
        <f t="shared" si="1"/>
        <v>8.3920355711180061E-3</v>
      </c>
      <c r="I16" s="27">
        <f t="shared" si="1"/>
        <v>8.6629247162950396E-3</v>
      </c>
      <c r="J16" s="27">
        <f t="shared" si="1"/>
        <v>8.4064053771821801E-3</v>
      </c>
      <c r="K16" s="27">
        <f t="shared" si="1"/>
        <v>8.1947774986723676E-3</v>
      </c>
      <c r="L16" s="27">
        <f t="shared" si="1"/>
        <v>8.0162687740614746E-3</v>
      </c>
      <c r="M16" s="27">
        <f t="shared" si="1"/>
        <v>7.8323105625592859E-3</v>
      </c>
      <c r="N16" s="27">
        <f t="shared" si="1"/>
        <v>7.6716858087282347E-3</v>
      </c>
      <c r="O16" s="27">
        <f t="shared" si="1"/>
        <v>7.5481549223344047E-3</v>
      </c>
      <c r="P16" s="170"/>
    </row>
    <row r="17" spans="2:16" ht="6.5" customHeight="1">
      <c r="C17" s="83"/>
      <c r="F17" s="8"/>
      <c r="G17" s="8"/>
      <c r="H17" s="8"/>
      <c r="I17" s="8"/>
      <c r="J17" s="8"/>
      <c r="K17" s="8"/>
      <c r="L17" s="8"/>
      <c r="M17" s="8"/>
      <c r="N17" s="8"/>
      <c r="O17" s="8"/>
      <c r="P17" s="165"/>
    </row>
    <row r="18" spans="2:16" s="2" customFormat="1">
      <c r="C18" s="2" t="s">
        <v>70</v>
      </c>
      <c r="F18" s="85">
        <f>F12*(1+(F$16+F$15))</f>
        <v>1191.0531053131901</v>
      </c>
      <c r="G18" s="85">
        <f>F18*(1+(G$16+G$15))</f>
        <v>1222.6600268032071</v>
      </c>
      <c r="H18" s="85">
        <f t="shared" ref="H18:O18" si="2">G18*(1+(H$16+H$15))</f>
        <v>1254.0726517032192</v>
      </c>
      <c r="I18" s="85">
        <f t="shared" si="2"/>
        <v>1286.6320455481546</v>
      </c>
      <c r="J18" s="85">
        <f t="shared" si="2"/>
        <v>1319.7067304822888</v>
      </c>
      <c r="K18" s="85">
        <f t="shared" si="2"/>
        <v>1353.3523599394352</v>
      </c>
      <c r="L18" s="85">
        <f t="shared" si="2"/>
        <v>1387.6141920296725</v>
      </c>
      <c r="M18" s="85">
        <f t="shared" si="2"/>
        <v>1422.488142844777</v>
      </c>
      <c r="N18" s="85">
        <f t="shared" si="2"/>
        <v>1458.0100698145382</v>
      </c>
      <c r="O18" s="85">
        <f t="shared" si="2"/>
        <v>1494.2389299076135</v>
      </c>
      <c r="P18" s="85"/>
    </row>
    <row r="19" spans="2:16">
      <c r="C19" s="86" t="s">
        <v>71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165"/>
    </row>
    <row r="20" spans="2:16">
      <c r="C20" s="82" t="s">
        <v>11</v>
      </c>
      <c r="F20" s="87">
        <v>66.421773000000002</v>
      </c>
      <c r="G20" s="74">
        <v>67.757375999999994</v>
      </c>
      <c r="H20" s="74">
        <v>67.757375999999994</v>
      </c>
      <c r="I20" s="74">
        <v>68.9295786048</v>
      </c>
      <c r="J20" s="74">
        <v>70.122060314663045</v>
      </c>
      <c r="K20" s="74">
        <v>71.335171958106727</v>
      </c>
      <c r="L20" s="74">
        <v>72.56927043298198</v>
      </c>
      <c r="M20" s="74">
        <v>73.824718811472579</v>
      </c>
      <c r="N20" s="74">
        <v>75.101886446911067</v>
      </c>
      <c r="O20" s="88">
        <v>76.401149082442629</v>
      </c>
      <c r="P20" s="171"/>
    </row>
    <row r="21" spans="2:16">
      <c r="C21" s="83" t="s">
        <v>65</v>
      </c>
      <c r="F21" s="89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90">
        <v>0</v>
      </c>
      <c r="P21" s="171"/>
    </row>
    <row r="22" spans="2:16">
      <c r="C22" s="82" t="s">
        <v>72</v>
      </c>
      <c r="F22" s="91">
        <v>4.7691643553678542</v>
      </c>
      <c r="G22" s="129">
        <v>19.229391704911084</v>
      </c>
      <c r="H22" s="129">
        <v>31.975812076005685</v>
      </c>
      <c r="I22" s="129">
        <v>40.303226367465498</v>
      </c>
      <c r="J22" s="129">
        <v>48.220321581111797</v>
      </c>
      <c r="K22" s="129">
        <v>53.589520332544545</v>
      </c>
      <c r="L22" s="129">
        <v>60.063214754618016</v>
      </c>
      <c r="M22" s="129">
        <v>76.657074507045948</v>
      </c>
      <c r="N22" s="129">
        <v>92.090280079465941</v>
      </c>
      <c r="O22" s="92">
        <v>97.227484322931986</v>
      </c>
      <c r="P22" s="171"/>
    </row>
    <row r="23" spans="2:16">
      <c r="C23" s="1" t="s">
        <v>73</v>
      </c>
      <c r="F23" s="8">
        <f t="shared" ref="F23:O23" si="3">SUM(F20:F22)</f>
        <v>71.190937355367851</v>
      </c>
      <c r="G23" s="8">
        <f t="shared" si="3"/>
        <v>86.986767704911074</v>
      </c>
      <c r="H23" s="8">
        <f t="shared" si="3"/>
        <v>99.733188076005675</v>
      </c>
      <c r="I23" s="8">
        <f t="shared" si="3"/>
        <v>109.2328049722655</v>
      </c>
      <c r="J23" s="8">
        <f t="shared" si="3"/>
        <v>118.34238189577485</v>
      </c>
      <c r="K23" s="8">
        <f t="shared" si="3"/>
        <v>124.92469229065128</v>
      </c>
      <c r="L23" s="8">
        <f t="shared" si="3"/>
        <v>132.6324851876</v>
      </c>
      <c r="M23" s="8">
        <f t="shared" si="3"/>
        <v>150.48179331851853</v>
      </c>
      <c r="N23" s="8">
        <f t="shared" si="3"/>
        <v>167.19216652637701</v>
      </c>
      <c r="O23" s="8">
        <f t="shared" si="3"/>
        <v>173.62863340537461</v>
      </c>
      <c r="P23" s="165"/>
    </row>
    <row r="24" spans="2:16" ht="6.5" customHeight="1">
      <c r="F24" s="8"/>
      <c r="G24" s="8"/>
      <c r="H24" s="8"/>
      <c r="I24" s="8"/>
      <c r="J24" s="8"/>
      <c r="K24" s="8"/>
      <c r="L24" s="8"/>
      <c r="M24" s="8"/>
      <c r="N24" s="8"/>
      <c r="O24" s="8"/>
      <c r="P24" s="165"/>
    </row>
    <row r="25" spans="2:16">
      <c r="C25" s="1" t="s">
        <v>38</v>
      </c>
      <c r="F25" s="8">
        <v>42.716679077625528</v>
      </c>
      <c r="G25" s="8">
        <v>43.098371710913547</v>
      </c>
      <c r="H25" s="8">
        <v>43.520470760480265</v>
      </c>
      <c r="I25" s="8">
        <v>43.88158679322698</v>
      </c>
      <c r="J25" s="8">
        <v>44.284977175334461</v>
      </c>
      <c r="K25" s="8">
        <v>44.731822567036993</v>
      </c>
      <c r="L25" s="8">
        <v>45.2</v>
      </c>
      <c r="M25" s="8">
        <v>45.760943884613908</v>
      </c>
      <c r="N25" s="8">
        <v>46.345930873635169</v>
      </c>
      <c r="O25" s="8">
        <v>46.979799839353383</v>
      </c>
      <c r="P25" s="165"/>
    </row>
    <row r="26" spans="2:16" ht="6.5" customHeight="1">
      <c r="F26" s="8"/>
      <c r="G26" s="8"/>
      <c r="H26" s="8"/>
      <c r="I26" s="8"/>
      <c r="J26" s="8"/>
      <c r="K26" s="8"/>
      <c r="L26" s="8"/>
      <c r="M26" s="8"/>
      <c r="N26" s="8"/>
      <c r="O26" s="8"/>
      <c r="P26" s="165"/>
    </row>
    <row r="27" spans="2:16" s="2" customFormat="1" ht="15" thickBot="1">
      <c r="C27" s="52" t="s">
        <v>74</v>
      </c>
      <c r="D27" s="68"/>
      <c r="E27" s="68"/>
      <c r="F27" s="73">
        <f t="shared" ref="F27:O27" si="4">F25+F23+F18</f>
        <v>1304.9607217461835</v>
      </c>
      <c r="G27" s="73">
        <f t="shared" si="4"/>
        <v>1352.7451662190317</v>
      </c>
      <c r="H27" s="73">
        <f t="shared" si="4"/>
        <v>1397.3263105397052</v>
      </c>
      <c r="I27" s="73">
        <f t="shared" si="4"/>
        <v>1439.746437313647</v>
      </c>
      <c r="J27" s="73">
        <f t="shared" si="4"/>
        <v>1482.3340895533981</v>
      </c>
      <c r="K27" s="73">
        <f t="shared" si="4"/>
        <v>1523.0088747971236</v>
      </c>
      <c r="L27" s="73">
        <f t="shared" si="4"/>
        <v>1565.4466772172725</v>
      </c>
      <c r="M27" s="73">
        <f t="shared" si="4"/>
        <v>1618.7308800479095</v>
      </c>
      <c r="N27" s="73">
        <f t="shared" si="4"/>
        <v>1671.5481672145504</v>
      </c>
      <c r="O27" s="73">
        <f t="shared" si="4"/>
        <v>1714.8473631523416</v>
      </c>
      <c r="P27" s="172"/>
    </row>
    <row r="28" spans="2:16" s="2" customFormat="1" ht="15" thickTop="1">
      <c r="C28" s="55"/>
      <c r="D28" s="70"/>
      <c r="E28" s="70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172"/>
    </row>
    <row r="29" spans="2:16" s="2" customFormat="1">
      <c r="C29" s="55" t="s">
        <v>41</v>
      </c>
      <c r="D29" s="70"/>
      <c r="E29" s="70"/>
      <c r="F29" s="94">
        <v>234.76737751421061</v>
      </c>
      <c r="G29" s="94">
        <v>244.74661145177328</v>
      </c>
      <c r="H29" s="94">
        <v>239.96072379564504</v>
      </c>
      <c r="I29" s="94">
        <v>247.38635027370387</v>
      </c>
      <c r="J29" s="94">
        <v>256.17318869383655</v>
      </c>
      <c r="K29" s="94">
        <v>272.08765379097701</v>
      </c>
      <c r="L29" s="94">
        <v>278.45242963773177</v>
      </c>
      <c r="M29" s="94">
        <v>303.92892748872532</v>
      </c>
      <c r="N29" s="94">
        <v>309.07030818166118</v>
      </c>
      <c r="O29" s="94">
        <v>316.02692426008684</v>
      </c>
      <c r="P29" s="172"/>
    </row>
    <row r="30" spans="2:16" s="2" customFormat="1">
      <c r="C30" s="55"/>
      <c r="D30" s="70"/>
      <c r="E30" s="70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172"/>
    </row>
    <row r="31" spans="2:16" ht="5" customHeight="1">
      <c r="B31" s="29"/>
      <c r="C31" s="30"/>
      <c r="D31" s="31"/>
      <c r="E31" s="31"/>
      <c r="F31" s="32"/>
      <c r="G31" s="32"/>
      <c r="H31" s="32"/>
      <c r="I31" s="33"/>
      <c r="J31" s="33"/>
      <c r="K31" s="33"/>
      <c r="L31" s="33"/>
      <c r="M31" s="33"/>
      <c r="N31" s="33"/>
      <c r="O31" s="33"/>
      <c r="P31" s="15"/>
    </row>
    <row r="32" spans="2:16" s="15" customFormat="1">
      <c r="B32" s="95" t="s">
        <v>75</v>
      </c>
      <c r="C32" s="96"/>
      <c r="D32" s="97"/>
      <c r="E32" s="97"/>
      <c r="F32" s="98"/>
      <c r="G32" s="98"/>
      <c r="H32" s="98"/>
      <c r="P32" s="166" t="s">
        <v>137</v>
      </c>
    </row>
    <row r="33" spans="2:16" ht="15" thickBot="1">
      <c r="B33" s="3"/>
      <c r="C33" s="3"/>
      <c r="D33" s="3"/>
      <c r="E33" s="3"/>
      <c r="F33" s="3">
        <v>2019</v>
      </c>
      <c r="G33" s="3">
        <f t="shared" ref="G33:O33" si="5">F33+1</f>
        <v>2020</v>
      </c>
      <c r="H33" s="3">
        <f t="shared" si="5"/>
        <v>2021</v>
      </c>
      <c r="I33" s="3">
        <f t="shared" si="5"/>
        <v>2022</v>
      </c>
      <c r="J33" s="3">
        <f t="shared" si="5"/>
        <v>2023</v>
      </c>
      <c r="K33" s="3">
        <f t="shared" si="5"/>
        <v>2024</v>
      </c>
      <c r="L33" s="3">
        <f t="shared" si="5"/>
        <v>2025</v>
      </c>
      <c r="M33" s="3">
        <f t="shared" si="5"/>
        <v>2026</v>
      </c>
      <c r="N33" s="3">
        <f t="shared" si="5"/>
        <v>2027</v>
      </c>
      <c r="O33" s="3">
        <f t="shared" si="5"/>
        <v>2028</v>
      </c>
      <c r="P33" s="167"/>
    </row>
    <row r="34" spans="2:16" s="15" customFormat="1">
      <c r="B34" s="99" t="s">
        <v>76</v>
      </c>
      <c r="C34" s="100"/>
      <c r="D34" s="97"/>
      <c r="E34" s="97"/>
      <c r="F34" s="98"/>
      <c r="G34" s="98"/>
      <c r="H34" s="98"/>
    </row>
    <row r="35" spans="2:16" s="15" customFormat="1">
      <c r="B35" t="s">
        <v>77</v>
      </c>
      <c r="C35" s="100"/>
      <c r="D35" s="97"/>
      <c r="E35" s="97"/>
      <c r="F35" s="98"/>
      <c r="G35" s="98"/>
      <c r="H35" s="98"/>
    </row>
    <row r="36" spans="2:16" s="15" customFormat="1">
      <c r="B36" s="101"/>
      <c r="C36" s="27"/>
      <c r="D36" s="97"/>
      <c r="E36" s="97"/>
      <c r="F36" s="98"/>
      <c r="G36" s="98"/>
      <c r="H36" s="98"/>
    </row>
    <row r="37" spans="2:16" s="15" customFormat="1">
      <c r="D37" s="101" t="s">
        <v>78</v>
      </c>
      <c r="E37" s="139"/>
      <c r="F37" s="102">
        <v>0.1</v>
      </c>
      <c r="G37" s="98"/>
      <c r="H37" s="98"/>
    </row>
    <row r="38" spans="2:16" s="15" customFormat="1">
      <c r="D38" s="101" t="s">
        <v>79</v>
      </c>
      <c r="E38" s="140"/>
      <c r="F38" s="103">
        <v>2018</v>
      </c>
      <c r="G38" s="98"/>
      <c r="H38" s="98"/>
    </row>
    <row r="39" spans="2:16" s="15" customFormat="1">
      <c r="D39" s="101" t="s">
        <v>80</v>
      </c>
      <c r="E39" s="141"/>
      <c r="F39" s="104">
        <v>6246.0999999999976</v>
      </c>
      <c r="G39" s="98"/>
      <c r="H39" s="98"/>
    </row>
    <row r="40" spans="2:16" s="15" customFormat="1">
      <c r="D40" s="101" t="s">
        <v>81</v>
      </c>
      <c r="E40" s="142"/>
      <c r="F40" s="104">
        <v>305.47000000000003</v>
      </c>
      <c r="G40" s="98"/>
      <c r="H40" s="98"/>
    </row>
    <row r="41" spans="2:16" s="15" customFormat="1">
      <c r="D41" s="101"/>
      <c r="E41" s="100"/>
      <c r="F41" s="98"/>
      <c r="G41" s="98"/>
      <c r="H41" s="98"/>
    </row>
    <row r="42" spans="2:16" s="15" customFormat="1">
      <c r="D42" s="101" t="s">
        <v>82</v>
      </c>
      <c r="E42" s="100"/>
      <c r="F42" s="105">
        <f>F58</f>
        <v>9.2563069268627451E-3</v>
      </c>
      <c r="G42" s="105">
        <f t="shared" ref="G42:O42" si="6">G58</f>
        <v>9.2369540191121757E-3</v>
      </c>
      <c r="H42" s="105">
        <f t="shared" si="6"/>
        <v>8.3920355711180061E-3</v>
      </c>
      <c r="I42" s="105">
        <f t="shared" si="6"/>
        <v>8.6629247162950396E-3</v>
      </c>
      <c r="J42" s="105">
        <f t="shared" si="6"/>
        <v>8.4064053771821801E-3</v>
      </c>
      <c r="K42" s="105">
        <f t="shared" si="6"/>
        <v>8.1947774986723676E-3</v>
      </c>
      <c r="L42" s="105">
        <f t="shared" si="6"/>
        <v>8.0162687740614746E-3</v>
      </c>
      <c r="M42" s="105">
        <f t="shared" si="6"/>
        <v>7.8323105625592859E-3</v>
      </c>
      <c r="N42" s="105">
        <f t="shared" si="6"/>
        <v>7.6716858087282347E-3</v>
      </c>
      <c r="O42" s="105">
        <f t="shared" si="6"/>
        <v>7.5481549223344047E-3</v>
      </c>
      <c r="P42" s="105"/>
    </row>
    <row r="43" spans="2:16" s="15" customFormat="1">
      <c r="D43" s="101" t="s">
        <v>83</v>
      </c>
      <c r="E43" s="100"/>
      <c r="F43" s="105">
        <f t="shared" ref="F43:O43" si="7">F15</f>
        <v>1.7299999999999999E-2</v>
      </c>
      <c r="G43" s="105">
        <f t="shared" si="7"/>
        <v>1.7299999999999999E-2</v>
      </c>
      <c r="H43" s="105">
        <f t="shared" si="7"/>
        <v>1.7299999999999999E-2</v>
      </c>
      <c r="I43" s="105">
        <f t="shared" si="7"/>
        <v>1.7299999999999999E-2</v>
      </c>
      <c r="J43" s="105">
        <f t="shared" si="7"/>
        <v>1.7299999999999999E-2</v>
      </c>
      <c r="K43" s="105">
        <f t="shared" si="7"/>
        <v>1.7299999999999999E-2</v>
      </c>
      <c r="L43" s="105">
        <f t="shared" si="7"/>
        <v>1.7299999999999999E-2</v>
      </c>
      <c r="M43" s="105">
        <f t="shared" si="7"/>
        <v>1.7299999999999999E-2</v>
      </c>
      <c r="N43" s="105">
        <f t="shared" si="7"/>
        <v>1.7299999999999999E-2</v>
      </c>
      <c r="O43" s="105">
        <f t="shared" si="7"/>
        <v>1.7299999999999999E-2</v>
      </c>
      <c r="P43" s="105"/>
    </row>
    <row r="44" spans="2:16" s="15" customFormat="1">
      <c r="D44" s="101" t="s">
        <v>84</v>
      </c>
      <c r="E44" s="100"/>
      <c r="F44" s="45">
        <v>1</v>
      </c>
      <c r="G44" s="45">
        <f>+F44+1</f>
        <v>2</v>
      </c>
      <c r="H44" s="45">
        <f t="shared" ref="H44:O44" si="8">+G44+1</f>
        <v>3</v>
      </c>
      <c r="I44" s="45">
        <f t="shared" si="8"/>
        <v>4</v>
      </c>
      <c r="J44" s="45">
        <f t="shared" si="8"/>
        <v>5</v>
      </c>
      <c r="K44" s="45">
        <f t="shared" si="8"/>
        <v>6</v>
      </c>
      <c r="L44" s="45">
        <f t="shared" si="8"/>
        <v>7</v>
      </c>
      <c r="M44" s="45">
        <f t="shared" si="8"/>
        <v>8</v>
      </c>
      <c r="N44" s="45">
        <f t="shared" si="8"/>
        <v>9</v>
      </c>
      <c r="O44" s="45">
        <f t="shared" si="8"/>
        <v>10</v>
      </c>
      <c r="P44" s="45"/>
    </row>
    <row r="45" spans="2:16" s="15" customFormat="1">
      <c r="B45" s="106"/>
      <c r="C45" s="96"/>
      <c r="D45" s="97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</row>
    <row r="46" spans="2:16" s="15" customFormat="1">
      <c r="B46" s="106"/>
      <c r="C46" s="96"/>
      <c r="D46" s="107" t="s">
        <v>85</v>
      </c>
      <c r="E46" s="97"/>
      <c r="F46" s="108">
        <f>1+(($F$39/$F$40)*((F42+F43*(1+F42))*((1+F42)*(1+F43))^(F44-1)))+$F$37</f>
        <v>1.6462846183236195</v>
      </c>
      <c r="G46" s="108">
        <f t="shared" ref="G46:O46" si="9">1+(($F$39/$F$40)*((G42+G43*(1+G42))*((1+G42)*(1+G43))^(G44-1)))+$F$37</f>
        <v>1.6604553322014062</v>
      </c>
      <c r="H46" s="108">
        <f t="shared" si="9"/>
        <v>1.6559593222908382</v>
      </c>
      <c r="I46" s="108">
        <f t="shared" si="9"/>
        <v>1.6768713975635952</v>
      </c>
      <c r="J46" s="108">
        <f t="shared" si="9"/>
        <v>1.6854237320809586</v>
      </c>
      <c r="K46" s="108">
        <f t="shared" si="9"/>
        <v>1.6949320143945226</v>
      </c>
      <c r="L46" s="108">
        <f t="shared" si="9"/>
        <v>1.7052184175969964</v>
      </c>
      <c r="M46" s="108">
        <f t="shared" si="9"/>
        <v>1.7152749256415034</v>
      </c>
      <c r="N46" s="108">
        <f t="shared" si="9"/>
        <v>1.7259434781145688</v>
      </c>
      <c r="O46" s="108">
        <f t="shared" si="9"/>
        <v>1.7377413397927601</v>
      </c>
      <c r="P46" s="108"/>
    </row>
    <row r="47" spans="2:16" s="15" customFormat="1">
      <c r="B47" s="106"/>
      <c r="C47" s="96"/>
      <c r="D47" s="97"/>
      <c r="E47" s="97"/>
      <c r="F47" s="98"/>
      <c r="G47" s="98"/>
      <c r="H47" s="98"/>
    </row>
    <row r="48" spans="2:16" s="15" customFormat="1">
      <c r="B48" s="106"/>
      <c r="C48" s="96"/>
      <c r="D48" s="109" t="s">
        <v>86</v>
      </c>
      <c r="E48" s="110"/>
      <c r="F48" s="104">
        <f>F46*$F$40</f>
        <v>502.89056235931611</v>
      </c>
      <c r="G48" s="104">
        <f>G46*$F$40</f>
        <v>507.21929032756361</v>
      </c>
      <c r="H48" s="104">
        <f t="shared" ref="H48:N48" si="10">H46*$F$40</f>
        <v>505.84589418018237</v>
      </c>
      <c r="I48" s="104">
        <f t="shared" si="10"/>
        <v>512.23390581375145</v>
      </c>
      <c r="J48" s="104">
        <f t="shared" si="10"/>
        <v>514.84638743877053</v>
      </c>
      <c r="K48" s="104">
        <f t="shared" si="10"/>
        <v>517.7508824370949</v>
      </c>
      <c r="L48" s="104">
        <f t="shared" si="10"/>
        <v>520.89307002335454</v>
      </c>
      <c r="M48" s="104">
        <f t="shared" si="10"/>
        <v>523.96503153571007</v>
      </c>
      <c r="N48" s="104">
        <f t="shared" si="10"/>
        <v>527.22395425965738</v>
      </c>
      <c r="O48" s="104">
        <f>O46*$F$40</f>
        <v>530.82784706649443</v>
      </c>
      <c r="P48" s="173"/>
    </row>
    <row r="49" spans="2:18" s="15" customFormat="1">
      <c r="B49" s="106"/>
      <c r="C49" s="96"/>
      <c r="D49" s="97"/>
      <c r="E49" s="97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</row>
    <row r="50" spans="2:18" ht="5" customHeight="1">
      <c r="B50" s="29"/>
      <c r="C50" s="30"/>
      <c r="D50" s="31"/>
      <c r="E50" s="31"/>
      <c r="F50" s="32"/>
      <c r="G50" s="32"/>
      <c r="H50" s="32"/>
      <c r="I50" s="33"/>
      <c r="J50" s="33"/>
      <c r="K50" s="33"/>
      <c r="L50" s="33"/>
      <c r="M50" s="33"/>
      <c r="N50" s="33"/>
      <c r="O50" s="33"/>
      <c r="P50" s="15"/>
    </row>
    <row r="51" spans="2:18">
      <c r="C51" s="2" t="s">
        <v>87</v>
      </c>
      <c r="P51" s="166" t="s">
        <v>138</v>
      </c>
    </row>
    <row r="52" spans="2:18">
      <c r="P52" s="15"/>
    </row>
    <row r="53" spans="2:18" ht="15" thickBot="1">
      <c r="B53" s="2"/>
      <c r="C53" s="3" t="s">
        <v>28</v>
      </c>
      <c r="D53" s="3"/>
      <c r="E53" s="3"/>
      <c r="F53" s="3">
        <v>2019</v>
      </c>
      <c r="G53" s="3">
        <f t="shared" ref="G53:O53" si="11">F53+1</f>
        <v>2020</v>
      </c>
      <c r="H53" s="3">
        <f t="shared" si="11"/>
        <v>2021</v>
      </c>
      <c r="I53" s="3">
        <f t="shared" si="11"/>
        <v>2022</v>
      </c>
      <c r="J53" s="3">
        <f t="shared" si="11"/>
        <v>2023</v>
      </c>
      <c r="K53" s="3">
        <f t="shared" si="11"/>
        <v>2024</v>
      </c>
      <c r="L53" s="3">
        <f t="shared" si="11"/>
        <v>2025</v>
      </c>
      <c r="M53" s="3">
        <f t="shared" si="11"/>
        <v>2026</v>
      </c>
      <c r="N53" s="3">
        <f t="shared" si="11"/>
        <v>2027</v>
      </c>
      <c r="O53" s="3">
        <f t="shared" si="11"/>
        <v>2028</v>
      </c>
      <c r="P53" s="167"/>
    </row>
    <row r="54" spans="2:18">
      <c r="C54" s="1" t="s">
        <v>88</v>
      </c>
      <c r="F54" s="18">
        <f>F8+F9</f>
        <v>1227.7954661395145</v>
      </c>
      <c r="P54" s="15"/>
    </row>
    <row r="55" spans="2:18">
      <c r="C55" s="1" t="s">
        <v>89</v>
      </c>
      <c r="F55" s="17">
        <v>11.364851677997876</v>
      </c>
      <c r="G55" s="17">
        <v>11.446066877988869</v>
      </c>
      <c r="H55" s="17">
        <v>10.49513326583201</v>
      </c>
      <c r="I55" s="17">
        <v>10.924827509704301</v>
      </c>
      <c r="J55" s="17">
        <v>10.693169110485087</v>
      </c>
      <c r="K55" s="17">
        <v>10.51160101520054</v>
      </c>
      <c r="L55" s="17">
        <v>10.366888209602621</v>
      </c>
      <c r="M55" s="17">
        <v>10.210184414543619</v>
      </c>
      <c r="N55" s="17">
        <v>10.079123632964865</v>
      </c>
      <c r="O55" s="17">
        <v>9.9929065295855253</v>
      </c>
      <c r="P55" s="171"/>
      <c r="R55" s="43"/>
    </row>
    <row r="56" spans="2:18">
      <c r="C56" s="1" t="s">
        <v>90</v>
      </c>
      <c r="F56" s="18">
        <f>F54+F55</f>
        <v>1239.1603178175124</v>
      </c>
      <c r="G56" s="18">
        <f>F56+G55</f>
        <v>1250.6063846955012</v>
      </c>
      <c r="H56" s="18">
        <f t="shared" ref="H56:O56" si="12">G56+H55</f>
        <v>1261.1015179613332</v>
      </c>
      <c r="I56" s="18">
        <f t="shared" si="12"/>
        <v>1272.0263454710375</v>
      </c>
      <c r="J56" s="18">
        <f t="shared" si="12"/>
        <v>1282.7195145815226</v>
      </c>
      <c r="K56" s="18">
        <f t="shared" si="12"/>
        <v>1293.2311155967232</v>
      </c>
      <c r="L56" s="18">
        <f t="shared" si="12"/>
        <v>1303.5980038063258</v>
      </c>
      <c r="M56" s="18">
        <f t="shared" si="12"/>
        <v>1313.8081882208694</v>
      </c>
      <c r="N56" s="18">
        <f t="shared" si="12"/>
        <v>1323.8873118538343</v>
      </c>
      <c r="O56" s="18">
        <f t="shared" si="12"/>
        <v>1333.8802183834198</v>
      </c>
      <c r="P56" s="111"/>
    </row>
    <row r="57" spans="2:18" ht="5.5" customHeight="1"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11"/>
    </row>
    <row r="58" spans="2:18" s="2" customFormat="1">
      <c r="C58" s="2" t="s">
        <v>91</v>
      </c>
      <c r="F58" s="112">
        <f>F56/F54-1</f>
        <v>9.2563069268627451E-3</v>
      </c>
      <c r="G58" s="112">
        <f>G56/F56-1</f>
        <v>9.2369540191121757E-3</v>
      </c>
      <c r="H58" s="112">
        <f t="shared" ref="H58:O58" si="13">H56/G56-1</f>
        <v>8.3920355711180061E-3</v>
      </c>
      <c r="I58" s="112">
        <f t="shared" si="13"/>
        <v>8.6629247162950396E-3</v>
      </c>
      <c r="J58" s="112">
        <f t="shared" si="13"/>
        <v>8.4064053771821801E-3</v>
      </c>
      <c r="K58" s="112">
        <f t="shared" si="13"/>
        <v>8.1947774986723676E-3</v>
      </c>
      <c r="L58" s="112">
        <f t="shared" si="13"/>
        <v>8.0162687740614746E-3</v>
      </c>
      <c r="M58" s="112">
        <f t="shared" si="13"/>
        <v>7.8323105625592859E-3</v>
      </c>
      <c r="N58" s="112">
        <f t="shared" si="13"/>
        <v>7.6716858087282347E-3</v>
      </c>
      <c r="O58" s="112">
        <f t="shared" si="13"/>
        <v>7.5481549223344047E-3</v>
      </c>
      <c r="P58" s="179"/>
    </row>
    <row r="59" spans="2:18"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170"/>
    </row>
    <row r="60" spans="2:18" ht="5" customHeight="1">
      <c r="B60" s="29"/>
      <c r="C60" s="30"/>
      <c r="D60" s="31"/>
      <c r="E60" s="31"/>
      <c r="F60" s="32"/>
      <c r="G60" s="32"/>
      <c r="H60" s="32"/>
      <c r="I60" s="33"/>
      <c r="J60" s="33"/>
      <c r="K60" s="33"/>
      <c r="L60" s="33"/>
      <c r="M60" s="33"/>
      <c r="N60" s="33"/>
      <c r="O60" s="33"/>
      <c r="P60" s="15"/>
    </row>
    <row r="61" spans="2:18">
      <c r="C61" s="2" t="s">
        <v>95</v>
      </c>
      <c r="P61" s="166" t="s">
        <v>139</v>
      </c>
    </row>
    <row r="62" spans="2:18">
      <c r="B62" s="34"/>
      <c r="C62" s="35"/>
      <c r="D62" s="36"/>
      <c r="E62" s="36"/>
      <c r="F62" s="36"/>
      <c r="G62" s="37"/>
      <c r="H62" s="37"/>
      <c r="P62" s="15"/>
    </row>
    <row r="63" spans="2:18" ht="15" thickBot="1">
      <c r="B63" s="2"/>
      <c r="C63" s="3" t="s">
        <v>28</v>
      </c>
      <c r="D63" s="3"/>
      <c r="E63" s="3"/>
      <c r="F63" s="3">
        <v>2019</v>
      </c>
      <c r="G63" s="3">
        <f t="shared" ref="G63:O63" si="14">F63+1</f>
        <v>2020</v>
      </c>
      <c r="H63" s="3">
        <f t="shared" si="14"/>
        <v>2021</v>
      </c>
      <c r="I63" s="3">
        <f t="shared" si="14"/>
        <v>2022</v>
      </c>
      <c r="J63" s="3">
        <f t="shared" si="14"/>
        <v>2023</v>
      </c>
      <c r="K63" s="3">
        <f t="shared" si="14"/>
        <v>2024</v>
      </c>
      <c r="L63" s="3">
        <f t="shared" si="14"/>
        <v>2025</v>
      </c>
      <c r="M63" s="3">
        <f t="shared" si="14"/>
        <v>2026</v>
      </c>
      <c r="N63" s="3">
        <f t="shared" si="14"/>
        <v>2027</v>
      </c>
      <c r="O63" s="3">
        <f t="shared" si="14"/>
        <v>2028</v>
      </c>
      <c r="P63" s="167"/>
    </row>
    <row r="64" spans="2:18">
      <c r="P64" s="15"/>
    </row>
    <row r="65" spans="3:16">
      <c r="C65" s="113" t="s">
        <v>96</v>
      </c>
      <c r="D65" s="75"/>
      <c r="E65" s="75"/>
      <c r="F65" s="76">
        <f>EGD_standalone!F25</f>
        <v>111.47124479293387</v>
      </c>
      <c r="G65" s="76">
        <f>EGD_standalone!G25</f>
        <v>216.85516935848921</v>
      </c>
      <c r="H65" s="76">
        <f>EGD_standalone!H25</f>
        <v>69.548044250061992</v>
      </c>
      <c r="I65" s="76">
        <f>EGD_standalone!I25</f>
        <v>122.72262013584839</v>
      </c>
      <c r="J65" s="76">
        <f>EGD_standalone!J25</f>
        <v>62.474691146301438</v>
      </c>
      <c r="K65" s="76">
        <f>EGD_standalone!K25</f>
        <v>67.937457385780931</v>
      </c>
      <c r="L65" s="76">
        <f>EGD_standalone!L25</f>
        <v>89.034860381382259</v>
      </c>
      <c r="M65" s="76">
        <f>EGD_standalone!M25</f>
        <v>296.32619741177189</v>
      </c>
      <c r="N65" s="76">
        <f>EGD_standalone!N25</f>
        <v>67.083626285742639</v>
      </c>
      <c r="O65" s="76">
        <f>EGD_standalone!O25</f>
        <v>70.244731977765809</v>
      </c>
      <c r="P65" s="165"/>
    </row>
    <row r="66" spans="3:16" ht="6.5" customHeight="1">
      <c r="P66" s="15"/>
    </row>
    <row r="67" spans="3:16">
      <c r="C67" s="39" t="s">
        <v>29</v>
      </c>
      <c r="P67" s="15"/>
    </row>
    <row r="68" spans="3:16">
      <c r="C68" s="41" t="s">
        <v>30</v>
      </c>
      <c r="F68" s="8">
        <v>55.01105930531287</v>
      </c>
      <c r="G68" s="8">
        <v>215.59884693309507</v>
      </c>
      <c r="H68" s="8">
        <v>351.23648034798498</v>
      </c>
      <c r="I68" s="8">
        <v>436.69619355018807</v>
      </c>
      <c r="J68" s="8">
        <v>516.16592129833839</v>
      </c>
      <c r="K68" s="8">
        <v>566.19135280430646</v>
      </c>
      <c r="L68" s="8">
        <v>627.6286678140691</v>
      </c>
      <c r="M68" s="8">
        <v>799.73498605304246</v>
      </c>
      <c r="N68" s="8">
        <v>955.99847221242476</v>
      </c>
      <c r="O68" s="8">
        <v>995.9662738320859</v>
      </c>
      <c r="P68" s="165"/>
    </row>
    <row r="69" spans="3:16">
      <c r="C69" s="41" t="s">
        <v>31</v>
      </c>
      <c r="F69" s="115">
        <v>6.0894533333333327E-2</v>
      </c>
      <c r="G69" s="115">
        <v>6.2792636307590063E-2</v>
      </c>
      <c r="H69" s="115">
        <v>6.366574569135415E-2</v>
      </c>
      <c r="I69" s="115">
        <v>6.3839912743323901E-2</v>
      </c>
      <c r="J69" s="115">
        <v>6.3950121622014452E-2</v>
      </c>
      <c r="K69" s="115">
        <v>6.400363001106657E-2</v>
      </c>
      <c r="L69" s="115">
        <v>6.405767430105444E-2</v>
      </c>
      <c r="M69" s="115">
        <v>6.4164858690641091E-2</v>
      </c>
      <c r="N69" s="115">
        <v>6.4228749414417086E-2</v>
      </c>
      <c r="O69" s="115">
        <v>6.4241871172399684E-2</v>
      </c>
      <c r="P69" s="174"/>
    </row>
    <row r="70" spans="3:16">
      <c r="C70" s="41"/>
      <c r="F70" s="8">
        <f t="shared" ref="F70:N70" si="15">F69*F68</f>
        <v>3.3498727845693512</v>
      </c>
      <c r="G70" s="8">
        <f t="shared" si="15"/>
        <v>13.538019983805619</v>
      </c>
      <c r="H70" s="8">
        <f t="shared" si="15"/>
        <v>22.361732435361123</v>
      </c>
      <c r="I70" s="8">
        <f t="shared" si="15"/>
        <v>27.878646891585692</v>
      </c>
      <c r="J70" s="8">
        <f t="shared" si="15"/>
        <v>33.008873444167882</v>
      </c>
      <c r="K70" s="8">
        <f t="shared" si="15"/>
        <v>36.238301860352088</v>
      </c>
      <c r="L70" s="8">
        <f t="shared" si="15"/>
        <v>40.204432784838332</v>
      </c>
      <c r="M70" s="8">
        <f t="shared" si="15"/>
        <v>51.314882370055294</v>
      </c>
      <c r="N70" s="8">
        <f t="shared" si="15"/>
        <v>61.402586312297409</v>
      </c>
      <c r="O70" s="8">
        <f>O69*O68</f>
        <v>63.982737055575811</v>
      </c>
      <c r="P70" s="165"/>
    </row>
    <row r="71" spans="3:16">
      <c r="C71" s="47" t="s">
        <v>32</v>
      </c>
      <c r="P71" s="15"/>
    </row>
    <row r="72" spans="3:16">
      <c r="C72" s="41" t="s">
        <v>34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/>
    </row>
    <row r="73" spans="3:16">
      <c r="C73" s="41" t="s">
        <v>35</v>
      </c>
      <c r="F73" s="17">
        <v>1.4491261823081403</v>
      </c>
      <c r="G73" s="17">
        <v>5.717575786221361</v>
      </c>
      <c r="H73" s="17">
        <v>9.4412185817926808</v>
      </c>
      <c r="I73" s="17">
        <v>11.941141810145153</v>
      </c>
      <c r="J73" s="17">
        <v>14.349128242278569</v>
      </c>
      <c r="K73" s="17">
        <v>16.044911984380306</v>
      </c>
      <c r="L73" s="17">
        <v>18.085983820092277</v>
      </c>
      <c r="M73" s="17">
        <v>23.096115383958242</v>
      </c>
      <c r="N73" s="17">
        <v>27.820887055819288</v>
      </c>
      <c r="O73" s="17">
        <v>29.606607324879562</v>
      </c>
      <c r="P73" s="16"/>
    </row>
    <row r="74" spans="3:16">
      <c r="C74" s="41"/>
      <c r="F74" s="18">
        <f t="shared" ref="F74:N74" si="16">SUM(F72:F73)</f>
        <v>1.4491261823081403</v>
      </c>
      <c r="G74" s="18">
        <f t="shared" si="16"/>
        <v>5.717575786221361</v>
      </c>
      <c r="H74" s="18">
        <f t="shared" si="16"/>
        <v>9.4412185817926808</v>
      </c>
      <c r="I74" s="18">
        <f t="shared" si="16"/>
        <v>11.941141810145153</v>
      </c>
      <c r="J74" s="18">
        <f t="shared" si="16"/>
        <v>14.349128242278569</v>
      </c>
      <c r="K74" s="18">
        <f t="shared" si="16"/>
        <v>16.044911984380306</v>
      </c>
      <c r="L74" s="18">
        <f t="shared" si="16"/>
        <v>18.085983820092277</v>
      </c>
      <c r="M74" s="18">
        <f t="shared" si="16"/>
        <v>23.096115383958242</v>
      </c>
      <c r="N74" s="18">
        <f t="shared" si="16"/>
        <v>27.820887055819288</v>
      </c>
      <c r="O74" s="18">
        <f>SUM(O72:O73)</f>
        <v>29.606607324879562</v>
      </c>
      <c r="P74" s="18"/>
    </row>
    <row r="75" spans="3:16" ht="6.5" customHeight="1">
      <c r="C75" s="41"/>
    </row>
    <row r="76" spans="3:16">
      <c r="C76" s="39" t="s">
        <v>39</v>
      </c>
      <c r="F76" s="8">
        <v>-2.9834611509637732E-2</v>
      </c>
      <c r="G76" s="8">
        <v>-2.6204065115896569E-2</v>
      </c>
      <c r="H76" s="8">
        <v>0.17286105885188086</v>
      </c>
      <c r="I76" s="8">
        <v>0.4834376657346553</v>
      </c>
      <c r="J76" s="8">
        <v>0.8623198946653492</v>
      </c>
      <c r="K76" s="8">
        <v>1.3063064878121491</v>
      </c>
      <c r="L76" s="8">
        <v>1.7727981496874143</v>
      </c>
      <c r="M76" s="8">
        <v>2.2460767530324155</v>
      </c>
      <c r="N76" s="8">
        <v>2.8668067113492555</v>
      </c>
      <c r="O76" s="8">
        <v>3.6381399424766059</v>
      </c>
      <c r="P76" s="8"/>
    </row>
    <row r="77" spans="3:16" ht="6.5" customHeight="1">
      <c r="C77" s="51"/>
    </row>
    <row r="78" spans="3:16" s="2" customFormat="1" ht="15" thickBot="1">
      <c r="C78" s="52" t="s">
        <v>97</v>
      </c>
      <c r="D78" s="68"/>
      <c r="E78" s="68"/>
      <c r="F78" s="114">
        <f t="shared" ref="F78:N78" si="17">F70+F74+F76</f>
        <v>4.7691643553678533</v>
      </c>
      <c r="G78" s="114">
        <f t="shared" si="17"/>
        <v>19.22939170491108</v>
      </c>
      <c r="H78" s="114">
        <f t="shared" si="17"/>
        <v>31.975812076005681</v>
      </c>
      <c r="I78" s="114">
        <f t="shared" si="17"/>
        <v>40.303226367465498</v>
      </c>
      <c r="J78" s="114">
        <f t="shared" si="17"/>
        <v>48.220321581111797</v>
      </c>
      <c r="K78" s="114">
        <f t="shared" si="17"/>
        <v>53.589520332544545</v>
      </c>
      <c r="L78" s="114">
        <f t="shared" si="17"/>
        <v>60.063214754618031</v>
      </c>
      <c r="M78" s="114">
        <f t="shared" si="17"/>
        <v>76.657074507045948</v>
      </c>
      <c r="N78" s="114">
        <f t="shared" si="17"/>
        <v>92.090280079465956</v>
      </c>
      <c r="O78" s="114">
        <f>O70+O74+O76</f>
        <v>97.227484322931986</v>
      </c>
      <c r="P78" s="143"/>
    </row>
    <row r="79" spans="3:16" s="22" customFormat="1" ht="15" thickTop="1"/>
  </sheetData>
  <pageMargins left="0.7" right="0.7" top="0.75" bottom="0.75" header="0.3" footer="0.3"/>
  <pageSetup scale="1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topLeftCell="A39" zoomScale="75" zoomScaleNormal="75" zoomScalePageLayoutView="75" workbookViewId="0">
      <selection activeCell="R68" sqref="R68"/>
    </sheetView>
  </sheetViews>
  <sheetFormatPr baseColWidth="10" defaultColWidth="8.83203125" defaultRowHeight="14" x14ac:dyDescent="0"/>
  <cols>
    <col min="1" max="2" width="2.1640625" style="1" customWidth="1"/>
    <col min="3" max="3" width="3.6640625" style="1" customWidth="1"/>
    <col min="4" max="4" width="39.33203125" style="1" customWidth="1"/>
    <col min="5" max="5" width="8.83203125" style="1" customWidth="1"/>
    <col min="6" max="15" width="8" style="1" bestFit="1" customWidth="1"/>
    <col min="16" max="16" width="20.5" style="176" bestFit="1" customWidth="1"/>
    <col min="17" max="16384" width="8.83203125" style="1"/>
  </cols>
  <sheetData>
    <row r="1" spans="2:17">
      <c r="C1" s="2" t="s">
        <v>108</v>
      </c>
    </row>
    <row r="2" spans="2:17">
      <c r="C2" s="2"/>
      <c r="P2" s="151" t="s">
        <v>125</v>
      </c>
    </row>
    <row r="3" spans="2:17">
      <c r="C3" s="2" t="s">
        <v>116</v>
      </c>
      <c r="P3" s="153" t="s">
        <v>136</v>
      </c>
    </row>
    <row r="4" spans="2:17">
      <c r="B4" s="34"/>
      <c r="C4" s="35"/>
      <c r="D4" s="36"/>
      <c r="E4" s="36"/>
      <c r="F4" s="36"/>
      <c r="G4" s="37"/>
      <c r="H4" s="37"/>
    </row>
    <row r="5" spans="2:17" ht="15" thickBot="1">
      <c r="B5" s="2"/>
      <c r="C5" s="3" t="s">
        <v>28</v>
      </c>
      <c r="D5" s="3"/>
      <c r="E5" s="3"/>
      <c r="F5" s="3">
        <v>2019</v>
      </c>
      <c r="G5" s="3">
        <f t="shared" ref="G5:O5" si="0">F5+1</f>
        <v>2020</v>
      </c>
      <c r="H5" s="3">
        <f t="shared" si="0"/>
        <v>2021</v>
      </c>
      <c r="I5" s="3">
        <f t="shared" si="0"/>
        <v>2022</v>
      </c>
      <c r="J5" s="3">
        <f t="shared" si="0"/>
        <v>2023</v>
      </c>
      <c r="K5" s="3">
        <f t="shared" si="0"/>
        <v>2024</v>
      </c>
      <c r="L5" s="3">
        <f t="shared" si="0"/>
        <v>2025</v>
      </c>
      <c r="M5" s="3">
        <f t="shared" si="0"/>
        <v>2026</v>
      </c>
      <c r="N5" s="3">
        <f t="shared" si="0"/>
        <v>2027</v>
      </c>
      <c r="O5" s="3">
        <f t="shared" si="0"/>
        <v>2028</v>
      </c>
      <c r="P5" s="167"/>
    </row>
    <row r="7" spans="2:17">
      <c r="C7" s="21" t="s">
        <v>62</v>
      </c>
    </row>
    <row r="8" spans="2:17">
      <c r="C8" s="75" t="s">
        <v>63</v>
      </c>
      <c r="D8" s="75"/>
      <c r="E8" s="75"/>
      <c r="F8" s="76">
        <v>1161</v>
      </c>
      <c r="G8" s="8"/>
      <c r="H8" s="8"/>
      <c r="I8" s="8"/>
      <c r="J8" s="8"/>
      <c r="K8" s="8"/>
      <c r="L8" s="8"/>
      <c r="M8" s="8"/>
      <c r="N8" s="8"/>
      <c r="O8" s="8"/>
      <c r="P8" s="171"/>
      <c r="Q8" s="18"/>
    </row>
    <row r="9" spans="2:17">
      <c r="C9" s="77" t="s">
        <v>64</v>
      </c>
      <c r="D9" s="75"/>
      <c r="E9" s="75"/>
      <c r="F9" s="78">
        <v>0</v>
      </c>
      <c r="G9" s="8"/>
      <c r="H9" s="8"/>
      <c r="I9" s="8"/>
      <c r="J9" s="8"/>
      <c r="K9" s="8"/>
      <c r="L9" s="8"/>
      <c r="M9" s="8"/>
      <c r="N9" s="8"/>
      <c r="O9" s="8"/>
      <c r="P9" s="171"/>
      <c r="Q9" s="18"/>
    </row>
    <row r="10" spans="2:17">
      <c r="C10" s="77" t="s">
        <v>11</v>
      </c>
      <c r="D10" s="75"/>
      <c r="E10" s="75"/>
      <c r="F10" s="76">
        <v>-63</v>
      </c>
      <c r="G10" s="8"/>
      <c r="H10" s="8"/>
      <c r="I10" s="8"/>
      <c r="J10" s="8"/>
      <c r="K10" s="8"/>
      <c r="L10" s="8"/>
      <c r="M10" s="8"/>
      <c r="N10" s="8"/>
      <c r="O10" s="8"/>
      <c r="P10" s="171"/>
      <c r="Q10" s="18"/>
    </row>
    <row r="11" spans="2:17">
      <c r="C11" s="77" t="s">
        <v>65</v>
      </c>
      <c r="D11" s="75"/>
      <c r="E11" s="75"/>
      <c r="F11" s="130">
        <v>-116</v>
      </c>
      <c r="G11" s="8"/>
      <c r="H11" s="8"/>
      <c r="I11" s="8"/>
      <c r="J11" s="8"/>
      <c r="K11" s="8"/>
      <c r="L11" s="8"/>
      <c r="M11" s="8"/>
      <c r="N11" s="8"/>
      <c r="O11" s="8"/>
      <c r="P11" s="171"/>
      <c r="Q11" s="18"/>
    </row>
    <row r="12" spans="2:17">
      <c r="C12" s="80" t="s">
        <v>66</v>
      </c>
      <c r="D12" s="75"/>
      <c r="E12" s="75"/>
      <c r="F12" s="76">
        <f>SUM(F8:F11)</f>
        <v>982</v>
      </c>
      <c r="G12" s="8"/>
      <c r="H12" s="8"/>
      <c r="I12" s="8"/>
      <c r="J12" s="8"/>
      <c r="K12" s="8"/>
      <c r="L12" s="8"/>
      <c r="M12" s="8"/>
      <c r="N12" s="8"/>
      <c r="O12" s="8"/>
      <c r="P12" s="171"/>
      <c r="Q12" s="18"/>
    </row>
    <row r="13" spans="2:17" ht="6.5" customHeight="1">
      <c r="C13" s="81"/>
      <c r="F13" s="8"/>
      <c r="G13" s="8"/>
      <c r="H13" s="8"/>
      <c r="I13" s="8"/>
      <c r="J13" s="8"/>
      <c r="K13" s="8"/>
      <c r="L13" s="8"/>
      <c r="M13" s="8"/>
      <c r="N13" s="8"/>
      <c r="O13" s="8"/>
      <c r="P13" s="171"/>
      <c r="Q13" s="18"/>
    </row>
    <row r="14" spans="2:17">
      <c r="C14" s="81" t="s">
        <v>67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171"/>
      <c r="Q14" s="18"/>
    </row>
    <row r="15" spans="2:17">
      <c r="C15" s="82" t="s">
        <v>68</v>
      </c>
      <c r="F15" s="27">
        <f>'UGL standalone'!F8</f>
        <v>1.7299999999999999E-2</v>
      </c>
      <c r="G15" s="27">
        <f>'UGL standalone'!G8</f>
        <v>1.7299999999999999E-2</v>
      </c>
      <c r="H15" s="27">
        <f>'UGL standalone'!H8</f>
        <v>1.7299999999999999E-2</v>
      </c>
      <c r="I15" s="27">
        <f>'UGL standalone'!I8</f>
        <v>1.7299999999999999E-2</v>
      </c>
      <c r="J15" s="27">
        <f>'UGL standalone'!J8</f>
        <v>1.7299999999999999E-2</v>
      </c>
      <c r="K15" s="27">
        <f>'UGL standalone'!K8</f>
        <v>1.7299999999999999E-2</v>
      </c>
      <c r="L15" s="27">
        <f>'UGL standalone'!L8</f>
        <v>1.7299999999999999E-2</v>
      </c>
      <c r="M15" s="27">
        <f>'UGL standalone'!M8</f>
        <v>1.7299999999999999E-2</v>
      </c>
      <c r="N15" s="27">
        <f>'UGL standalone'!N8</f>
        <v>1.7299999999999999E-2</v>
      </c>
      <c r="O15" s="27">
        <f>'UGL standalone'!O8</f>
        <v>1.7299999999999999E-2</v>
      </c>
      <c r="P15" s="174"/>
      <c r="Q15" s="18"/>
    </row>
    <row r="16" spans="2:17">
      <c r="C16" s="82" t="s">
        <v>69</v>
      </c>
      <c r="F16" s="27">
        <f>F59</f>
        <v>9.2857499085960971E-3</v>
      </c>
      <c r="G16" s="27">
        <f t="shared" ref="G16:O16" si="1">G59</f>
        <v>8.9646351772432187E-3</v>
      </c>
      <c r="H16" s="27">
        <f t="shared" si="1"/>
        <v>8.8861409127516389E-3</v>
      </c>
      <c r="I16" s="27">
        <f t="shared" si="1"/>
        <v>8.804816392519843E-3</v>
      </c>
      <c r="J16" s="27">
        <f t="shared" si="1"/>
        <v>8.7143339404531783E-3</v>
      </c>
      <c r="K16" s="27">
        <f t="shared" si="1"/>
        <v>8.6110161340100522E-3</v>
      </c>
      <c r="L16" s="27">
        <f t="shared" si="1"/>
        <v>8.5345215629299975E-3</v>
      </c>
      <c r="M16" s="27">
        <f t="shared" si="1"/>
        <v>8.4731269014457489E-3</v>
      </c>
      <c r="N16" s="27">
        <f t="shared" si="1"/>
        <v>8.4404884141477954E-3</v>
      </c>
      <c r="O16" s="27">
        <f t="shared" si="1"/>
        <v>8.4356556779123792E-3</v>
      </c>
      <c r="P16" s="174"/>
      <c r="Q16" s="18"/>
    </row>
    <row r="17" spans="2:17" ht="6.5" customHeight="1">
      <c r="C17" s="83"/>
      <c r="F17" s="8"/>
      <c r="G17" s="8"/>
      <c r="H17" s="8"/>
      <c r="I17" s="8"/>
      <c r="J17" s="8"/>
      <c r="K17" s="8"/>
      <c r="L17" s="8"/>
      <c r="M17" s="8"/>
      <c r="N17" s="8"/>
      <c r="O17" s="8"/>
      <c r="P17" s="171"/>
      <c r="Q17" s="18"/>
    </row>
    <row r="18" spans="2:17" s="2" customFormat="1">
      <c r="C18" s="2" t="s">
        <v>70</v>
      </c>
      <c r="F18" s="85">
        <f>F12*(1+(F$16+F$15))</f>
        <v>1008.1072064102415</v>
      </c>
      <c r="G18" s="85">
        <f>F18*(1+(G$16+G$15))</f>
        <v>1034.5847744061564</v>
      </c>
      <c r="H18" s="85">
        <f t="shared" ref="H18:O18" si="2">G18*(1+(H$16+H$15))</f>
        <v>1061.6765570949435</v>
      </c>
      <c r="I18" s="85">
        <f t="shared" si="2"/>
        <v>1089.3914286861498</v>
      </c>
      <c r="J18" s="85">
        <f t="shared" si="2"/>
        <v>1117.7312211038588</v>
      </c>
      <c r="K18" s="85">
        <f t="shared" si="2"/>
        <v>1146.6927728073679</v>
      </c>
      <c r="L18" s="85">
        <f t="shared" si="2"/>
        <v>1176.3170319725159</v>
      </c>
      <c r="M18" s="85">
        <f t="shared" si="2"/>
        <v>1206.6344001138757</v>
      </c>
      <c r="N18" s="85">
        <f t="shared" si="2"/>
        <v>1237.6937589101192</v>
      </c>
      <c r="O18" s="85">
        <f t="shared" si="2"/>
        <v>1269.5466193241311</v>
      </c>
      <c r="P18" s="85"/>
      <c r="Q18" s="18"/>
    </row>
    <row r="19" spans="2:17">
      <c r="C19" s="86" t="s">
        <v>71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171"/>
      <c r="Q19" s="18"/>
    </row>
    <row r="20" spans="2:17">
      <c r="C20" s="82" t="s">
        <v>11</v>
      </c>
      <c r="F20" s="87">
        <v>63</v>
      </c>
      <c r="G20" s="74">
        <v>63</v>
      </c>
      <c r="H20" s="74">
        <v>63</v>
      </c>
      <c r="I20" s="74">
        <v>63</v>
      </c>
      <c r="J20" s="74">
        <v>63</v>
      </c>
      <c r="K20" s="74">
        <v>63</v>
      </c>
      <c r="L20" s="74">
        <v>63</v>
      </c>
      <c r="M20" s="74">
        <v>63</v>
      </c>
      <c r="N20" s="74">
        <v>63</v>
      </c>
      <c r="O20" s="88">
        <v>63</v>
      </c>
      <c r="P20" s="171"/>
      <c r="Q20" s="18"/>
    </row>
    <row r="21" spans="2:17">
      <c r="C21" s="83" t="s">
        <v>117</v>
      </c>
      <c r="F21" s="89">
        <v>125</v>
      </c>
      <c r="G21" s="16">
        <v>135</v>
      </c>
      <c r="H21" s="16">
        <v>135</v>
      </c>
      <c r="I21" s="16">
        <v>135</v>
      </c>
      <c r="J21" s="16">
        <v>137</v>
      </c>
      <c r="K21" s="16">
        <v>138</v>
      </c>
      <c r="L21" s="16">
        <v>139</v>
      </c>
      <c r="M21" s="16">
        <v>139</v>
      </c>
      <c r="N21" s="16">
        <v>139</v>
      </c>
      <c r="O21" s="90">
        <v>138</v>
      </c>
      <c r="P21" s="171"/>
      <c r="Q21" s="18"/>
    </row>
    <row r="22" spans="2:17">
      <c r="C22" s="82" t="s">
        <v>118</v>
      </c>
      <c r="F22" s="89">
        <v>17</v>
      </c>
      <c r="G22" s="16">
        <v>17</v>
      </c>
      <c r="H22" s="16">
        <v>17</v>
      </c>
      <c r="I22" s="16">
        <v>17</v>
      </c>
      <c r="J22" s="16">
        <v>17</v>
      </c>
      <c r="K22" s="16">
        <v>17</v>
      </c>
      <c r="L22" s="16">
        <v>17</v>
      </c>
      <c r="M22" s="16">
        <v>17</v>
      </c>
      <c r="N22" s="16">
        <v>17</v>
      </c>
      <c r="O22" s="90">
        <v>17</v>
      </c>
      <c r="P22" s="171"/>
      <c r="Q22" s="18"/>
    </row>
    <row r="23" spans="2:17">
      <c r="C23" s="82" t="s">
        <v>72</v>
      </c>
      <c r="F23" s="91">
        <v>11.717444799492428</v>
      </c>
      <c r="G23" s="129">
        <v>27.334655163524051</v>
      </c>
      <c r="H23" s="129">
        <v>34.591985886149935</v>
      </c>
      <c r="I23" s="129">
        <v>43.670025487559379</v>
      </c>
      <c r="J23" s="129">
        <v>55.017558315536611</v>
      </c>
      <c r="K23" s="129">
        <v>76.392182161485906</v>
      </c>
      <c r="L23" s="129">
        <v>93.732256431940499</v>
      </c>
      <c r="M23" s="129">
        <v>99.835592837135806</v>
      </c>
      <c r="N23" s="129">
        <v>105.89710877753035</v>
      </c>
      <c r="O23" s="92">
        <v>111.30965639403706</v>
      </c>
      <c r="P23" s="171"/>
      <c r="Q23" s="18"/>
    </row>
    <row r="24" spans="2:17">
      <c r="C24" s="1" t="s">
        <v>73</v>
      </c>
      <c r="F24" s="8">
        <f t="shared" ref="F24:O24" si="3">SUM(F20:F23)</f>
        <v>216.71744479949243</v>
      </c>
      <c r="G24" s="8">
        <f t="shared" si="3"/>
        <v>242.33465516352405</v>
      </c>
      <c r="H24" s="8">
        <f t="shared" si="3"/>
        <v>249.59198588614993</v>
      </c>
      <c r="I24" s="8">
        <f t="shared" si="3"/>
        <v>258.67002548755937</v>
      </c>
      <c r="J24" s="8">
        <f t="shared" si="3"/>
        <v>272.01755831553663</v>
      </c>
      <c r="K24" s="8">
        <f t="shared" si="3"/>
        <v>294.39218216148589</v>
      </c>
      <c r="L24" s="8">
        <f t="shared" si="3"/>
        <v>312.73225643194053</v>
      </c>
      <c r="M24" s="8">
        <f t="shared" si="3"/>
        <v>318.83559283713578</v>
      </c>
      <c r="N24" s="8">
        <f t="shared" si="3"/>
        <v>324.89710877753032</v>
      </c>
      <c r="O24" s="8">
        <f t="shared" si="3"/>
        <v>329.30965639403706</v>
      </c>
      <c r="P24" s="171"/>
      <c r="Q24" s="18"/>
    </row>
    <row r="25" spans="2:17" ht="6.5" customHeight="1">
      <c r="F25" s="8"/>
      <c r="G25" s="8"/>
      <c r="H25" s="8"/>
      <c r="I25" s="8"/>
      <c r="J25" s="8"/>
      <c r="K25" s="8"/>
      <c r="L25" s="8"/>
      <c r="M25" s="8"/>
      <c r="N25" s="8"/>
      <c r="O25" s="8"/>
      <c r="P25" s="171"/>
      <c r="Q25" s="18"/>
    </row>
    <row r="26" spans="2:17">
      <c r="F26" s="8"/>
      <c r="G26" s="8"/>
      <c r="H26" s="8"/>
      <c r="I26" s="8"/>
      <c r="J26" s="8"/>
      <c r="K26" s="8"/>
      <c r="L26" s="8"/>
      <c r="M26" s="8"/>
      <c r="N26" s="8"/>
      <c r="O26" s="8"/>
      <c r="P26" s="171"/>
      <c r="Q26" s="18"/>
    </row>
    <row r="27" spans="2:17" ht="6.5" customHeight="1">
      <c r="F27" s="8"/>
      <c r="G27" s="8"/>
      <c r="H27" s="8"/>
      <c r="I27" s="8"/>
      <c r="J27" s="8"/>
      <c r="K27" s="8"/>
      <c r="L27" s="8"/>
      <c r="M27" s="8"/>
      <c r="N27" s="8"/>
      <c r="O27" s="8"/>
      <c r="P27" s="171"/>
      <c r="Q27" s="18"/>
    </row>
    <row r="28" spans="2:17" s="2" customFormat="1" ht="15" thickBot="1">
      <c r="C28" s="52" t="s">
        <v>74</v>
      </c>
      <c r="D28" s="68"/>
      <c r="E28" s="68"/>
      <c r="F28" s="73">
        <f t="shared" ref="F28:O28" si="4">F26+F24+F18</f>
        <v>1224.8246512097339</v>
      </c>
      <c r="G28" s="73">
        <f t="shared" si="4"/>
        <v>1276.9194295696805</v>
      </c>
      <c r="H28" s="73">
        <f t="shared" si="4"/>
        <v>1311.2685429810936</v>
      </c>
      <c r="I28" s="73">
        <f t="shared" si="4"/>
        <v>1348.0614541737091</v>
      </c>
      <c r="J28" s="73">
        <f t="shared" si="4"/>
        <v>1389.7487794193955</v>
      </c>
      <c r="K28" s="73">
        <f t="shared" si="4"/>
        <v>1441.0849549688537</v>
      </c>
      <c r="L28" s="73">
        <f t="shared" si="4"/>
        <v>1489.0492884044565</v>
      </c>
      <c r="M28" s="73">
        <f t="shared" si="4"/>
        <v>1525.4699929510116</v>
      </c>
      <c r="N28" s="73">
        <f t="shared" si="4"/>
        <v>1562.5908676876495</v>
      </c>
      <c r="O28" s="73">
        <f t="shared" si="4"/>
        <v>1598.8562757181683</v>
      </c>
      <c r="P28" s="172"/>
      <c r="Q28" s="18"/>
    </row>
    <row r="29" spans="2:17" s="2" customFormat="1" ht="15" thickTop="1">
      <c r="C29" s="55"/>
      <c r="D29" s="70"/>
      <c r="E29" s="70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172"/>
      <c r="Q29" s="18"/>
    </row>
    <row r="30" spans="2:17" s="2" customFormat="1">
      <c r="C30" s="55" t="s">
        <v>41</v>
      </c>
      <c r="D30" s="70"/>
      <c r="E30" s="70"/>
      <c r="F30" s="94">
        <v>207.2134992657526</v>
      </c>
      <c r="G30" s="94">
        <v>207.92365546007886</v>
      </c>
      <c r="H30" s="94">
        <v>210.30184107838426</v>
      </c>
      <c r="I30" s="94">
        <v>215.21758072295023</v>
      </c>
      <c r="J30" s="94">
        <v>220.3496026252389</v>
      </c>
      <c r="K30" s="94">
        <v>228.38487349448906</v>
      </c>
      <c r="L30" s="94">
        <v>238.32432069899039</v>
      </c>
      <c r="M30" s="94">
        <v>241.75248203978447</v>
      </c>
      <c r="N30" s="94">
        <v>247.36447626334115</v>
      </c>
      <c r="O30" s="94">
        <v>246.75876823106435</v>
      </c>
      <c r="P30" s="172"/>
      <c r="Q30" s="18"/>
    </row>
    <row r="31" spans="2:17"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77"/>
    </row>
    <row r="32" spans="2:17" ht="5" customHeight="1">
      <c r="B32" s="29"/>
      <c r="C32" s="30"/>
      <c r="D32" s="31"/>
      <c r="E32" s="31"/>
      <c r="F32" s="32"/>
      <c r="G32" s="32"/>
      <c r="H32" s="32"/>
      <c r="I32" s="33"/>
      <c r="J32" s="33"/>
      <c r="K32" s="33"/>
      <c r="L32" s="33"/>
      <c r="M32" s="33"/>
      <c r="N32" s="33"/>
      <c r="O32" s="33"/>
    </row>
    <row r="33" spans="2:16" s="15" customFormat="1">
      <c r="B33" s="95" t="s">
        <v>119</v>
      </c>
      <c r="C33" s="96"/>
      <c r="D33" s="97"/>
      <c r="E33" s="97"/>
      <c r="F33" s="98"/>
      <c r="G33" s="98"/>
      <c r="H33" s="98"/>
      <c r="P33" s="153" t="s">
        <v>140</v>
      </c>
    </row>
    <row r="34" spans="2:16" ht="15" thickBot="1">
      <c r="B34" s="3"/>
      <c r="C34" s="3"/>
      <c r="D34" s="3"/>
      <c r="E34" s="3"/>
      <c r="F34" s="3">
        <v>2019</v>
      </c>
      <c r="G34" s="3">
        <f t="shared" ref="G34:O34" si="5">F34+1</f>
        <v>2020</v>
      </c>
      <c r="H34" s="3">
        <f t="shared" si="5"/>
        <v>2021</v>
      </c>
      <c r="I34" s="3">
        <f t="shared" si="5"/>
        <v>2022</v>
      </c>
      <c r="J34" s="3">
        <f t="shared" si="5"/>
        <v>2023</v>
      </c>
      <c r="K34" s="3">
        <f t="shared" si="5"/>
        <v>2024</v>
      </c>
      <c r="L34" s="3">
        <f t="shared" si="5"/>
        <v>2025</v>
      </c>
      <c r="M34" s="3">
        <f t="shared" si="5"/>
        <v>2026</v>
      </c>
      <c r="N34" s="3">
        <f t="shared" si="5"/>
        <v>2027</v>
      </c>
      <c r="O34" s="3">
        <f t="shared" si="5"/>
        <v>2028</v>
      </c>
      <c r="P34" s="167"/>
    </row>
    <row r="35" spans="2:16" s="15" customFormat="1">
      <c r="B35" s="99" t="s">
        <v>76</v>
      </c>
      <c r="C35" s="100"/>
      <c r="D35" s="97"/>
      <c r="E35" s="97"/>
      <c r="F35" s="98"/>
      <c r="G35" s="98"/>
      <c r="H35" s="98"/>
      <c r="P35" s="176"/>
    </row>
    <row r="36" spans="2:16" s="15" customFormat="1">
      <c r="B36" t="s">
        <v>77</v>
      </c>
      <c r="C36" s="100"/>
      <c r="D36" s="97"/>
      <c r="E36" s="97"/>
      <c r="F36" s="98"/>
      <c r="G36" s="98"/>
      <c r="H36" s="98"/>
      <c r="P36" s="176"/>
    </row>
    <row r="37" spans="2:16" s="15" customFormat="1">
      <c r="B37" s="101"/>
      <c r="C37" s="27"/>
      <c r="D37" s="97"/>
      <c r="E37" s="97"/>
      <c r="F37" s="98"/>
      <c r="G37" s="98"/>
      <c r="H37" s="98"/>
      <c r="P37" s="176"/>
    </row>
    <row r="38" spans="2:16" s="15" customFormat="1">
      <c r="D38" s="101" t="s">
        <v>78</v>
      </c>
      <c r="E38" s="139"/>
      <c r="F38" s="102">
        <v>0.1</v>
      </c>
      <c r="G38" s="98"/>
      <c r="H38" s="98"/>
      <c r="P38" s="176"/>
    </row>
    <row r="39" spans="2:16" s="15" customFormat="1">
      <c r="D39" s="101" t="s">
        <v>79</v>
      </c>
      <c r="E39" s="140"/>
      <c r="F39" s="103">
        <v>2013</v>
      </c>
      <c r="G39" s="98"/>
      <c r="H39" s="98"/>
      <c r="P39" s="176"/>
    </row>
    <row r="40" spans="2:16" s="15" customFormat="1">
      <c r="D40" s="101" t="s">
        <v>80</v>
      </c>
      <c r="E40" s="141"/>
      <c r="F40" s="104">
        <v>3734</v>
      </c>
      <c r="G40" s="98"/>
      <c r="H40" s="98"/>
      <c r="P40" s="176"/>
    </row>
    <row r="41" spans="2:16" s="15" customFormat="1">
      <c r="D41" s="101" t="s">
        <v>81</v>
      </c>
      <c r="E41" s="142"/>
      <c r="F41" s="104">
        <v>196</v>
      </c>
      <c r="G41" s="98"/>
      <c r="H41" s="98"/>
      <c r="P41" s="176"/>
    </row>
    <row r="42" spans="2:16" s="15" customFormat="1">
      <c r="D42" s="101"/>
      <c r="E42" s="100"/>
      <c r="F42" s="98"/>
      <c r="G42" s="98"/>
      <c r="H42" s="98"/>
      <c r="P42" s="176"/>
    </row>
    <row r="43" spans="2:16" s="15" customFormat="1">
      <c r="D43" s="101" t="s">
        <v>82</v>
      </c>
      <c r="E43" s="100"/>
      <c r="F43" s="105">
        <f>F59</f>
        <v>9.2857499085960971E-3</v>
      </c>
      <c r="G43" s="105">
        <f t="shared" ref="G43:O43" si="6">G59</f>
        <v>8.9646351772432187E-3</v>
      </c>
      <c r="H43" s="105">
        <f t="shared" si="6"/>
        <v>8.8861409127516389E-3</v>
      </c>
      <c r="I43" s="105">
        <f t="shared" si="6"/>
        <v>8.804816392519843E-3</v>
      </c>
      <c r="J43" s="105">
        <f t="shared" si="6"/>
        <v>8.7143339404531783E-3</v>
      </c>
      <c r="K43" s="105">
        <f t="shared" si="6"/>
        <v>8.6110161340100522E-3</v>
      </c>
      <c r="L43" s="105">
        <f t="shared" si="6"/>
        <v>8.5345215629299975E-3</v>
      </c>
      <c r="M43" s="105">
        <f t="shared" si="6"/>
        <v>8.4731269014457489E-3</v>
      </c>
      <c r="N43" s="105">
        <f t="shared" si="6"/>
        <v>8.4404884141477954E-3</v>
      </c>
      <c r="O43" s="105">
        <f t="shared" si="6"/>
        <v>8.4356556779123792E-3</v>
      </c>
      <c r="P43" s="105"/>
    </row>
    <row r="44" spans="2:16" s="15" customFormat="1">
      <c r="D44" s="101" t="s">
        <v>83</v>
      </c>
      <c r="E44" s="100"/>
      <c r="F44" s="105">
        <f>F15</f>
        <v>1.7299999999999999E-2</v>
      </c>
      <c r="G44" s="105">
        <f t="shared" ref="G44:O44" si="7">G15</f>
        <v>1.7299999999999999E-2</v>
      </c>
      <c r="H44" s="105">
        <f t="shared" si="7"/>
        <v>1.7299999999999999E-2</v>
      </c>
      <c r="I44" s="105">
        <f t="shared" si="7"/>
        <v>1.7299999999999999E-2</v>
      </c>
      <c r="J44" s="105">
        <f t="shared" si="7"/>
        <v>1.7299999999999999E-2</v>
      </c>
      <c r="K44" s="105">
        <f t="shared" si="7"/>
        <v>1.7299999999999999E-2</v>
      </c>
      <c r="L44" s="105">
        <f t="shared" si="7"/>
        <v>1.7299999999999999E-2</v>
      </c>
      <c r="M44" s="105">
        <f t="shared" si="7"/>
        <v>1.7299999999999999E-2</v>
      </c>
      <c r="N44" s="105">
        <f t="shared" si="7"/>
        <v>1.7299999999999999E-2</v>
      </c>
      <c r="O44" s="105">
        <f t="shared" si="7"/>
        <v>1.7299999999999999E-2</v>
      </c>
      <c r="P44" s="105"/>
    </row>
    <row r="45" spans="2:16" s="15" customFormat="1">
      <c r="D45" s="101" t="s">
        <v>84</v>
      </c>
      <c r="E45" s="100"/>
      <c r="F45" s="45">
        <v>6</v>
      </c>
      <c r="G45" s="45">
        <f>F45+1</f>
        <v>7</v>
      </c>
      <c r="H45" s="45">
        <f t="shared" ref="H45:O45" si="8">G45+1</f>
        <v>8</v>
      </c>
      <c r="I45" s="45">
        <f t="shared" si="8"/>
        <v>9</v>
      </c>
      <c r="J45" s="45">
        <f t="shared" si="8"/>
        <v>10</v>
      </c>
      <c r="K45" s="45">
        <f t="shared" si="8"/>
        <v>11</v>
      </c>
      <c r="L45" s="45">
        <f t="shared" si="8"/>
        <v>12</v>
      </c>
      <c r="M45" s="45">
        <f t="shared" si="8"/>
        <v>13</v>
      </c>
      <c r="N45" s="45">
        <f t="shared" si="8"/>
        <v>14</v>
      </c>
      <c r="O45" s="45">
        <f t="shared" si="8"/>
        <v>15</v>
      </c>
      <c r="P45" s="45"/>
    </row>
    <row r="46" spans="2:16" s="15" customFormat="1">
      <c r="B46" s="106"/>
      <c r="C46" s="96"/>
      <c r="D46" s="97"/>
      <c r="E46" s="97"/>
      <c r="F46" s="98"/>
      <c r="G46" s="98"/>
      <c r="H46" s="98"/>
      <c r="P46" s="176"/>
    </row>
    <row r="47" spans="2:16" s="15" customFormat="1">
      <c r="B47" s="106"/>
      <c r="C47" s="96"/>
      <c r="D47" s="97" t="s">
        <v>85</v>
      </c>
      <c r="E47" s="97"/>
      <c r="F47" s="108">
        <f>1+(($F$40/$F$41)*((F43+F44*(1+F43))*((1+F43)*(1+F44))^(F45-1)))+$F$38</f>
        <v>1.6814326291575716</v>
      </c>
      <c r="G47" s="108">
        <f t="shared" ref="G47:O47" si="9">1+(($F$40/$F$41)*((G43+G44*(1+G43))*((1+G43)*(1+G44))^(G45-1)))+$F$38</f>
        <v>1.6885677212690169</v>
      </c>
      <c r="H47" s="108">
        <f t="shared" si="9"/>
        <v>1.7019636862689291</v>
      </c>
      <c r="I47" s="108">
        <f t="shared" si="9"/>
        <v>1.7154817638108222</v>
      </c>
      <c r="J47" s="108">
        <f t="shared" si="9"/>
        <v>1.7289203358686887</v>
      </c>
      <c r="K47" s="108">
        <f t="shared" si="9"/>
        <v>1.7421255484636384</v>
      </c>
      <c r="L47" s="108">
        <f t="shared" si="9"/>
        <v>1.7563440982275833</v>
      </c>
      <c r="M47" s="108">
        <f t="shared" si="9"/>
        <v>1.7712880357835616</v>
      </c>
      <c r="N47" s="108">
        <f t="shared" si="9"/>
        <v>1.7875160920683295</v>
      </c>
      <c r="O47" s="108">
        <f t="shared" si="9"/>
        <v>1.8051322205307128</v>
      </c>
      <c r="P47" s="108"/>
    </row>
    <row r="48" spans="2:16" s="15" customFormat="1">
      <c r="B48" s="106"/>
      <c r="C48" s="96"/>
      <c r="D48" s="97"/>
      <c r="E48" s="97"/>
      <c r="F48" s="98"/>
      <c r="G48" s="98"/>
      <c r="H48" s="98"/>
      <c r="P48" s="176"/>
    </row>
    <row r="49" spans="2:16" s="15" customFormat="1">
      <c r="B49" s="106"/>
      <c r="C49" s="96"/>
      <c r="D49" s="109" t="s">
        <v>86</v>
      </c>
      <c r="E49" s="110"/>
      <c r="F49" s="104">
        <f>F47*$F$41</f>
        <v>329.56079531488405</v>
      </c>
      <c r="G49" s="104">
        <f t="shared" ref="G49:O49" si="10">G47*$F$41</f>
        <v>330.95927336872728</v>
      </c>
      <c r="H49" s="104">
        <f t="shared" si="10"/>
        <v>333.58488250871011</v>
      </c>
      <c r="I49" s="104">
        <f t="shared" si="10"/>
        <v>336.23442570692117</v>
      </c>
      <c r="J49" s="104">
        <f t="shared" si="10"/>
        <v>338.86838583026298</v>
      </c>
      <c r="K49" s="104">
        <f t="shared" si="10"/>
        <v>341.45660749887315</v>
      </c>
      <c r="L49" s="104">
        <f t="shared" si="10"/>
        <v>344.24344325260631</v>
      </c>
      <c r="M49" s="104">
        <f t="shared" si="10"/>
        <v>347.17245501357809</v>
      </c>
      <c r="N49" s="104">
        <f t="shared" si="10"/>
        <v>350.35315404539256</v>
      </c>
      <c r="O49" s="104">
        <f t="shared" si="10"/>
        <v>353.80591522401971</v>
      </c>
      <c r="P49" s="173"/>
    </row>
    <row r="50" spans="2:16" s="15" customFormat="1">
      <c r="B50" s="106"/>
      <c r="C50" s="96"/>
      <c r="D50" s="97"/>
      <c r="E50" s="97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77"/>
    </row>
    <row r="51" spans="2:16" ht="5" customHeight="1">
      <c r="B51" s="29"/>
      <c r="C51" s="30"/>
      <c r="D51" s="31"/>
      <c r="E51" s="31"/>
      <c r="F51" s="32"/>
      <c r="G51" s="32"/>
      <c r="H51" s="32"/>
      <c r="I51" s="33"/>
      <c r="J51" s="33"/>
      <c r="K51" s="33"/>
      <c r="L51" s="33"/>
      <c r="M51" s="33"/>
      <c r="N51" s="33"/>
      <c r="O51" s="33"/>
    </row>
    <row r="52" spans="2:16">
      <c r="C52" s="2" t="s">
        <v>120</v>
      </c>
      <c r="P52" s="153" t="s">
        <v>141</v>
      </c>
    </row>
    <row r="53" spans="2:16">
      <c r="C53" s="2"/>
    </row>
    <row r="54" spans="2:16" ht="15" thickBot="1">
      <c r="B54" s="2"/>
      <c r="C54" s="3" t="s">
        <v>28</v>
      </c>
      <c r="D54" s="3"/>
      <c r="E54" s="3"/>
      <c r="F54" s="3">
        <v>2019</v>
      </c>
      <c r="G54" s="3">
        <f t="shared" ref="G54:O54" si="11">F54+1</f>
        <v>2020</v>
      </c>
      <c r="H54" s="3">
        <f t="shared" si="11"/>
        <v>2021</v>
      </c>
      <c r="I54" s="3">
        <f t="shared" si="11"/>
        <v>2022</v>
      </c>
      <c r="J54" s="3">
        <f t="shared" si="11"/>
        <v>2023</v>
      </c>
      <c r="K54" s="3">
        <f t="shared" si="11"/>
        <v>2024</v>
      </c>
      <c r="L54" s="3">
        <f t="shared" si="11"/>
        <v>2025</v>
      </c>
      <c r="M54" s="3">
        <f t="shared" si="11"/>
        <v>2026</v>
      </c>
      <c r="N54" s="3">
        <f t="shared" si="11"/>
        <v>2027</v>
      </c>
      <c r="O54" s="3">
        <f t="shared" si="11"/>
        <v>2028</v>
      </c>
      <c r="P54" s="167"/>
    </row>
    <row r="55" spans="2:16">
      <c r="C55" s="1" t="s">
        <v>88</v>
      </c>
      <c r="F55" s="18">
        <v>947.70547199999999</v>
      </c>
    </row>
    <row r="56" spans="2:16">
      <c r="C56" s="1" t="s">
        <v>89</v>
      </c>
      <c r="F56" s="129">
        <v>8.8001559999999994</v>
      </c>
      <c r="G56" s="129">
        <v>8.5747239999999998</v>
      </c>
      <c r="H56" s="129">
        <v>8.5758399999999995</v>
      </c>
      <c r="I56" s="129">
        <v>8.5728639999999992</v>
      </c>
      <c r="J56" s="129">
        <v>8.5594719999999995</v>
      </c>
      <c r="K56" s="129">
        <v>8.5316960000000002</v>
      </c>
      <c r="L56" s="129">
        <v>8.5287199999999999</v>
      </c>
      <c r="M56" s="129">
        <v>8.5396319999999992</v>
      </c>
      <c r="N56" s="129">
        <v>8.5788160000000016</v>
      </c>
      <c r="O56" s="129">
        <v>8.6462720000000015</v>
      </c>
      <c r="P56" s="171"/>
    </row>
    <row r="57" spans="2:16">
      <c r="C57" s="1" t="s">
        <v>90</v>
      </c>
      <c r="F57" s="18">
        <f>F55+F56</f>
        <v>956.505628</v>
      </c>
      <c r="G57" s="18">
        <f>F57+G56</f>
        <v>965.08035199999995</v>
      </c>
      <c r="H57" s="18">
        <f t="shared" ref="H57:O57" si="12">G57+H56</f>
        <v>973.65619199999992</v>
      </c>
      <c r="I57" s="18">
        <f t="shared" si="12"/>
        <v>982.2290559999999</v>
      </c>
      <c r="J57" s="18">
        <f t="shared" si="12"/>
        <v>990.78852799999993</v>
      </c>
      <c r="K57" s="18">
        <f t="shared" si="12"/>
        <v>999.32022399999994</v>
      </c>
      <c r="L57" s="18">
        <f t="shared" si="12"/>
        <v>1007.848944</v>
      </c>
      <c r="M57" s="18">
        <f t="shared" si="12"/>
        <v>1016.3885759999999</v>
      </c>
      <c r="N57" s="18">
        <f t="shared" si="12"/>
        <v>1024.967392</v>
      </c>
      <c r="O57" s="18">
        <f t="shared" si="12"/>
        <v>1033.613664</v>
      </c>
      <c r="P57" s="177"/>
    </row>
    <row r="58" spans="2:16" ht="5.5" customHeight="1"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77"/>
    </row>
    <row r="59" spans="2:16" s="131" customFormat="1">
      <c r="C59" s="131" t="s">
        <v>91</v>
      </c>
      <c r="F59" s="132">
        <f>F57/F55-1</f>
        <v>9.2857499085960971E-3</v>
      </c>
      <c r="G59" s="132">
        <f>G57/F57-1</f>
        <v>8.9646351772432187E-3</v>
      </c>
      <c r="H59" s="132">
        <f t="shared" ref="H59:O59" si="13">H57/G57-1</f>
        <v>8.8861409127516389E-3</v>
      </c>
      <c r="I59" s="132">
        <f t="shared" si="13"/>
        <v>8.804816392519843E-3</v>
      </c>
      <c r="J59" s="132">
        <f t="shared" si="13"/>
        <v>8.7143339404531783E-3</v>
      </c>
      <c r="K59" s="132">
        <f t="shared" si="13"/>
        <v>8.6110161340100522E-3</v>
      </c>
      <c r="L59" s="132">
        <f t="shared" si="13"/>
        <v>8.5345215629299975E-3</v>
      </c>
      <c r="M59" s="132">
        <f t="shared" si="13"/>
        <v>8.4731269014457489E-3</v>
      </c>
      <c r="N59" s="132">
        <f t="shared" si="13"/>
        <v>8.4404884141477954E-3</v>
      </c>
      <c r="O59" s="132">
        <f t="shared" si="13"/>
        <v>8.4356556779123792E-3</v>
      </c>
      <c r="P59" s="178"/>
    </row>
    <row r="60" spans="2:16"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174"/>
    </row>
    <row r="61" spans="2:16" ht="5" customHeight="1">
      <c r="B61" s="29"/>
      <c r="C61" s="30"/>
      <c r="D61" s="31"/>
      <c r="E61" s="31"/>
      <c r="F61" s="32"/>
      <c r="G61" s="32"/>
      <c r="H61" s="32"/>
      <c r="I61" s="33"/>
      <c r="J61" s="33"/>
      <c r="K61" s="33"/>
      <c r="L61" s="33"/>
      <c r="M61" s="33"/>
      <c r="N61" s="33"/>
      <c r="O61" s="33"/>
    </row>
    <row r="62" spans="2:16">
      <c r="C62" s="2" t="s">
        <v>121</v>
      </c>
      <c r="P62" s="153" t="s">
        <v>142</v>
      </c>
    </row>
    <row r="63" spans="2:16">
      <c r="B63" s="34"/>
      <c r="C63" s="35"/>
      <c r="D63" s="36"/>
      <c r="E63" s="36"/>
      <c r="F63" s="36"/>
      <c r="G63" s="37"/>
      <c r="H63" s="37"/>
    </row>
    <row r="64" spans="2:16" ht="15" thickBot="1">
      <c r="B64" s="2"/>
      <c r="C64" s="3" t="s">
        <v>28</v>
      </c>
      <c r="D64" s="3"/>
      <c r="E64" s="3"/>
      <c r="F64" s="3">
        <v>2019</v>
      </c>
      <c r="G64" s="3">
        <f t="shared" ref="G64:O64" si="14">F64+1</f>
        <v>2020</v>
      </c>
      <c r="H64" s="3">
        <f t="shared" si="14"/>
        <v>2021</v>
      </c>
      <c r="I64" s="3">
        <f t="shared" si="14"/>
        <v>2022</v>
      </c>
      <c r="J64" s="3">
        <f t="shared" si="14"/>
        <v>2023</v>
      </c>
      <c r="K64" s="3">
        <f t="shared" si="14"/>
        <v>2024</v>
      </c>
      <c r="L64" s="3">
        <f t="shared" si="14"/>
        <v>2025</v>
      </c>
      <c r="M64" s="3">
        <f t="shared" si="14"/>
        <v>2026</v>
      </c>
      <c r="N64" s="3">
        <f t="shared" si="14"/>
        <v>2027</v>
      </c>
      <c r="O64" s="3">
        <f t="shared" si="14"/>
        <v>2028</v>
      </c>
      <c r="P64" s="167"/>
    </row>
    <row r="66" spans="3:16">
      <c r="C66" s="113" t="s">
        <v>96</v>
      </c>
      <c r="D66" s="75"/>
      <c r="E66" s="75"/>
      <c r="F66" s="76">
        <f>'UGL standalone'!F23</f>
        <v>211.4</v>
      </c>
      <c r="G66" s="76">
        <f>'UGL standalone'!G23</f>
        <v>77</v>
      </c>
      <c r="H66" s="76">
        <f>'UGL standalone'!H23</f>
        <v>114</v>
      </c>
      <c r="I66" s="76">
        <f>'UGL standalone'!I23</f>
        <v>96</v>
      </c>
      <c r="J66" s="76">
        <f>'UGL standalone'!J23</f>
        <v>264</v>
      </c>
      <c r="K66" s="76">
        <f>'UGL standalone'!K23</f>
        <v>249</v>
      </c>
      <c r="L66" s="76">
        <f>'UGL standalone'!L23</f>
        <v>76</v>
      </c>
      <c r="M66" s="76">
        <f>'UGL standalone'!M23</f>
        <v>58</v>
      </c>
      <c r="N66" s="76">
        <f>'UGL standalone'!N23</f>
        <v>88</v>
      </c>
      <c r="O66" s="76">
        <f>'UGL standalone'!O23</f>
        <v>31</v>
      </c>
      <c r="P66" s="171"/>
    </row>
    <row r="67" spans="3:16" ht="6.5" customHeight="1"/>
    <row r="68" spans="3:16">
      <c r="C68" s="39" t="s">
        <v>29</v>
      </c>
    </row>
    <row r="69" spans="3:16">
      <c r="C69" s="41" t="s">
        <v>30</v>
      </c>
      <c r="F69" s="8">
        <v>151.35518932424725</v>
      </c>
      <c r="G69" s="8">
        <v>337.96449595780433</v>
      </c>
      <c r="H69" s="8">
        <v>414.87220128347633</v>
      </c>
      <c r="I69" s="8">
        <v>509.14162993049706</v>
      </c>
      <c r="J69" s="8">
        <v>630.81475861759361</v>
      </c>
      <c r="K69" s="8">
        <v>865.04367326778754</v>
      </c>
      <c r="L69" s="8">
        <v>1039.5012355487763</v>
      </c>
      <c r="M69" s="8">
        <v>1071.1207190957471</v>
      </c>
      <c r="N69" s="8">
        <v>1101.3989145108399</v>
      </c>
      <c r="O69" s="8">
        <v>1126.7027320317256</v>
      </c>
      <c r="P69" s="171"/>
    </row>
    <row r="70" spans="3:16">
      <c r="C70" s="41" t="s">
        <v>31</v>
      </c>
      <c r="F70" s="133">
        <v>6.0904618181818179E-2</v>
      </c>
      <c r="G70" s="133">
        <v>6.2486632467839934E-2</v>
      </c>
      <c r="H70" s="133">
        <v>6.3128073899964637E-2</v>
      </c>
      <c r="I70" s="133">
        <v>6.3415572049793145E-2</v>
      </c>
      <c r="J70" s="133">
        <v>6.3627341089155964E-2</v>
      </c>
      <c r="K70" s="133">
        <v>6.3925214215266438E-2</v>
      </c>
      <c r="L70" s="133">
        <v>6.4035982086403015E-2</v>
      </c>
      <c r="M70" s="133">
        <v>6.406132641276932E-2</v>
      </c>
      <c r="N70" s="133">
        <v>6.4170532917025763E-2</v>
      </c>
      <c r="O70" s="133">
        <v>6.4257295732696784E-2</v>
      </c>
      <c r="P70" s="174"/>
    </row>
    <row r="71" spans="3:16">
      <c r="C71" s="41"/>
      <c r="F71" s="8">
        <f t="shared" ref="F71" si="15">F70*F69</f>
        <v>9.2182300156300823</v>
      </c>
      <c r="G71" s="8">
        <f t="shared" ref="G71:O71" si="16">G70*G69</f>
        <v>21.118263246094095</v>
      </c>
      <c r="H71" s="8">
        <f t="shared" si="16"/>
        <v>26.190082981664297</v>
      </c>
      <c r="I71" s="8">
        <f t="shared" si="16"/>
        <v>32.287507716406552</v>
      </c>
      <c r="J71" s="8">
        <f t="shared" si="16"/>
        <v>40.137065810635214</v>
      </c>
      <c r="K71" s="8">
        <f t="shared" si="16"/>
        <v>55.298102119204266</v>
      </c>
      <c r="L71" s="8">
        <f t="shared" si="16"/>
        <v>66.565482498395241</v>
      </c>
      <c r="M71" s="8">
        <f t="shared" si="16"/>
        <v>68.617414013472853</v>
      </c>
      <c r="N71" s="8">
        <f t="shared" si="16"/>
        <v>70.677355298394289</v>
      </c>
      <c r="O71" s="8">
        <f t="shared" si="16"/>
        <v>72.39887065500001</v>
      </c>
      <c r="P71" s="171"/>
    </row>
    <row r="72" spans="3:16">
      <c r="C72" s="47" t="s">
        <v>32</v>
      </c>
    </row>
    <row r="73" spans="3:16">
      <c r="C73" s="41" t="s">
        <v>34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71"/>
    </row>
    <row r="74" spans="3:16">
      <c r="C74" s="41" t="s">
        <v>35</v>
      </c>
      <c r="F74" s="129">
        <v>6.1399158901579218</v>
      </c>
      <c r="G74" s="129">
        <v>10.79147084272792</v>
      </c>
      <c r="H74" s="129">
        <v>13.643118505928019</v>
      </c>
      <c r="I74" s="129">
        <v>16.568024200030571</v>
      </c>
      <c r="J74" s="129">
        <v>22.085718425776275</v>
      </c>
      <c r="K74" s="129">
        <v>30.206452273836113</v>
      </c>
      <c r="L74" s="129">
        <v>35.128423164186188</v>
      </c>
      <c r="M74" s="129">
        <v>37.132609741872315</v>
      </c>
      <c r="N74" s="129">
        <v>39.310999427942441</v>
      </c>
      <c r="O74" s="129">
        <v>41.081365530285709</v>
      </c>
      <c r="P74" s="171"/>
    </row>
    <row r="75" spans="3:16">
      <c r="C75" s="41"/>
      <c r="F75" s="18">
        <f t="shared" ref="F75" si="17">SUM(F73:F74)</f>
        <v>6.1399158901579218</v>
      </c>
      <c r="G75" s="18">
        <f t="shared" ref="G75:O75" si="18">SUM(G73:G74)</f>
        <v>10.79147084272792</v>
      </c>
      <c r="H75" s="18">
        <f t="shared" si="18"/>
        <v>13.643118505928019</v>
      </c>
      <c r="I75" s="18">
        <f t="shared" si="18"/>
        <v>16.568024200030571</v>
      </c>
      <c r="J75" s="18">
        <f t="shared" si="18"/>
        <v>22.085718425776275</v>
      </c>
      <c r="K75" s="18">
        <f t="shared" si="18"/>
        <v>30.206452273836113</v>
      </c>
      <c r="L75" s="18">
        <f t="shared" si="18"/>
        <v>35.128423164186188</v>
      </c>
      <c r="M75" s="18">
        <f t="shared" si="18"/>
        <v>37.132609741872315</v>
      </c>
      <c r="N75" s="18">
        <f t="shared" si="18"/>
        <v>39.310999427942441</v>
      </c>
      <c r="O75" s="18">
        <f t="shared" si="18"/>
        <v>41.081365530285709</v>
      </c>
      <c r="P75" s="177"/>
    </row>
    <row r="76" spans="3:16" ht="6.5" customHeight="1">
      <c r="C76" s="41"/>
    </row>
    <row r="77" spans="3:16">
      <c r="C77" s="39" t="s">
        <v>39</v>
      </c>
      <c r="F77" s="8">
        <v>-1.9407011062955775</v>
      </c>
      <c r="G77" s="8">
        <v>-1.8750789252979612</v>
      </c>
      <c r="H77" s="8">
        <v>-1.8412156014423857</v>
      </c>
      <c r="I77" s="8">
        <v>-1.7855064288777438</v>
      </c>
      <c r="J77" s="8">
        <v>-3.8052259208748751</v>
      </c>
      <c r="K77" s="8">
        <v>-5.7123722315544683</v>
      </c>
      <c r="L77" s="8">
        <v>-4.5616492306409349</v>
      </c>
      <c r="M77" s="8">
        <v>-2.5144309182093352</v>
      </c>
      <c r="N77" s="8">
        <v>-0.69124594880637602</v>
      </c>
      <c r="O77" s="8">
        <v>1.2294202087513497</v>
      </c>
      <c r="P77" s="171"/>
    </row>
    <row r="78" spans="3:16" ht="6.5" customHeight="1">
      <c r="C78" s="51"/>
    </row>
    <row r="79" spans="3:16" s="2" customFormat="1">
      <c r="C79" s="134" t="s">
        <v>97</v>
      </c>
      <c r="D79" s="135"/>
      <c r="E79" s="135"/>
      <c r="F79" s="136">
        <f>F71+F75+F77</f>
        <v>13.417444799492426</v>
      </c>
      <c r="G79" s="136">
        <f t="shared" ref="G79:O79" si="19">G71+G75+G77</f>
        <v>30.03465516352405</v>
      </c>
      <c r="H79" s="136">
        <f t="shared" si="19"/>
        <v>37.991985886149934</v>
      </c>
      <c r="I79" s="136">
        <f t="shared" si="19"/>
        <v>47.070025487559377</v>
      </c>
      <c r="J79" s="136">
        <f t="shared" si="19"/>
        <v>58.41755831553661</v>
      </c>
      <c r="K79" s="136">
        <f t="shared" si="19"/>
        <v>79.792182161485911</v>
      </c>
      <c r="L79" s="136">
        <f t="shared" si="19"/>
        <v>97.13225643194049</v>
      </c>
      <c r="M79" s="136">
        <f t="shared" si="19"/>
        <v>103.23559283713584</v>
      </c>
      <c r="N79" s="136">
        <f t="shared" si="19"/>
        <v>109.29710877753035</v>
      </c>
      <c r="O79" s="136">
        <f t="shared" si="19"/>
        <v>114.70965639403707</v>
      </c>
      <c r="P79" s="175"/>
    </row>
    <row r="80" spans="3:16" s="22" customFormat="1" ht="6.5" customHeight="1">
      <c r="P80" s="176"/>
    </row>
    <row r="81" spans="3:16">
      <c r="C81" s="127" t="s">
        <v>122</v>
      </c>
      <c r="D81" s="127"/>
      <c r="E81" s="127"/>
      <c r="F81" s="129">
        <v>-1.7</v>
      </c>
      <c r="G81" s="129">
        <v>-2.7</v>
      </c>
      <c r="H81" s="129">
        <v>-3.4</v>
      </c>
      <c r="I81" s="129">
        <v>-3.4</v>
      </c>
      <c r="J81" s="129">
        <v>-3.4</v>
      </c>
      <c r="K81" s="129">
        <v>-3.4</v>
      </c>
      <c r="L81" s="129">
        <v>-3.4</v>
      </c>
      <c r="M81" s="129">
        <v>-3.4</v>
      </c>
      <c r="N81" s="129">
        <v>-3.4</v>
      </c>
      <c r="O81" s="129">
        <v>-3.4</v>
      </c>
      <c r="P81" s="171"/>
    </row>
    <row r="82" spans="3:16" s="2" customFormat="1" ht="15" thickBot="1">
      <c r="C82" s="68" t="s">
        <v>123</v>
      </c>
      <c r="D82" s="68"/>
      <c r="E82" s="68"/>
      <c r="F82" s="114">
        <f>SUM(F79:F81)</f>
        <v>11.717444799492426</v>
      </c>
      <c r="G82" s="114">
        <f t="shared" ref="G82:O82" si="20">SUM(G79:G81)</f>
        <v>27.334655163524051</v>
      </c>
      <c r="H82" s="114">
        <f t="shared" si="20"/>
        <v>34.591985886149935</v>
      </c>
      <c r="I82" s="114">
        <f t="shared" si="20"/>
        <v>43.670025487559379</v>
      </c>
      <c r="J82" s="114">
        <f t="shared" si="20"/>
        <v>55.017558315536611</v>
      </c>
      <c r="K82" s="114">
        <f t="shared" si="20"/>
        <v>76.392182161485906</v>
      </c>
      <c r="L82" s="114">
        <f t="shared" si="20"/>
        <v>93.732256431940485</v>
      </c>
      <c r="M82" s="114">
        <f t="shared" si="20"/>
        <v>99.835592837135835</v>
      </c>
      <c r="N82" s="114">
        <f t="shared" si="20"/>
        <v>105.89710877753035</v>
      </c>
      <c r="O82" s="114">
        <f t="shared" si="20"/>
        <v>111.30965639403706</v>
      </c>
      <c r="P82" s="175"/>
    </row>
    <row r="83" spans="3:16" ht="15" thickTop="1"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77"/>
    </row>
    <row r="84" spans="3:16"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7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5" sqref="L5"/>
    </sheetView>
  </sheetViews>
  <sheetFormatPr baseColWidth="10" defaultColWidth="8.83203125" defaultRowHeight="14" x14ac:dyDescent="0"/>
  <cols>
    <col min="1" max="1" width="17.33203125" customWidth="1"/>
    <col min="11" max="11" width="9.1640625" bestFit="1" customWidth="1"/>
    <col min="15" max="15" width="46.5" bestFit="1" customWidth="1"/>
  </cols>
  <sheetData>
    <row r="1" spans="1:15" ht="18">
      <c r="A1" s="183" t="s">
        <v>143</v>
      </c>
    </row>
    <row r="3" spans="1:15">
      <c r="B3" s="184">
        <v>2019</v>
      </c>
      <c r="C3" s="184">
        <f>+B3+1</f>
        <v>2020</v>
      </c>
      <c r="D3" s="184">
        <f t="shared" ref="D3:K3" si="0">+C3+1</f>
        <v>2021</v>
      </c>
      <c r="E3" s="184">
        <f t="shared" si="0"/>
        <v>2022</v>
      </c>
      <c r="F3" s="184">
        <f t="shared" si="0"/>
        <v>2023</v>
      </c>
      <c r="G3" s="184">
        <f t="shared" si="0"/>
        <v>2024</v>
      </c>
      <c r="H3" s="184">
        <f t="shared" si="0"/>
        <v>2025</v>
      </c>
      <c r="I3" s="184">
        <f t="shared" si="0"/>
        <v>2026</v>
      </c>
      <c r="J3" s="184">
        <f t="shared" si="0"/>
        <v>2027</v>
      </c>
      <c r="K3" s="184">
        <f t="shared" si="0"/>
        <v>2028</v>
      </c>
      <c r="L3" s="184" t="s">
        <v>144</v>
      </c>
      <c r="N3" t="s">
        <v>171</v>
      </c>
      <c r="O3" t="s">
        <v>172</v>
      </c>
    </row>
    <row r="4" spans="1:15">
      <c r="A4" s="182" t="s">
        <v>145</v>
      </c>
      <c r="B4" s="181">
        <v>0</v>
      </c>
      <c r="C4" s="181">
        <f>+B7</f>
        <v>315.28220272046786</v>
      </c>
      <c r="D4" s="181">
        <f t="shared" ref="D4:K4" si="1">+C7</f>
        <v>592.62832545000776</v>
      </c>
      <c r="E4" s="181">
        <f t="shared" si="1"/>
        <v>753.09203261234904</v>
      </c>
      <c r="F4" s="181">
        <f t="shared" si="1"/>
        <v>943.30548673802173</v>
      </c>
      <c r="G4" s="181">
        <f t="shared" si="1"/>
        <v>1233.3453312162683</v>
      </c>
      <c r="H4" s="181">
        <f t="shared" si="1"/>
        <v>1504.0314243438327</v>
      </c>
      <c r="I4" s="181">
        <f t="shared" si="1"/>
        <v>1615.8518777409365</v>
      </c>
      <c r="J4" s="181">
        <f t="shared" si="1"/>
        <v>1909.9493500268779</v>
      </c>
      <c r="K4" s="181">
        <f t="shared" si="1"/>
        <v>1997.9010898288589</v>
      </c>
      <c r="L4" s="181"/>
      <c r="O4" s="189" t="s">
        <v>173</v>
      </c>
    </row>
    <row r="5" spans="1:15">
      <c r="A5" s="182" t="s">
        <v>146</v>
      </c>
      <c r="B5" s="181">
        <f>+'EGD_Price cap'!F65+'UGL Price cap'!F66</f>
        <v>322.87124479293391</v>
      </c>
      <c r="C5" s="181">
        <f>+'EGD_Price cap'!G65+'UGL Price cap'!G66</f>
        <v>293.85516935848921</v>
      </c>
      <c r="D5" s="181">
        <f>+'EGD_Price cap'!H65+'UGL Price cap'!H66</f>
        <v>183.54804425006199</v>
      </c>
      <c r="E5" s="181">
        <f>+'EGD_Price cap'!I65+'UGL Price cap'!I66</f>
        <v>218.72262013584839</v>
      </c>
      <c r="F5" s="181">
        <f>+'EGD_Price cap'!J65+'UGL Price cap'!J66</f>
        <v>326.47469114630144</v>
      </c>
      <c r="G5" s="181">
        <f>+'EGD_Price cap'!K65+'UGL Price cap'!K66</f>
        <v>316.93745738578093</v>
      </c>
      <c r="H5" s="181">
        <f>+'EGD_Price cap'!L65+'UGL Price cap'!L66</f>
        <v>165.03486038138226</v>
      </c>
      <c r="I5" s="181">
        <f>+'EGD_Price cap'!M65+'UGL Price cap'!M66</f>
        <v>354.32619741177189</v>
      </c>
      <c r="J5" s="181">
        <f>+'EGD_Price cap'!N65+'UGL Price cap'!N66</f>
        <v>155.08362628574264</v>
      </c>
      <c r="K5" s="181">
        <f>+'EGD_Price cap'!O65+'UGL Price cap'!O66</f>
        <v>101.24473197776581</v>
      </c>
      <c r="L5" s="181">
        <f>SUM(B5:K5)</f>
        <v>2438.0986431260781</v>
      </c>
      <c r="N5" t="s">
        <v>174</v>
      </c>
      <c r="O5" s="189" t="s">
        <v>173</v>
      </c>
    </row>
    <row r="6" spans="1:15">
      <c r="A6" s="182" t="s">
        <v>147</v>
      </c>
      <c r="B6" s="181">
        <f>+'EGD_Price cap'!F73+'UGL Price cap'!F74</f>
        <v>7.5890420724660625</v>
      </c>
      <c r="C6" s="181">
        <f>+'EGD_Price cap'!G73+'UGL Price cap'!G74</f>
        <v>16.509046628949282</v>
      </c>
      <c r="D6" s="181">
        <f>+'EGD_Price cap'!H73+'UGL Price cap'!H74</f>
        <v>23.084337087720698</v>
      </c>
      <c r="E6" s="181">
        <f>+'EGD_Price cap'!I73+'UGL Price cap'!I74</f>
        <v>28.509166010175726</v>
      </c>
      <c r="F6" s="181">
        <f>+'EGD_Price cap'!J73+'UGL Price cap'!J74</f>
        <v>36.434846668054846</v>
      </c>
      <c r="G6" s="181">
        <f>+'EGD_Price cap'!K73+'UGL Price cap'!K74</f>
        <v>46.25136425821642</v>
      </c>
      <c r="H6" s="181">
        <f>+'EGD_Price cap'!L73+'UGL Price cap'!L74</f>
        <v>53.214406984278469</v>
      </c>
      <c r="I6" s="181">
        <f>+'EGD_Price cap'!M73+'UGL Price cap'!M74</f>
        <v>60.228725125830557</v>
      </c>
      <c r="J6" s="181">
        <f>+'EGD_Price cap'!N73+'UGL Price cap'!N74</f>
        <v>67.131886483761733</v>
      </c>
      <c r="K6" s="181">
        <f>+'EGD_Price cap'!O73+'UGL Price cap'!O74</f>
        <v>70.68797285516527</v>
      </c>
      <c r="L6" s="181"/>
      <c r="O6" s="189" t="s">
        <v>173</v>
      </c>
    </row>
    <row r="7" spans="1:15">
      <c r="A7" s="182" t="s">
        <v>148</v>
      </c>
      <c r="B7" s="181">
        <f>+B4+B5-B6</f>
        <v>315.28220272046786</v>
      </c>
      <c r="C7" s="181">
        <f t="shared" ref="C7:K7" si="2">+C4+C5-C6</f>
        <v>592.62832545000776</v>
      </c>
      <c r="D7" s="181">
        <f t="shared" si="2"/>
        <v>753.09203261234904</v>
      </c>
      <c r="E7" s="181">
        <f t="shared" si="2"/>
        <v>943.30548673802173</v>
      </c>
      <c r="F7" s="181">
        <f t="shared" si="2"/>
        <v>1233.3453312162683</v>
      </c>
      <c r="G7" s="181">
        <f t="shared" si="2"/>
        <v>1504.0314243438327</v>
      </c>
      <c r="H7" s="181">
        <f t="shared" si="2"/>
        <v>1615.8518777409365</v>
      </c>
      <c r="I7" s="181">
        <f t="shared" si="2"/>
        <v>1909.9493500268779</v>
      </c>
      <c r="J7" s="181">
        <f t="shared" si="2"/>
        <v>1997.9010898288589</v>
      </c>
      <c r="K7" s="181">
        <f t="shared" si="2"/>
        <v>2028.4578489514593</v>
      </c>
      <c r="L7" s="181"/>
      <c r="O7" s="189" t="s">
        <v>173</v>
      </c>
    </row>
    <row r="8" spans="1:15">
      <c r="A8" s="182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</row>
    <row r="9" spans="1:15">
      <c r="A9" s="182" t="s">
        <v>147</v>
      </c>
      <c r="B9" s="181">
        <f>+B6</f>
        <v>7.5890420724660625</v>
      </c>
      <c r="C9" s="181">
        <f t="shared" ref="C9:K9" si="3">+C6</f>
        <v>16.509046628949282</v>
      </c>
      <c r="D9" s="181">
        <f t="shared" si="3"/>
        <v>23.084337087720698</v>
      </c>
      <c r="E9" s="181">
        <f t="shared" si="3"/>
        <v>28.509166010175726</v>
      </c>
      <c r="F9" s="181">
        <f t="shared" si="3"/>
        <v>36.434846668054846</v>
      </c>
      <c r="G9" s="181">
        <f t="shared" si="3"/>
        <v>46.25136425821642</v>
      </c>
      <c r="H9" s="181">
        <f t="shared" si="3"/>
        <v>53.214406984278469</v>
      </c>
      <c r="I9" s="181">
        <f t="shared" si="3"/>
        <v>60.228725125830557</v>
      </c>
      <c r="J9" s="181">
        <f t="shared" si="3"/>
        <v>67.131886483761733</v>
      </c>
      <c r="K9" s="181">
        <f t="shared" si="3"/>
        <v>70.68797285516527</v>
      </c>
      <c r="L9" s="181">
        <f t="shared" ref="L9:L15" si="4">SUM(B9:K9)</f>
        <v>409.64079417461903</v>
      </c>
      <c r="O9" t="s">
        <v>175</v>
      </c>
    </row>
    <row r="10" spans="1:15">
      <c r="A10" s="182" t="s">
        <v>29</v>
      </c>
      <c r="B10" s="181">
        <f>+'EGD_Price cap'!F70+'UGL Price cap'!F71</f>
        <v>12.568102800199433</v>
      </c>
      <c r="C10" s="181">
        <f>+'EGD_Price cap'!G70+'UGL Price cap'!G71</f>
        <v>34.656283229899714</v>
      </c>
      <c r="D10" s="181">
        <f>+'EGD_Price cap'!H70+'UGL Price cap'!H71</f>
        <v>48.551815417025423</v>
      </c>
      <c r="E10" s="181">
        <f>+'EGD_Price cap'!I70+'UGL Price cap'!I71</f>
        <v>60.16615460799224</v>
      </c>
      <c r="F10" s="181">
        <f>+'EGD_Price cap'!J70+'UGL Price cap'!J71</f>
        <v>73.145939254803096</v>
      </c>
      <c r="G10" s="181">
        <f>+'EGD_Price cap'!K70+'UGL Price cap'!K71</f>
        <v>91.536403979556354</v>
      </c>
      <c r="H10" s="181">
        <f>+'EGD_Price cap'!L70+'UGL Price cap'!L71</f>
        <v>106.76991528323357</v>
      </c>
      <c r="I10" s="181">
        <f>+'EGD_Price cap'!M70+'UGL Price cap'!M71</f>
        <v>119.93229638352815</v>
      </c>
      <c r="J10" s="181">
        <f>+'EGD_Price cap'!N70+'UGL Price cap'!N71</f>
        <v>132.07994161069169</v>
      </c>
      <c r="K10" s="181">
        <f>+'EGD_Price cap'!O70+'UGL Price cap'!O71</f>
        <v>136.38160771057582</v>
      </c>
      <c r="L10" s="181">
        <f t="shared" si="4"/>
        <v>815.78846027750546</v>
      </c>
      <c r="O10" t="s">
        <v>175</v>
      </c>
    </row>
    <row r="11" spans="1:15">
      <c r="A11" s="182" t="s">
        <v>149</v>
      </c>
      <c r="B11" s="181">
        <f>+'EGD_Price cap'!F76+'UGL Price cap'!F81</f>
        <v>-1.7298346115096377</v>
      </c>
      <c r="C11" s="181">
        <f>+'EGD_Price cap'!G76+'UGL Price cap'!G81</f>
        <v>-2.7262040651158967</v>
      </c>
      <c r="D11" s="181">
        <f>+'EGD_Price cap'!H76+'UGL Price cap'!H81</f>
        <v>-3.2271389411481191</v>
      </c>
      <c r="E11" s="181">
        <f>+'EGD_Price cap'!I76+'UGL Price cap'!I81</f>
        <v>-2.9165623342653446</v>
      </c>
      <c r="F11" s="181">
        <f>+'EGD_Price cap'!J76+'UGL Price cap'!J81</f>
        <v>-2.5376801053346507</v>
      </c>
      <c r="G11" s="181">
        <f>+'EGD_Price cap'!K76+'UGL Price cap'!K81</f>
        <v>-2.0936935121878508</v>
      </c>
      <c r="H11" s="181">
        <f>+'EGD_Price cap'!L76+'UGL Price cap'!L81</f>
        <v>-1.6272018503125856</v>
      </c>
      <c r="I11" s="181">
        <f>+'EGD_Price cap'!M76+'UGL Price cap'!M81</f>
        <v>-1.1539232469675844</v>
      </c>
      <c r="J11" s="181">
        <f>+'EGD_Price cap'!N76+'UGL Price cap'!N81</f>
        <v>-0.53319328865074445</v>
      </c>
      <c r="K11" s="181">
        <f>+'EGD_Price cap'!O76+'UGL Price cap'!O81</f>
        <v>0.23813994247660597</v>
      </c>
      <c r="L11" s="181">
        <f t="shared" si="4"/>
        <v>-18.307292013015804</v>
      </c>
      <c r="O11" s="189" t="s">
        <v>176</v>
      </c>
    </row>
    <row r="12" spans="1:15">
      <c r="A12" s="182" t="s">
        <v>150</v>
      </c>
      <c r="B12" s="181">
        <f>SUM(B9:B11)</f>
        <v>18.42731026115586</v>
      </c>
      <c r="C12" s="181">
        <f t="shared" ref="C12:K12" si="5">SUM(C9:C11)</f>
        <v>48.439125793733098</v>
      </c>
      <c r="D12" s="181">
        <f t="shared" si="5"/>
        <v>68.409013563598009</v>
      </c>
      <c r="E12" s="181">
        <f t="shared" si="5"/>
        <v>85.758758283902623</v>
      </c>
      <c r="F12" s="181">
        <f t="shared" si="5"/>
        <v>107.0431058175233</v>
      </c>
      <c r="G12" s="181">
        <f t="shared" si="5"/>
        <v>135.69407472558493</v>
      </c>
      <c r="H12" s="181">
        <f t="shared" si="5"/>
        <v>158.35712041719944</v>
      </c>
      <c r="I12" s="181">
        <f t="shared" si="5"/>
        <v>179.00709826239111</v>
      </c>
      <c r="J12" s="181">
        <f t="shared" si="5"/>
        <v>198.67863480580269</v>
      </c>
      <c r="K12" s="181">
        <f t="shared" si="5"/>
        <v>207.3077205082177</v>
      </c>
      <c r="L12" s="181">
        <f t="shared" si="4"/>
        <v>1207.1219624391088</v>
      </c>
      <c r="O12" s="189" t="s">
        <v>177</v>
      </c>
    </row>
    <row r="14" spans="1:15">
      <c r="A14" s="182" t="s">
        <v>151</v>
      </c>
      <c r="B14" s="185">
        <f>+'EGD_Price cap'!F48+'UGL Price cap'!F49</f>
        <v>832.45135767420015</v>
      </c>
      <c r="C14" s="185">
        <f>+'EGD_Price cap'!G48+'UGL Price cap'!G49</f>
        <v>838.17856369629089</v>
      </c>
      <c r="D14" s="185">
        <f>+'EGD_Price cap'!H48+'UGL Price cap'!H49</f>
        <v>839.43077668889248</v>
      </c>
      <c r="E14" s="185">
        <f>+'EGD_Price cap'!I48+'UGL Price cap'!I49</f>
        <v>848.46833152067256</v>
      </c>
      <c r="F14" s="185">
        <f>+'EGD_Price cap'!J48+'UGL Price cap'!J49</f>
        <v>853.71477326903346</v>
      </c>
      <c r="G14" s="185">
        <f>+'EGD_Price cap'!K48+'UGL Price cap'!K49</f>
        <v>859.20748993596806</v>
      </c>
      <c r="H14" s="185">
        <f>+'EGD_Price cap'!L48+'UGL Price cap'!L49</f>
        <v>865.13651327596085</v>
      </c>
      <c r="I14" s="185">
        <f>+'EGD_Price cap'!M48+'UGL Price cap'!M49</f>
        <v>871.13748654928816</v>
      </c>
      <c r="J14" s="185">
        <f>+'EGD_Price cap'!N48+'UGL Price cap'!N49</f>
        <v>877.57710830504993</v>
      </c>
      <c r="K14" s="185">
        <f>+'EGD_Price cap'!O48+'UGL Price cap'!O49</f>
        <v>884.63376229051414</v>
      </c>
      <c r="L14" s="181">
        <f t="shared" si="4"/>
        <v>8569.9361632058699</v>
      </c>
      <c r="O14" t="s">
        <v>175</v>
      </c>
    </row>
    <row r="15" spans="1:15">
      <c r="A15" s="182" t="s">
        <v>158</v>
      </c>
      <c r="B15" s="185">
        <f>+B14+B5</f>
        <v>1155.3226024671339</v>
      </c>
      <c r="C15" s="185">
        <f t="shared" ref="C15:K15" si="6">+C14+C5</f>
        <v>1132.03373305478</v>
      </c>
      <c r="D15" s="185">
        <f t="shared" si="6"/>
        <v>1022.9788209389544</v>
      </c>
      <c r="E15" s="185">
        <f t="shared" si="6"/>
        <v>1067.1909516565211</v>
      </c>
      <c r="F15" s="185">
        <f t="shared" si="6"/>
        <v>1180.1894644153349</v>
      </c>
      <c r="G15" s="185">
        <f t="shared" si="6"/>
        <v>1176.144947321749</v>
      </c>
      <c r="H15" s="185">
        <f t="shared" si="6"/>
        <v>1030.1713736573431</v>
      </c>
      <c r="I15" s="185">
        <f t="shared" si="6"/>
        <v>1225.46368396106</v>
      </c>
      <c r="J15" s="185">
        <f t="shared" si="6"/>
        <v>1032.6607345907926</v>
      </c>
      <c r="K15" s="185">
        <f t="shared" si="6"/>
        <v>985.87849426827995</v>
      </c>
      <c r="L15" s="181">
        <f t="shared" si="4"/>
        <v>11008.034806331949</v>
      </c>
      <c r="O15" s="189" t="s">
        <v>177</v>
      </c>
    </row>
    <row r="17" spans="1:15">
      <c r="A17" s="186" t="s">
        <v>156</v>
      </c>
    </row>
    <row r="18" spans="1:15">
      <c r="A18" s="182" t="s">
        <v>152</v>
      </c>
      <c r="B18">
        <v>561</v>
      </c>
      <c r="C18">
        <v>556</v>
      </c>
      <c r="D18">
        <v>568</v>
      </c>
      <c r="E18">
        <v>526</v>
      </c>
      <c r="F18">
        <v>501</v>
      </c>
      <c r="G18">
        <v>587</v>
      </c>
      <c r="H18">
        <v>578</v>
      </c>
      <c r="I18">
        <v>597</v>
      </c>
      <c r="J18">
        <v>607</v>
      </c>
      <c r="K18">
        <v>598</v>
      </c>
      <c r="L18" s="181">
        <f t="shared" ref="L18:L23" si="7">SUM(B18:K18)</f>
        <v>5679</v>
      </c>
      <c r="O18" t="s">
        <v>175</v>
      </c>
    </row>
    <row r="19" spans="1:15">
      <c r="A19" s="182" t="s">
        <v>153</v>
      </c>
      <c r="B19">
        <v>336</v>
      </c>
      <c r="C19">
        <v>289</v>
      </c>
      <c r="D19">
        <v>271</v>
      </c>
      <c r="E19">
        <v>323</v>
      </c>
      <c r="F19">
        <v>353</v>
      </c>
      <c r="G19">
        <v>270</v>
      </c>
      <c r="H19">
        <v>287</v>
      </c>
      <c r="I19">
        <v>274</v>
      </c>
      <c r="J19">
        <v>268</v>
      </c>
      <c r="K19">
        <v>286</v>
      </c>
      <c r="L19" s="181">
        <f t="shared" si="7"/>
        <v>2957</v>
      </c>
      <c r="O19" t="s">
        <v>175</v>
      </c>
    </row>
    <row r="20" spans="1:15">
      <c r="A20" s="182" t="s">
        <v>157</v>
      </c>
      <c r="B20">
        <f>+B18+B19</f>
        <v>897</v>
      </c>
      <c r="C20">
        <f t="shared" ref="C20:K20" si="8">+C18+C19</f>
        <v>845</v>
      </c>
      <c r="D20">
        <f t="shared" si="8"/>
        <v>839</v>
      </c>
      <c r="E20">
        <f t="shared" si="8"/>
        <v>849</v>
      </c>
      <c r="F20">
        <f t="shared" si="8"/>
        <v>854</v>
      </c>
      <c r="G20">
        <f t="shared" si="8"/>
        <v>857</v>
      </c>
      <c r="H20">
        <f t="shared" si="8"/>
        <v>865</v>
      </c>
      <c r="I20">
        <f t="shared" si="8"/>
        <v>871</v>
      </c>
      <c r="J20">
        <f t="shared" si="8"/>
        <v>875</v>
      </c>
      <c r="K20">
        <f t="shared" si="8"/>
        <v>884</v>
      </c>
      <c r="L20" s="181">
        <f t="shared" si="7"/>
        <v>8636</v>
      </c>
      <c r="O20" t="s">
        <v>178</v>
      </c>
    </row>
    <row r="21" spans="1:15">
      <c r="A21" s="182" t="s">
        <v>154</v>
      </c>
      <c r="B21">
        <v>323</v>
      </c>
      <c r="C21">
        <v>308</v>
      </c>
      <c r="D21">
        <v>186</v>
      </c>
      <c r="E21">
        <v>224</v>
      </c>
      <c r="F21">
        <v>332</v>
      </c>
      <c r="G21">
        <v>317</v>
      </c>
      <c r="H21">
        <v>171</v>
      </c>
      <c r="I21">
        <v>372</v>
      </c>
      <c r="J21">
        <v>155</v>
      </c>
      <c r="K21">
        <v>152</v>
      </c>
      <c r="L21" s="181">
        <f t="shared" si="7"/>
        <v>2540</v>
      </c>
      <c r="O21" t="s">
        <v>175</v>
      </c>
    </row>
    <row r="22" spans="1:15">
      <c r="A22" s="182" t="s">
        <v>159</v>
      </c>
      <c r="B22">
        <f>+B21+B20</f>
        <v>1220</v>
      </c>
      <c r="C22">
        <f t="shared" ref="C22:J22" si="9">+C21+C20</f>
        <v>1153</v>
      </c>
      <c r="D22">
        <f t="shared" si="9"/>
        <v>1025</v>
      </c>
      <c r="E22">
        <f t="shared" si="9"/>
        <v>1073</v>
      </c>
      <c r="F22">
        <f t="shared" si="9"/>
        <v>1186</v>
      </c>
      <c r="G22">
        <f t="shared" si="9"/>
        <v>1174</v>
      </c>
      <c r="H22">
        <f t="shared" si="9"/>
        <v>1036</v>
      </c>
      <c r="I22">
        <f t="shared" si="9"/>
        <v>1243</v>
      </c>
      <c r="J22">
        <f t="shared" si="9"/>
        <v>1030</v>
      </c>
      <c r="K22">
        <f>+K21+K20</f>
        <v>1036</v>
      </c>
      <c r="L22" s="181">
        <f t="shared" si="7"/>
        <v>11176</v>
      </c>
      <c r="O22" t="s">
        <v>175</v>
      </c>
    </row>
    <row r="23" spans="1:15">
      <c r="A23" s="182" t="s">
        <v>160</v>
      </c>
      <c r="B23">
        <v>11</v>
      </c>
      <c r="C23">
        <v>36</v>
      </c>
      <c r="D23">
        <v>53</v>
      </c>
      <c r="E23">
        <v>37</v>
      </c>
      <c r="F23">
        <v>13</v>
      </c>
      <c r="L23" s="181">
        <f t="shared" si="7"/>
        <v>150</v>
      </c>
      <c r="O23" t="s">
        <v>175</v>
      </c>
    </row>
    <row r="24" spans="1:15">
      <c r="A24" s="182" t="s">
        <v>155</v>
      </c>
      <c r="B24">
        <f>+B22+B23</f>
        <v>1231</v>
      </c>
      <c r="C24">
        <f t="shared" ref="C24:K24" si="10">+C22+C23</f>
        <v>1189</v>
      </c>
      <c r="D24">
        <f t="shared" si="10"/>
        <v>1078</v>
      </c>
      <c r="E24">
        <f t="shared" si="10"/>
        <v>1110</v>
      </c>
      <c r="F24">
        <f t="shared" si="10"/>
        <v>1199</v>
      </c>
      <c r="G24">
        <f t="shared" si="10"/>
        <v>1174</v>
      </c>
      <c r="H24">
        <f t="shared" si="10"/>
        <v>1036</v>
      </c>
      <c r="I24">
        <f t="shared" si="10"/>
        <v>1243</v>
      </c>
      <c r="J24">
        <f t="shared" si="10"/>
        <v>1030</v>
      </c>
      <c r="K24">
        <f t="shared" si="10"/>
        <v>1036</v>
      </c>
      <c r="L24" s="181">
        <f t="shared" ref="L24" si="11">SUM(B24:K24)</f>
        <v>11326</v>
      </c>
      <c r="O24" t="s">
        <v>178</v>
      </c>
    </row>
    <row r="26" spans="1:15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</row>
    <row r="27" spans="1:15" s="169" customFormat="1">
      <c r="A27" s="194" t="s">
        <v>181</v>
      </c>
    </row>
    <row r="28" spans="1:15" s="169" customFormat="1"/>
    <row r="29" spans="1:15">
      <c r="A29" s="182" t="s">
        <v>0</v>
      </c>
      <c r="N29" s="169"/>
      <c r="O29" s="169"/>
    </row>
    <row r="30" spans="1:15">
      <c r="A30" t="s">
        <v>161</v>
      </c>
      <c r="B30" s="8">
        <v>0</v>
      </c>
      <c r="C30" s="8">
        <f>B32</f>
        <v>111.47124479293387</v>
      </c>
      <c r="D30" s="8">
        <f t="shared" ref="D30:K30" si="12">C32</f>
        <v>328.32641415142308</v>
      </c>
      <c r="E30" s="8">
        <f t="shared" si="12"/>
        <v>397.87445840148507</v>
      </c>
      <c r="F30" s="8">
        <f t="shared" si="12"/>
        <v>520.59707853733346</v>
      </c>
      <c r="G30" s="8">
        <f t="shared" si="12"/>
        <v>583.0717696836349</v>
      </c>
      <c r="H30" s="8">
        <f t="shared" si="12"/>
        <v>651.00922706941583</v>
      </c>
      <c r="I30" s="8">
        <f t="shared" si="12"/>
        <v>740.04408745079809</v>
      </c>
      <c r="J30" s="8">
        <f t="shared" si="12"/>
        <v>1036.3702848625699</v>
      </c>
      <c r="K30" s="8">
        <f t="shared" si="12"/>
        <v>1103.4539111483125</v>
      </c>
      <c r="L30" s="8"/>
    </row>
    <row r="31" spans="1:15">
      <c r="A31" t="s">
        <v>189</v>
      </c>
      <c r="B31" s="129">
        <f>'EGD_Price cap'!F65</f>
        <v>111.47124479293387</v>
      </c>
      <c r="C31" s="129">
        <f>'EGD_Price cap'!G65</f>
        <v>216.85516935848921</v>
      </c>
      <c r="D31" s="129">
        <f>'EGD_Price cap'!H65</f>
        <v>69.548044250061992</v>
      </c>
      <c r="E31" s="129">
        <f>'EGD_Price cap'!I65</f>
        <v>122.72262013584839</v>
      </c>
      <c r="F31" s="129">
        <f>'EGD_Price cap'!J65</f>
        <v>62.474691146301438</v>
      </c>
      <c r="G31" s="129">
        <f>'EGD_Price cap'!K65</f>
        <v>67.937457385780931</v>
      </c>
      <c r="H31" s="129">
        <f>'EGD_Price cap'!L65</f>
        <v>89.034860381382259</v>
      </c>
      <c r="I31" s="129">
        <f>'EGD_Price cap'!M65</f>
        <v>296.32619741177189</v>
      </c>
      <c r="J31" s="129">
        <f>'EGD_Price cap'!N65</f>
        <v>67.083626285742639</v>
      </c>
      <c r="K31" s="129">
        <f>'EGD_Price cap'!O65</f>
        <v>70.244731977765809</v>
      </c>
      <c r="L31" s="129"/>
    </row>
    <row r="32" spans="1:15">
      <c r="A32" t="s">
        <v>163</v>
      </c>
      <c r="B32" s="8">
        <f>SUM(B30:B31)</f>
        <v>111.47124479293387</v>
      </c>
      <c r="C32" s="8">
        <f t="shared" ref="C32:K32" si="13">SUM(C30:C31)</f>
        <v>328.32641415142308</v>
      </c>
      <c r="D32" s="8">
        <f t="shared" si="13"/>
        <v>397.87445840148507</v>
      </c>
      <c r="E32" s="8">
        <f t="shared" si="13"/>
        <v>520.59707853733346</v>
      </c>
      <c r="F32" s="8">
        <f t="shared" si="13"/>
        <v>583.0717696836349</v>
      </c>
      <c r="G32" s="8">
        <f t="shared" si="13"/>
        <v>651.00922706941583</v>
      </c>
      <c r="H32" s="8">
        <f t="shared" si="13"/>
        <v>740.04408745079809</v>
      </c>
      <c r="I32" s="8">
        <f t="shared" si="13"/>
        <v>1036.3702848625699</v>
      </c>
      <c r="J32" s="8">
        <f t="shared" si="13"/>
        <v>1103.4539111483125</v>
      </c>
      <c r="K32" s="8">
        <f t="shared" si="13"/>
        <v>1173.6986431260784</v>
      </c>
      <c r="L32" s="8"/>
    </row>
    <row r="34" spans="1:15">
      <c r="A34" t="s">
        <v>164</v>
      </c>
      <c r="B34" s="8">
        <f t="shared" ref="B34:J34" si="14">B30+B31/2</f>
        <v>55.735622396466937</v>
      </c>
      <c r="C34" s="8">
        <f t="shared" si="14"/>
        <v>219.89882947217848</v>
      </c>
      <c r="D34" s="8">
        <f t="shared" si="14"/>
        <v>363.10043627645405</v>
      </c>
      <c r="E34" s="8">
        <f t="shared" si="14"/>
        <v>459.23576846940927</v>
      </c>
      <c r="F34" s="8">
        <f t="shared" si="14"/>
        <v>551.83442411048418</v>
      </c>
      <c r="G34" s="8">
        <f t="shared" si="14"/>
        <v>617.04049837652542</v>
      </c>
      <c r="H34" s="8">
        <f t="shared" si="14"/>
        <v>695.52665726010696</v>
      </c>
      <c r="I34" s="8">
        <f t="shared" si="14"/>
        <v>888.20718615668397</v>
      </c>
      <c r="J34" s="8">
        <f t="shared" si="14"/>
        <v>1069.9120980054413</v>
      </c>
      <c r="K34" s="8">
        <f>K30+K31/2</f>
        <v>1138.5762771371953</v>
      </c>
      <c r="L34" s="188"/>
    </row>
    <row r="36" spans="1:15">
      <c r="A36" t="s">
        <v>188</v>
      </c>
      <c r="B36" s="8">
        <v>0</v>
      </c>
      <c r="C36" s="8">
        <f>B38</f>
        <v>1.4491261823081403</v>
      </c>
      <c r="D36" s="8">
        <f t="shared" ref="D36:K36" si="15">C38</f>
        <v>7.1667019685295017</v>
      </c>
      <c r="E36" s="8">
        <f t="shared" si="15"/>
        <v>16.607920550322184</v>
      </c>
      <c r="F36" s="8">
        <f t="shared" si="15"/>
        <v>28.549062360467339</v>
      </c>
      <c r="G36" s="8">
        <f t="shared" si="15"/>
        <v>42.898190602745906</v>
      </c>
      <c r="H36" s="8">
        <f t="shared" si="15"/>
        <v>58.943102587126212</v>
      </c>
      <c r="I36" s="8">
        <f t="shared" si="15"/>
        <v>77.029086407218486</v>
      </c>
      <c r="J36" s="8">
        <f t="shared" si="15"/>
        <v>100.12520179117672</v>
      </c>
      <c r="K36" s="8">
        <f t="shared" si="15"/>
        <v>127.94608884699601</v>
      </c>
    </row>
    <row r="37" spans="1:15">
      <c r="A37" t="s">
        <v>165</v>
      </c>
      <c r="B37" s="129">
        <f>'EGD_Price cap'!F73</f>
        <v>1.4491261823081403</v>
      </c>
      <c r="C37" s="129">
        <f>'EGD_Price cap'!G73</f>
        <v>5.717575786221361</v>
      </c>
      <c r="D37" s="129">
        <f>'EGD_Price cap'!H73</f>
        <v>9.4412185817926808</v>
      </c>
      <c r="E37" s="129">
        <f>'EGD_Price cap'!I73</f>
        <v>11.941141810145153</v>
      </c>
      <c r="F37" s="129">
        <f>'EGD_Price cap'!J73</f>
        <v>14.349128242278569</v>
      </c>
      <c r="G37" s="129">
        <f>'EGD_Price cap'!K73</f>
        <v>16.044911984380306</v>
      </c>
      <c r="H37" s="129">
        <f>'EGD_Price cap'!L73</f>
        <v>18.085983820092277</v>
      </c>
      <c r="I37" s="129">
        <f>'EGD_Price cap'!M73</f>
        <v>23.096115383958242</v>
      </c>
      <c r="J37" s="129">
        <f>'EGD_Price cap'!N73</f>
        <v>27.820887055819288</v>
      </c>
      <c r="K37" s="129">
        <f>'EGD_Price cap'!O73</f>
        <v>29.606607324879562</v>
      </c>
      <c r="L37" s="188"/>
    </row>
    <row r="38" spans="1:15">
      <c r="A38" t="s">
        <v>187</v>
      </c>
      <c r="B38" s="8">
        <f>SUM(B36:B37)</f>
        <v>1.4491261823081403</v>
      </c>
      <c r="C38" s="8">
        <f t="shared" ref="C38:K38" si="16">SUM(C36:C37)</f>
        <v>7.1667019685295017</v>
      </c>
      <c r="D38" s="8">
        <f t="shared" si="16"/>
        <v>16.607920550322184</v>
      </c>
      <c r="E38" s="8">
        <f t="shared" si="16"/>
        <v>28.549062360467339</v>
      </c>
      <c r="F38" s="8">
        <f t="shared" si="16"/>
        <v>42.898190602745906</v>
      </c>
      <c r="G38" s="8">
        <f t="shared" si="16"/>
        <v>58.943102587126212</v>
      </c>
      <c r="H38" s="8">
        <f t="shared" si="16"/>
        <v>77.029086407218486</v>
      </c>
      <c r="I38" s="8">
        <f t="shared" si="16"/>
        <v>100.12520179117672</v>
      </c>
      <c r="J38" s="8">
        <f t="shared" si="16"/>
        <v>127.94608884699601</v>
      </c>
      <c r="K38" s="8">
        <f t="shared" si="16"/>
        <v>157.55269617187557</v>
      </c>
    </row>
    <row r="40" spans="1:15">
      <c r="A40" t="s">
        <v>186</v>
      </c>
      <c r="B40" s="8">
        <f t="shared" ref="B40:J40" si="17">B36+B37/2</f>
        <v>0.72456309115407014</v>
      </c>
      <c r="C40" s="8">
        <f t="shared" si="17"/>
        <v>4.3079140754188208</v>
      </c>
      <c r="D40" s="8">
        <f t="shared" si="17"/>
        <v>11.887311259425843</v>
      </c>
      <c r="E40" s="8">
        <f t="shared" si="17"/>
        <v>22.578491455394762</v>
      </c>
      <c r="F40" s="8">
        <f t="shared" si="17"/>
        <v>35.723626481606622</v>
      </c>
      <c r="G40" s="8">
        <f t="shared" si="17"/>
        <v>50.920646594936059</v>
      </c>
      <c r="H40" s="8">
        <f t="shared" si="17"/>
        <v>67.986094497172346</v>
      </c>
      <c r="I40" s="8">
        <f t="shared" si="17"/>
        <v>88.577144099197611</v>
      </c>
      <c r="J40" s="8">
        <f t="shared" si="17"/>
        <v>114.03564531908637</v>
      </c>
      <c r="K40" s="8">
        <f>K36+K37/2</f>
        <v>142.74939250943578</v>
      </c>
    </row>
    <row r="42" spans="1:15" ht="15" thickBot="1">
      <c r="A42" s="201" t="s">
        <v>168</v>
      </c>
      <c r="B42" s="203">
        <f t="shared" ref="B42:J42" si="18">B34-B40</f>
        <v>55.01105930531287</v>
      </c>
      <c r="C42" s="203">
        <f t="shared" si="18"/>
        <v>215.59091539675967</v>
      </c>
      <c r="D42" s="203">
        <f t="shared" si="18"/>
        <v>351.21312501702823</v>
      </c>
      <c r="E42" s="203">
        <f t="shared" si="18"/>
        <v>436.65727701401448</v>
      </c>
      <c r="F42" s="203">
        <f t="shared" si="18"/>
        <v>516.11079762887755</v>
      </c>
      <c r="G42" s="203">
        <f t="shared" si="18"/>
        <v>566.11985178158932</v>
      </c>
      <c r="H42" s="203">
        <f t="shared" si="18"/>
        <v>627.54056276293466</v>
      </c>
      <c r="I42" s="203">
        <f t="shared" si="18"/>
        <v>799.63004205748632</v>
      </c>
      <c r="J42" s="203">
        <f t="shared" si="18"/>
        <v>955.87645268635492</v>
      </c>
      <c r="K42" s="203">
        <f>K34-K40</f>
        <v>995.82688462775957</v>
      </c>
      <c r="N42" s="2"/>
      <c r="O42" s="2"/>
    </row>
    <row r="43" spans="1:15" ht="15" thickTop="1">
      <c r="B43" s="8">
        <f>'EGD_Price cap'!F68-B42</f>
        <v>0</v>
      </c>
      <c r="C43" s="8">
        <f>'EGD_Price cap'!G68-C42</f>
        <v>7.9315363354055535E-3</v>
      </c>
      <c r="D43" s="8">
        <f>'EGD_Price cap'!H68-D42</f>
        <v>2.3355330956746911E-2</v>
      </c>
      <c r="E43" s="8">
        <f>'EGD_Price cap'!I68-E42</f>
        <v>3.8916536173587701E-2</v>
      </c>
      <c r="F43" s="8">
        <f>'EGD_Price cap'!J68-F42</f>
        <v>5.5123669460840574E-2</v>
      </c>
      <c r="G43" s="8">
        <f>'EGD_Price cap'!K68-G42</f>
        <v>7.1501022717143314E-2</v>
      </c>
      <c r="H43" s="8">
        <f>'EGD_Price cap'!L68-H42</f>
        <v>8.8105051134448331E-2</v>
      </c>
      <c r="I43" s="8">
        <f>'EGD_Price cap'!M68-I42</f>
        <v>0.10494399555614109</v>
      </c>
      <c r="J43" s="8">
        <f>'EGD_Price cap'!N68-J42</f>
        <v>0.12201952606983468</v>
      </c>
      <c r="K43" s="8">
        <f>'EGD_Price cap'!O68-K42</f>
        <v>0.13938920432633495</v>
      </c>
      <c r="L43" t="s">
        <v>169</v>
      </c>
    </row>
    <row r="44" spans="1:15">
      <c r="A44" s="2" t="s">
        <v>93</v>
      </c>
    </row>
    <row r="45" spans="1:15">
      <c r="A45" t="s">
        <v>161</v>
      </c>
      <c r="B45" s="8">
        <v>96</v>
      </c>
      <c r="C45" s="8">
        <f>B47</f>
        <v>324.39999999999998</v>
      </c>
      <c r="D45" s="8">
        <f t="shared" ref="D45:K45" si="19">C47</f>
        <v>398.4</v>
      </c>
      <c r="E45" s="8">
        <f t="shared" si="19"/>
        <v>515.4</v>
      </c>
      <c r="F45" s="8">
        <f t="shared" si="19"/>
        <v>592.4</v>
      </c>
      <c r="G45" s="8">
        <f t="shared" si="19"/>
        <v>875.4</v>
      </c>
      <c r="H45" s="8">
        <f t="shared" si="19"/>
        <v>1124.4000000000001</v>
      </c>
      <c r="I45" s="8">
        <f t="shared" si="19"/>
        <v>1200.4000000000001</v>
      </c>
      <c r="J45" s="8">
        <f t="shared" si="19"/>
        <v>1258.4000000000001</v>
      </c>
      <c r="K45" s="8">
        <f t="shared" si="19"/>
        <v>1346.4</v>
      </c>
      <c r="L45" s="8"/>
    </row>
    <row r="46" spans="1:15">
      <c r="A46" t="s">
        <v>162</v>
      </c>
      <c r="B46" s="129">
        <f>'UGL Price cap'!F66+17</f>
        <v>228.4</v>
      </c>
      <c r="C46" s="129">
        <f>'UGL Price cap'!G66-3</f>
        <v>74</v>
      </c>
      <c r="D46" s="129">
        <f>'UGL Price cap'!H66+3</f>
        <v>117</v>
      </c>
      <c r="E46" s="129">
        <f>'UGL Price cap'!I66-19</f>
        <v>77</v>
      </c>
      <c r="F46" s="129">
        <f>'UGL Price cap'!J66+19</f>
        <v>283</v>
      </c>
      <c r="G46" s="129">
        <f>'UGL Price cap'!K66</f>
        <v>249</v>
      </c>
      <c r="H46" s="129">
        <f>'UGL Price cap'!L66</f>
        <v>76</v>
      </c>
      <c r="I46" s="129">
        <f>'UGL Price cap'!M66</f>
        <v>58</v>
      </c>
      <c r="J46" s="129">
        <f>'UGL Price cap'!N66</f>
        <v>88</v>
      </c>
      <c r="K46" s="129">
        <f>'UGL Price cap'!O66</f>
        <v>31</v>
      </c>
      <c r="L46" s="129"/>
    </row>
    <row r="47" spans="1:15">
      <c r="A47" t="s">
        <v>163</v>
      </c>
      <c r="B47" s="8">
        <f>SUM(B45:B46)</f>
        <v>324.39999999999998</v>
      </c>
      <c r="C47" s="8">
        <f t="shared" ref="C47" si="20">SUM(C45:C46)</f>
        <v>398.4</v>
      </c>
      <c r="D47" s="8">
        <f t="shared" ref="D47" si="21">SUM(D45:D46)</f>
        <v>515.4</v>
      </c>
      <c r="E47" s="8">
        <f t="shared" ref="E47" si="22">SUM(E45:E46)</f>
        <v>592.4</v>
      </c>
      <c r="F47" s="8">
        <f t="shared" ref="F47" si="23">SUM(F45:F46)</f>
        <v>875.4</v>
      </c>
      <c r="G47" s="8">
        <f t="shared" ref="G47" si="24">SUM(G45:G46)</f>
        <v>1124.4000000000001</v>
      </c>
      <c r="H47" s="8">
        <f t="shared" ref="H47" si="25">SUM(H45:H46)</f>
        <v>1200.4000000000001</v>
      </c>
      <c r="I47" s="8">
        <f t="shared" ref="I47" si="26">SUM(I45:I46)</f>
        <v>1258.4000000000001</v>
      </c>
      <c r="J47" s="8">
        <f t="shared" ref="J47" si="27">SUM(J45:J46)</f>
        <v>1346.4</v>
      </c>
      <c r="K47" s="8">
        <f t="shared" ref="K47" si="28">SUM(K45:K46)</f>
        <v>1377.4</v>
      </c>
      <c r="L47" s="8"/>
    </row>
    <row r="49" spans="1:12">
      <c r="A49" t="s">
        <v>164</v>
      </c>
      <c r="B49" s="8">
        <f>B45</f>
        <v>96</v>
      </c>
      <c r="C49" s="8">
        <f>C45</f>
        <v>324.39999999999998</v>
      </c>
      <c r="D49" s="8">
        <f t="shared" ref="D49:K49" si="29">D45</f>
        <v>398.4</v>
      </c>
      <c r="E49" s="8">
        <f t="shared" si="29"/>
        <v>515.4</v>
      </c>
      <c r="F49" s="8">
        <f t="shared" si="29"/>
        <v>592.4</v>
      </c>
      <c r="G49" s="8">
        <f t="shared" si="29"/>
        <v>875.4</v>
      </c>
      <c r="H49" s="8">
        <f t="shared" si="29"/>
        <v>1124.4000000000001</v>
      </c>
      <c r="I49" s="8">
        <f t="shared" si="29"/>
        <v>1200.4000000000001</v>
      </c>
      <c r="J49" s="8">
        <f t="shared" si="29"/>
        <v>1258.4000000000001</v>
      </c>
      <c r="K49" s="8">
        <f t="shared" si="29"/>
        <v>1346.4</v>
      </c>
      <c r="L49" s="188"/>
    </row>
    <row r="50" spans="1:12">
      <c r="A50" t="s">
        <v>166</v>
      </c>
      <c r="B50" s="129">
        <v>59.824999999999989</v>
      </c>
      <c r="C50" s="129">
        <v>26.5</v>
      </c>
      <c r="D50" s="129">
        <v>41.625</v>
      </c>
      <c r="E50" s="129">
        <v>34</v>
      </c>
      <c r="F50" s="129">
        <v>98</v>
      </c>
      <c r="G50" s="129">
        <v>75.375000000000114</v>
      </c>
      <c r="H50" s="129">
        <v>33.5</v>
      </c>
      <c r="I50" s="129">
        <v>25.25</v>
      </c>
      <c r="J50" s="129">
        <v>35.75</v>
      </c>
      <c r="K50" s="129">
        <v>13.25</v>
      </c>
      <c r="L50" s="188"/>
    </row>
    <row r="51" spans="1:12">
      <c r="B51" s="8">
        <f>SUM(B49:B50)</f>
        <v>155.82499999999999</v>
      </c>
      <c r="C51" s="8">
        <f t="shared" ref="C51:K51" si="30">SUM(C49:C50)</f>
        <v>350.9</v>
      </c>
      <c r="D51" s="8">
        <f t="shared" si="30"/>
        <v>440.02499999999998</v>
      </c>
      <c r="E51" s="8">
        <f t="shared" si="30"/>
        <v>549.4</v>
      </c>
      <c r="F51" s="8">
        <f t="shared" si="30"/>
        <v>690.4</v>
      </c>
      <c r="G51" s="8">
        <f t="shared" si="30"/>
        <v>950.77500000000009</v>
      </c>
      <c r="H51" s="8">
        <f t="shared" si="30"/>
        <v>1157.9000000000001</v>
      </c>
      <c r="I51" s="8">
        <f t="shared" si="30"/>
        <v>1225.6500000000001</v>
      </c>
      <c r="J51" s="8">
        <f t="shared" si="30"/>
        <v>1294.1500000000001</v>
      </c>
      <c r="K51" s="8">
        <f t="shared" si="30"/>
        <v>1359.65</v>
      </c>
      <c r="L51" s="188"/>
    </row>
    <row r="52" spans="1:12">
      <c r="B52" s="8"/>
      <c r="C52" s="8"/>
      <c r="D52" s="8"/>
      <c r="E52" s="8"/>
      <c r="F52" s="8"/>
      <c r="G52" s="8"/>
      <c r="H52" s="8"/>
      <c r="I52" s="8"/>
      <c r="J52" s="8"/>
      <c r="K52" s="8"/>
      <c r="L52" s="188"/>
    </row>
    <row r="53" spans="1:12">
      <c r="A53" t="s">
        <v>188</v>
      </c>
      <c r="B53" s="8">
        <v>1</v>
      </c>
      <c r="C53" s="8">
        <f>B55</f>
        <v>7.1399158901579218</v>
      </c>
      <c r="D53" s="8">
        <f t="shared" ref="D53:K53" si="31">C55</f>
        <v>17.931386732885841</v>
      </c>
      <c r="E53" s="8">
        <f t="shared" si="31"/>
        <v>31.57450523881386</v>
      </c>
      <c r="F53" s="8">
        <f t="shared" si="31"/>
        <v>48.142529438844434</v>
      </c>
      <c r="G53" s="8">
        <f t="shared" si="31"/>
        <v>70.228247864620712</v>
      </c>
      <c r="H53" s="8">
        <f t="shared" si="31"/>
        <v>100.43470013845683</v>
      </c>
      <c r="I53" s="8">
        <f t="shared" si="31"/>
        <v>135.56312330264302</v>
      </c>
      <c r="J53" s="8">
        <f t="shared" si="31"/>
        <v>172.69573304451535</v>
      </c>
      <c r="K53" s="8">
        <f t="shared" si="31"/>
        <v>212.0067324724578</v>
      </c>
    </row>
    <row r="54" spans="1:12">
      <c r="A54" t="s">
        <v>165</v>
      </c>
      <c r="B54" s="129">
        <f>'UGL Price cap'!F74</f>
        <v>6.1399158901579218</v>
      </c>
      <c r="C54" s="129">
        <f>'UGL Price cap'!G74</f>
        <v>10.79147084272792</v>
      </c>
      <c r="D54" s="129">
        <f>'UGL Price cap'!H74</f>
        <v>13.643118505928019</v>
      </c>
      <c r="E54" s="129">
        <f>'UGL Price cap'!I74</f>
        <v>16.568024200030571</v>
      </c>
      <c r="F54" s="129">
        <f>'UGL Price cap'!J74</f>
        <v>22.085718425776275</v>
      </c>
      <c r="G54" s="129">
        <f>'UGL Price cap'!K74</f>
        <v>30.206452273836113</v>
      </c>
      <c r="H54" s="129">
        <f>'UGL Price cap'!L74</f>
        <v>35.128423164186188</v>
      </c>
      <c r="I54" s="129">
        <f>'UGL Price cap'!M74</f>
        <v>37.132609741872315</v>
      </c>
      <c r="J54" s="129">
        <f>'UGL Price cap'!N74</f>
        <v>39.310999427942441</v>
      </c>
      <c r="K54" s="129">
        <f>'UGL Price cap'!O74</f>
        <v>41.081365530285709</v>
      </c>
      <c r="L54" s="188"/>
    </row>
    <row r="55" spans="1:12">
      <c r="A55" t="s">
        <v>187</v>
      </c>
      <c r="B55" s="8">
        <f>SUM(B53:B54)</f>
        <v>7.1399158901579218</v>
      </c>
      <c r="C55" s="8">
        <f t="shared" ref="C55" si="32">SUM(C53:C54)</f>
        <v>17.931386732885841</v>
      </c>
      <c r="D55" s="8">
        <f t="shared" ref="D55" si="33">SUM(D53:D54)</f>
        <v>31.57450523881386</v>
      </c>
      <c r="E55" s="8">
        <f t="shared" ref="E55" si="34">SUM(E53:E54)</f>
        <v>48.142529438844434</v>
      </c>
      <c r="F55" s="8">
        <f t="shared" ref="F55" si="35">SUM(F53:F54)</f>
        <v>70.228247864620712</v>
      </c>
      <c r="G55" s="8">
        <f t="shared" ref="G55" si="36">SUM(G53:G54)</f>
        <v>100.43470013845683</v>
      </c>
      <c r="H55" s="8">
        <f t="shared" ref="H55" si="37">SUM(H53:H54)</f>
        <v>135.56312330264302</v>
      </c>
      <c r="I55" s="8">
        <f t="shared" ref="I55" si="38">SUM(I53:I54)</f>
        <v>172.69573304451535</v>
      </c>
      <c r="J55" s="8">
        <f t="shared" ref="J55" si="39">SUM(J53:J54)</f>
        <v>212.0067324724578</v>
      </c>
      <c r="K55" s="8">
        <f t="shared" ref="K55" si="40">SUM(K53:K54)</f>
        <v>253.08809800274349</v>
      </c>
    </row>
    <row r="57" spans="1:12">
      <c r="A57" t="s">
        <v>190</v>
      </c>
      <c r="B57" s="8">
        <f t="shared" ref="B57:J57" si="41">B53+B54/2</f>
        <v>4.0699579450789614</v>
      </c>
      <c r="C57" s="8">
        <f t="shared" si="41"/>
        <v>12.535651311521882</v>
      </c>
      <c r="D57" s="8">
        <f t="shared" si="41"/>
        <v>24.752945985849848</v>
      </c>
      <c r="E57" s="8">
        <f t="shared" si="41"/>
        <v>39.858517338829145</v>
      </c>
      <c r="F57" s="8">
        <f t="shared" si="41"/>
        <v>59.185388651732573</v>
      </c>
      <c r="G57" s="8">
        <f t="shared" si="41"/>
        <v>85.331474001538766</v>
      </c>
      <c r="H57" s="8">
        <f t="shared" si="41"/>
        <v>117.99891172054993</v>
      </c>
      <c r="I57" s="8">
        <f t="shared" si="41"/>
        <v>154.12942817357919</v>
      </c>
      <c r="J57" s="8">
        <f t="shared" si="41"/>
        <v>192.35123275848656</v>
      </c>
      <c r="K57" s="8">
        <f>K53+K54/2</f>
        <v>232.54741523760066</v>
      </c>
    </row>
    <row r="59" spans="1:12" ht="15" thickBot="1">
      <c r="A59" s="201" t="s">
        <v>170</v>
      </c>
      <c r="B59" s="202">
        <f t="shared" ref="B59:K59" si="42">B51-B57</f>
        <v>151.75504205492103</v>
      </c>
      <c r="C59" s="202">
        <f t="shared" si="42"/>
        <v>338.36434868847812</v>
      </c>
      <c r="D59" s="202">
        <f t="shared" si="42"/>
        <v>415.27205401415011</v>
      </c>
      <c r="E59" s="202">
        <f t="shared" si="42"/>
        <v>509.54148266117085</v>
      </c>
      <c r="F59" s="202">
        <f t="shared" si="42"/>
        <v>631.21461134826745</v>
      </c>
      <c r="G59" s="202">
        <f t="shared" si="42"/>
        <v>865.44352599846138</v>
      </c>
      <c r="H59" s="202">
        <f t="shared" si="42"/>
        <v>1039.9010882794501</v>
      </c>
      <c r="I59" s="202">
        <f t="shared" si="42"/>
        <v>1071.520571826421</v>
      </c>
      <c r="J59" s="202">
        <f t="shared" si="42"/>
        <v>1101.7987672415136</v>
      </c>
      <c r="K59" s="202">
        <f t="shared" si="42"/>
        <v>1127.1025847623994</v>
      </c>
    </row>
    <row r="60" spans="1:12" ht="15" thickTop="1">
      <c r="B60" s="8">
        <f>'UGL Price cap'!F69-B59</f>
        <v>-0.39985273067378557</v>
      </c>
      <c r="C60" s="8">
        <f>'UGL Price cap'!G69-C59</f>
        <v>-0.39985273067378557</v>
      </c>
      <c r="D60" s="8">
        <f>'UGL Price cap'!H69-D59</f>
        <v>-0.39985273067378557</v>
      </c>
      <c r="E60" s="8">
        <f>'UGL Price cap'!I69-E59</f>
        <v>-0.39985273067378557</v>
      </c>
      <c r="F60" s="8">
        <f>'UGL Price cap'!J69-F59</f>
        <v>-0.39985273067384242</v>
      </c>
      <c r="G60" s="8">
        <f>'UGL Price cap'!K69-G59</f>
        <v>-0.39985273067384242</v>
      </c>
      <c r="H60" s="8">
        <f>'UGL Price cap'!L69-H59</f>
        <v>-0.39985273067372873</v>
      </c>
      <c r="I60" s="8">
        <f>'UGL Price cap'!M69-I59</f>
        <v>-0.3998527306739561</v>
      </c>
      <c r="J60" s="8">
        <f>'UGL Price cap'!N69-J59</f>
        <v>-0.39985273067372873</v>
      </c>
      <c r="K60" s="8">
        <f>'UGL Price cap'!O69-K59</f>
        <v>-0.39985273067372873</v>
      </c>
    </row>
    <row r="61" spans="1:12">
      <c r="A61" s="2" t="s">
        <v>167</v>
      </c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2">
      <c r="A62" t="s">
        <v>161</v>
      </c>
      <c r="B62" s="8">
        <f>B30+B45</f>
        <v>96</v>
      </c>
      <c r="C62" s="8">
        <f>B64</f>
        <v>435.87124479293391</v>
      </c>
      <c r="D62" s="8">
        <f t="shared" ref="D62:K62" si="43">C64</f>
        <v>726.72641415142311</v>
      </c>
      <c r="E62" s="8">
        <f t="shared" si="43"/>
        <v>913.27445840148516</v>
      </c>
      <c r="F62" s="8">
        <f t="shared" si="43"/>
        <v>1112.9970785373334</v>
      </c>
      <c r="G62" s="8">
        <f t="shared" si="43"/>
        <v>1458.4717696836349</v>
      </c>
      <c r="H62" s="8">
        <f t="shared" si="43"/>
        <v>1775.4092270694159</v>
      </c>
      <c r="I62" s="8">
        <f t="shared" si="43"/>
        <v>1940.4440874507982</v>
      </c>
      <c r="J62" s="8">
        <f t="shared" si="43"/>
        <v>2294.77028486257</v>
      </c>
      <c r="K62" s="8">
        <f t="shared" si="43"/>
        <v>2449.8539111483124</v>
      </c>
    </row>
    <row r="63" spans="1:12">
      <c r="A63" t="s">
        <v>162</v>
      </c>
      <c r="B63" s="129">
        <f>B31+B46</f>
        <v>339.87124479293391</v>
      </c>
      <c r="C63" s="129">
        <f t="shared" ref="C63:K63" si="44">C31+C46</f>
        <v>290.85516935848921</v>
      </c>
      <c r="D63" s="129">
        <f t="shared" si="44"/>
        <v>186.54804425006199</v>
      </c>
      <c r="E63" s="129">
        <f t="shared" si="44"/>
        <v>199.72262013584839</v>
      </c>
      <c r="F63" s="129">
        <f t="shared" si="44"/>
        <v>345.47469114630144</v>
      </c>
      <c r="G63" s="129">
        <f t="shared" si="44"/>
        <v>316.93745738578093</v>
      </c>
      <c r="H63" s="129">
        <f t="shared" si="44"/>
        <v>165.03486038138226</v>
      </c>
      <c r="I63" s="129">
        <f t="shared" si="44"/>
        <v>354.32619741177189</v>
      </c>
      <c r="J63" s="129">
        <f t="shared" si="44"/>
        <v>155.08362628574264</v>
      </c>
      <c r="K63" s="129">
        <f t="shared" si="44"/>
        <v>101.24473197776581</v>
      </c>
    </row>
    <row r="64" spans="1:12">
      <c r="A64" t="s">
        <v>163</v>
      </c>
      <c r="B64" s="8">
        <f>SUM(B62:B63)</f>
        <v>435.87124479293391</v>
      </c>
      <c r="C64" s="8">
        <f t="shared" ref="C64" si="45">SUM(C62:C63)</f>
        <v>726.72641415142311</v>
      </c>
      <c r="D64" s="8">
        <f t="shared" ref="D64" si="46">SUM(D62:D63)</f>
        <v>913.27445840148516</v>
      </c>
      <c r="E64" s="8">
        <f t="shared" ref="E64" si="47">SUM(E62:E63)</f>
        <v>1112.9970785373334</v>
      </c>
      <c r="F64" s="8">
        <f t="shared" ref="F64" si="48">SUM(F62:F63)</f>
        <v>1458.4717696836349</v>
      </c>
      <c r="G64" s="8">
        <f t="shared" ref="G64" si="49">SUM(G62:G63)</f>
        <v>1775.4092270694159</v>
      </c>
      <c r="H64" s="8">
        <f t="shared" ref="H64" si="50">SUM(H62:H63)</f>
        <v>1940.4440874507982</v>
      </c>
      <c r="I64" s="8">
        <f t="shared" ref="I64" si="51">SUM(I62:I63)</f>
        <v>2294.77028486257</v>
      </c>
      <c r="J64" s="8">
        <f t="shared" ref="J64" si="52">SUM(J62:J63)</f>
        <v>2449.8539111483124</v>
      </c>
      <c r="K64" s="8">
        <f t="shared" ref="K64" si="53">SUM(K62:K63)</f>
        <v>2551.0986431260781</v>
      </c>
    </row>
    <row r="65" spans="1:12">
      <c r="B65" s="188">
        <f t="shared" ref="B65:K65" si="54">B64-B47-B32</f>
        <v>0</v>
      </c>
      <c r="C65" s="188">
        <f t="shared" si="54"/>
        <v>0</v>
      </c>
      <c r="D65" s="188">
        <f t="shared" si="54"/>
        <v>0</v>
      </c>
      <c r="E65" s="188">
        <f t="shared" si="54"/>
        <v>0</v>
      </c>
      <c r="F65" s="188">
        <f t="shared" si="54"/>
        <v>0</v>
      </c>
      <c r="G65" s="188">
        <f t="shared" si="54"/>
        <v>0</v>
      </c>
      <c r="H65" s="188">
        <f t="shared" si="54"/>
        <v>0</v>
      </c>
      <c r="I65" s="188">
        <f t="shared" si="54"/>
        <v>0</v>
      </c>
      <c r="J65" s="188">
        <f t="shared" si="54"/>
        <v>0</v>
      </c>
      <c r="K65" s="188">
        <f t="shared" si="54"/>
        <v>0</v>
      </c>
    </row>
    <row r="66" spans="1:12">
      <c r="A66" t="s">
        <v>164</v>
      </c>
      <c r="B66" s="8">
        <f>B62</f>
        <v>96</v>
      </c>
      <c r="C66" s="8">
        <f>C62</f>
        <v>435.87124479293391</v>
      </c>
      <c r="D66" s="8">
        <f t="shared" ref="D66:K66" si="55">D62</f>
        <v>726.72641415142311</v>
      </c>
      <c r="E66" s="8">
        <f t="shared" si="55"/>
        <v>913.27445840148516</v>
      </c>
      <c r="F66" s="8">
        <f t="shared" si="55"/>
        <v>1112.9970785373334</v>
      </c>
      <c r="G66" s="8">
        <f t="shared" si="55"/>
        <v>1458.4717696836349</v>
      </c>
      <c r="H66" s="8">
        <f t="shared" si="55"/>
        <v>1775.4092270694159</v>
      </c>
      <c r="I66" s="8">
        <f t="shared" si="55"/>
        <v>1940.4440874507982</v>
      </c>
      <c r="J66" s="8">
        <f t="shared" si="55"/>
        <v>2294.77028486257</v>
      </c>
      <c r="K66" s="8">
        <f t="shared" si="55"/>
        <v>2449.8539111483124</v>
      </c>
    </row>
    <row r="67" spans="1:12">
      <c r="A67" t="s">
        <v>166</v>
      </c>
      <c r="B67" s="129">
        <f t="shared" ref="B67:K67" si="56">B50+B31/2</f>
        <v>115.56062239646693</v>
      </c>
      <c r="C67" s="129">
        <f t="shared" si="56"/>
        <v>134.9275846792446</v>
      </c>
      <c r="D67" s="129">
        <f t="shared" si="56"/>
        <v>76.399022125030996</v>
      </c>
      <c r="E67" s="129">
        <f t="shared" si="56"/>
        <v>95.361310067924194</v>
      </c>
      <c r="F67" s="129">
        <f t="shared" si="56"/>
        <v>129.23734557315072</v>
      </c>
      <c r="G67" s="129">
        <f t="shared" si="56"/>
        <v>109.34372869289058</v>
      </c>
      <c r="H67" s="129">
        <f t="shared" si="56"/>
        <v>78.01743019069113</v>
      </c>
      <c r="I67" s="129">
        <f t="shared" si="56"/>
        <v>173.41309870588594</v>
      </c>
      <c r="J67" s="129">
        <f t="shared" si="56"/>
        <v>69.29181314287132</v>
      </c>
      <c r="K67" s="129">
        <f t="shared" si="56"/>
        <v>48.372365988882905</v>
      </c>
      <c r="L67" s="188"/>
    </row>
    <row r="68" spans="1:12">
      <c r="B68" s="8">
        <f>SUM(B66:B67)</f>
        <v>211.56062239646693</v>
      </c>
      <c r="C68" s="8">
        <f t="shared" ref="C68" si="57">SUM(C66:C67)</f>
        <v>570.79882947217857</v>
      </c>
      <c r="D68" s="8">
        <f t="shared" ref="D68" si="58">SUM(D66:D67)</f>
        <v>803.12543627645414</v>
      </c>
      <c r="E68" s="8">
        <f t="shared" ref="E68" si="59">SUM(E66:E67)</f>
        <v>1008.6357684694094</v>
      </c>
      <c r="F68" s="8">
        <f t="shared" ref="F68" si="60">SUM(F66:F67)</f>
        <v>1242.2344241104843</v>
      </c>
      <c r="G68" s="8">
        <f t="shared" ref="G68" si="61">SUM(G66:G67)</f>
        <v>1567.8154983765255</v>
      </c>
      <c r="H68" s="8">
        <f t="shared" ref="H68" si="62">SUM(H66:H67)</f>
        <v>1853.426657260107</v>
      </c>
      <c r="I68" s="8">
        <f t="shared" ref="I68" si="63">SUM(I66:I67)</f>
        <v>2113.8571861566843</v>
      </c>
      <c r="J68" s="8">
        <f t="shared" ref="J68" si="64">SUM(J66:J67)</f>
        <v>2364.0620980054414</v>
      </c>
      <c r="K68" s="8">
        <f t="shared" ref="K68" si="65">SUM(K66:K67)</f>
        <v>2498.2262771371952</v>
      </c>
    </row>
    <row r="69" spans="1:12"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2">
      <c r="A70" t="s">
        <v>188</v>
      </c>
      <c r="B70" s="8">
        <f>B36+B53</f>
        <v>1</v>
      </c>
      <c r="C70" s="8">
        <f>B72</f>
        <v>8.5890420724660625</v>
      </c>
      <c r="D70" s="8">
        <f t="shared" ref="D70:K70" si="66">C72</f>
        <v>25.098088701415342</v>
      </c>
      <c r="E70" s="8">
        <f t="shared" si="66"/>
        <v>48.18242578913604</v>
      </c>
      <c r="F70" s="8">
        <f t="shared" si="66"/>
        <v>76.691591799311766</v>
      </c>
      <c r="G70" s="8">
        <f t="shared" si="66"/>
        <v>113.12643846736661</v>
      </c>
      <c r="H70" s="8">
        <f t="shared" si="66"/>
        <v>159.37780272558302</v>
      </c>
      <c r="I70" s="8">
        <f t="shared" si="66"/>
        <v>212.59220970986149</v>
      </c>
      <c r="J70" s="8">
        <f t="shared" si="66"/>
        <v>272.82093483569207</v>
      </c>
      <c r="K70" s="8">
        <f t="shared" si="66"/>
        <v>339.95282131945379</v>
      </c>
    </row>
    <row r="71" spans="1:12">
      <c r="A71" t="s">
        <v>165</v>
      </c>
      <c r="B71" s="129">
        <f t="shared" ref="B71:K71" si="67">B54+B37</f>
        <v>7.5890420724660625</v>
      </c>
      <c r="C71" s="129">
        <f t="shared" si="67"/>
        <v>16.509046628949282</v>
      </c>
      <c r="D71" s="129">
        <f t="shared" si="67"/>
        <v>23.084337087720698</v>
      </c>
      <c r="E71" s="129">
        <f t="shared" si="67"/>
        <v>28.509166010175726</v>
      </c>
      <c r="F71" s="129">
        <f t="shared" si="67"/>
        <v>36.434846668054846</v>
      </c>
      <c r="G71" s="129">
        <f t="shared" si="67"/>
        <v>46.25136425821642</v>
      </c>
      <c r="H71" s="129">
        <f t="shared" si="67"/>
        <v>53.214406984278469</v>
      </c>
      <c r="I71" s="129">
        <f t="shared" si="67"/>
        <v>60.228725125830557</v>
      </c>
      <c r="J71" s="129">
        <f t="shared" si="67"/>
        <v>67.131886483761733</v>
      </c>
      <c r="K71" s="129">
        <f t="shared" si="67"/>
        <v>70.68797285516527</v>
      </c>
    </row>
    <row r="72" spans="1:12">
      <c r="A72" t="s">
        <v>187</v>
      </c>
      <c r="B72" s="8">
        <f>SUM(B70:B71)</f>
        <v>8.5890420724660625</v>
      </c>
      <c r="C72" s="8">
        <f t="shared" ref="C72" si="68">SUM(C70:C71)</f>
        <v>25.098088701415342</v>
      </c>
      <c r="D72" s="8">
        <f t="shared" ref="D72" si="69">SUM(D70:D71)</f>
        <v>48.18242578913604</v>
      </c>
      <c r="E72" s="8">
        <f t="shared" ref="E72" si="70">SUM(E70:E71)</f>
        <v>76.691591799311766</v>
      </c>
      <c r="F72" s="8">
        <f t="shared" ref="F72" si="71">SUM(F70:F71)</f>
        <v>113.12643846736661</v>
      </c>
      <c r="G72" s="8">
        <f t="shared" ref="G72" si="72">SUM(G70:G71)</f>
        <v>159.37780272558302</v>
      </c>
      <c r="H72" s="8">
        <f t="shared" ref="H72" si="73">SUM(H70:H71)</f>
        <v>212.59220970986149</v>
      </c>
      <c r="I72" s="8">
        <f t="shared" ref="I72" si="74">SUM(I70:I71)</f>
        <v>272.82093483569207</v>
      </c>
      <c r="J72" s="8">
        <f t="shared" ref="J72" si="75">SUM(J70:J71)</f>
        <v>339.95282131945379</v>
      </c>
      <c r="K72" s="8">
        <f t="shared" ref="K72" si="76">SUM(K70:K71)</f>
        <v>410.64079417461903</v>
      </c>
    </row>
    <row r="74" spans="1:12">
      <c r="A74" t="s">
        <v>186</v>
      </c>
      <c r="B74" s="8">
        <f t="shared" ref="B74:J74" si="77">B70+B71/2</f>
        <v>4.7945210362330313</v>
      </c>
      <c r="C74" s="8">
        <f t="shared" si="77"/>
        <v>16.843565386940703</v>
      </c>
      <c r="D74" s="8">
        <f t="shared" si="77"/>
        <v>36.640257245275691</v>
      </c>
      <c r="E74" s="8">
        <f t="shared" si="77"/>
        <v>62.4370087942239</v>
      </c>
      <c r="F74" s="8">
        <f t="shared" si="77"/>
        <v>94.909015133339182</v>
      </c>
      <c r="G74" s="8">
        <f t="shared" si="77"/>
        <v>136.25212059647481</v>
      </c>
      <c r="H74" s="8">
        <f t="shared" si="77"/>
        <v>185.98500621772226</v>
      </c>
      <c r="I74" s="8">
        <f t="shared" si="77"/>
        <v>242.70657227277678</v>
      </c>
      <c r="J74" s="8">
        <f t="shared" si="77"/>
        <v>306.38687807757293</v>
      </c>
      <c r="K74" s="8">
        <f>K70+K71/2</f>
        <v>375.29680774703644</v>
      </c>
    </row>
    <row r="76" spans="1:12" ht="15" thickBot="1">
      <c r="A76" s="201" t="s">
        <v>191</v>
      </c>
      <c r="B76" s="202">
        <f t="shared" ref="B76:K76" si="78">B68-B74</f>
        <v>206.7661013602339</v>
      </c>
      <c r="C76" s="202">
        <f t="shared" si="78"/>
        <v>553.9552640852379</v>
      </c>
      <c r="D76" s="202">
        <f t="shared" si="78"/>
        <v>766.4851790311784</v>
      </c>
      <c r="E76" s="202">
        <f t="shared" si="78"/>
        <v>946.19875967518556</v>
      </c>
      <c r="F76" s="202">
        <f t="shared" si="78"/>
        <v>1147.3254089771451</v>
      </c>
      <c r="G76" s="202">
        <f t="shared" si="78"/>
        <v>1431.5633777800508</v>
      </c>
      <c r="H76" s="202">
        <f t="shared" si="78"/>
        <v>1667.4416510423848</v>
      </c>
      <c r="I76" s="202">
        <f t="shared" si="78"/>
        <v>1871.1506138839075</v>
      </c>
      <c r="J76" s="202">
        <f t="shared" si="78"/>
        <v>2057.6752199278685</v>
      </c>
      <c r="K76" s="202">
        <f t="shared" si="78"/>
        <v>2122.9294693901588</v>
      </c>
    </row>
    <row r="77" spans="1:12" ht="15" thickTop="1">
      <c r="B77" s="188">
        <f t="shared" ref="B77:K77" si="79">B59+B42-B76</f>
        <v>0</v>
      </c>
      <c r="C77" s="188">
        <f t="shared" si="79"/>
        <v>0</v>
      </c>
      <c r="D77" s="188">
        <f t="shared" si="79"/>
        <v>0</v>
      </c>
      <c r="E77" s="188">
        <f t="shared" si="79"/>
        <v>0</v>
      </c>
      <c r="F77" s="188">
        <f t="shared" si="79"/>
        <v>0</v>
      </c>
      <c r="G77" s="188">
        <f t="shared" si="79"/>
        <v>0</v>
      </c>
      <c r="H77" s="188">
        <f t="shared" si="79"/>
        <v>0</v>
      </c>
      <c r="I77" s="188">
        <f t="shared" si="79"/>
        <v>0</v>
      </c>
      <c r="J77" s="188">
        <f t="shared" si="79"/>
        <v>0</v>
      </c>
      <c r="K77" s="188">
        <f t="shared" si="79"/>
        <v>0</v>
      </c>
    </row>
    <row r="78" spans="1:12">
      <c r="B78" s="195"/>
    </row>
    <row r="79" spans="1:12">
      <c r="B79" s="195"/>
    </row>
    <row r="80" spans="1:12">
      <c r="B80" s="8"/>
    </row>
  </sheetData>
  <pageMargins left="0.7" right="0.7" top="0.75" bottom="0.75" header="0.3" footer="0.3"/>
  <pageSetup paperSize="9" orientation="portrait" horizont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O8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baseColWidth="10" defaultColWidth="8.83203125" defaultRowHeight="14" x14ac:dyDescent="0"/>
  <cols>
    <col min="1" max="1" width="43.6640625" bestFit="1" customWidth="1"/>
    <col min="11" max="11" width="9.1640625" bestFit="1" customWidth="1"/>
    <col min="15" max="15" width="46.5" bestFit="1" customWidth="1"/>
  </cols>
  <sheetData>
    <row r="1" spans="1:15" ht="18">
      <c r="A1" s="183" t="s">
        <v>143</v>
      </c>
    </row>
    <row r="3" spans="1:15">
      <c r="B3" s="184">
        <v>2019</v>
      </c>
      <c r="C3" s="184">
        <f>+B3+1</f>
        <v>2020</v>
      </c>
      <c r="D3" s="184">
        <f t="shared" ref="D3:K3" si="0">+C3+1</f>
        <v>2021</v>
      </c>
      <c r="E3" s="184">
        <f t="shared" si="0"/>
        <v>2022</v>
      </c>
      <c r="F3" s="184">
        <f t="shared" si="0"/>
        <v>2023</v>
      </c>
      <c r="G3" s="184">
        <f t="shared" si="0"/>
        <v>2024</v>
      </c>
      <c r="H3" s="184">
        <f t="shared" si="0"/>
        <v>2025</v>
      </c>
      <c r="I3" s="184">
        <f t="shared" si="0"/>
        <v>2026</v>
      </c>
      <c r="J3" s="184">
        <f t="shared" si="0"/>
        <v>2027</v>
      </c>
      <c r="K3" s="184">
        <f t="shared" si="0"/>
        <v>2028</v>
      </c>
      <c r="L3" s="184" t="s">
        <v>144</v>
      </c>
    </row>
    <row r="4" spans="1:15">
      <c r="A4" s="190" t="s">
        <v>179</v>
      </c>
      <c r="B4" s="191">
        <f>B66</f>
        <v>96</v>
      </c>
      <c r="C4" s="191">
        <f t="shared" ref="C4:K4" si="1">C66</f>
        <v>435.87124479293391</v>
      </c>
      <c r="D4" s="191">
        <f t="shared" si="1"/>
        <v>726.72641415142311</v>
      </c>
      <c r="E4" s="191">
        <f t="shared" si="1"/>
        <v>913.27445840148516</v>
      </c>
      <c r="F4" s="191">
        <f t="shared" si="1"/>
        <v>1112.9970785373334</v>
      </c>
      <c r="G4" s="191">
        <f t="shared" si="1"/>
        <v>1458.4717696836349</v>
      </c>
      <c r="H4" s="191">
        <f t="shared" si="1"/>
        <v>1775.4092270694159</v>
      </c>
      <c r="I4" s="191">
        <f t="shared" si="1"/>
        <v>1940.4440874507982</v>
      </c>
      <c r="J4" s="191">
        <f t="shared" si="1"/>
        <v>2294.77028486257</v>
      </c>
      <c r="K4" s="191">
        <f t="shared" si="1"/>
        <v>2449.8539111483124</v>
      </c>
      <c r="L4" s="181"/>
      <c r="O4" s="189"/>
    </row>
    <row r="5" spans="1:15">
      <c r="A5" s="190" t="s">
        <v>180</v>
      </c>
      <c r="B5" s="191">
        <f>B67</f>
        <v>115.56062239646693</v>
      </c>
      <c r="C5" s="191">
        <f t="shared" ref="C5:K5" si="2">C67</f>
        <v>134.9275846792446</v>
      </c>
      <c r="D5" s="191">
        <f t="shared" si="2"/>
        <v>76.399022125030996</v>
      </c>
      <c r="E5" s="191">
        <f t="shared" si="2"/>
        <v>95.361310067924194</v>
      </c>
      <c r="F5" s="191">
        <f t="shared" si="2"/>
        <v>129.23734557315072</v>
      </c>
      <c r="G5" s="191">
        <f t="shared" si="2"/>
        <v>109.34372869289058</v>
      </c>
      <c r="H5" s="191">
        <f t="shared" si="2"/>
        <v>78.01743019069113</v>
      </c>
      <c r="I5" s="191">
        <f t="shared" si="2"/>
        <v>173.41309870588594</v>
      </c>
      <c r="J5" s="191">
        <f t="shared" si="2"/>
        <v>69.29181314287132</v>
      </c>
      <c r="K5" s="191">
        <f t="shared" si="2"/>
        <v>48.372365988882905</v>
      </c>
      <c r="L5" s="191">
        <f>SUM(B5:K5)</f>
        <v>1029.9243215630393</v>
      </c>
      <c r="O5" s="189"/>
    </row>
    <row r="6" spans="1:15">
      <c r="A6" s="190" t="s">
        <v>183</v>
      </c>
      <c r="B6" s="191">
        <f>B74</f>
        <v>4.7945210362330313</v>
      </c>
      <c r="C6" s="191">
        <f t="shared" ref="C6:K6" si="3">C74</f>
        <v>16.843565386940703</v>
      </c>
      <c r="D6" s="191">
        <f t="shared" si="3"/>
        <v>36.640257245275691</v>
      </c>
      <c r="E6" s="191">
        <f t="shared" si="3"/>
        <v>62.4370087942239</v>
      </c>
      <c r="F6" s="191">
        <f t="shared" si="3"/>
        <v>94.909015133339182</v>
      </c>
      <c r="G6" s="191">
        <f t="shared" si="3"/>
        <v>136.25212059647481</v>
      </c>
      <c r="H6" s="191">
        <f t="shared" si="3"/>
        <v>185.98500621772226</v>
      </c>
      <c r="I6" s="191">
        <f t="shared" si="3"/>
        <v>242.70657227277678</v>
      </c>
      <c r="J6" s="191">
        <f t="shared" si="3"/>
        <v>306.38687807757293</v>
      </c>
      <c r="K6" s="191">
        <f t="shared" si="3"/>
        <v>375.29680774703644</v>
      </c>
      <c r="L6" s="181"/>
      <c r="O6" s="189"/>
    </row>
    <row r="7" spans="1:15" ht="15" thickBot="1">
      <c r="A7" s="198" t="s">
        <v>182</v>
      </c>
      <c r="B7" s="197">
        <f>+B4+B5-B6</f>
        <v>206.7661013602339</v>
      </c>
      <c r="C7" s="197">
        <f t="shared" ref="C7:K7" si="4">+C4+C5-C6</f>
        <v>553.9552640852379</v>
      </c>
      <c r="D7" s="197">
        <f t="shared" si="4"/>
        <v>766.4851790311784</v>
      </c>
      <c r="E7" s="197">
        <f t="shared" si="4"/>
        <v>946.19875967518556</v>
      </c>
      <c r="F7" s="197">
        <f t="shared" si="4"/>
        <v>1147.3254089771451</v>
      </c>
      <c r="G7" s="197">
        <f t="shared" si="4"/>
        <v>1431.5633777800508</v>
      </c>
      <c r="H7" s="197">
        <f t="shared" si="4"/>
        <v>1667.4416510423848</v>
      </c>
      <c r="I7" s="197">
        <f t="shared" si="4"/>
        <v>1871.1506138839075</v>
      </c>
      <c r="J7" s="197">
        <f t="shared" si="4"/>
        <v>2057.6752199278685</v>
      </c>
      <c r="K7" s="197">
        <f t="shared" si="4"/>
        <v>2122.9294693901588</v>
      </c>
      <c r="L7" s="181"/>
      <c r="O7" s="189"/>
    </row>
    <row r="8" spans="1:15" ht="15" thickTop="1">
      <c r="A8" s="182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</row>
    <row r="9" spans="1:15">
      <c r="A9" s="182" t="s">
        <v>147</v>
      </c>
      <c r="B9" s="193">
        <f>'EGD_Price cap'!F73+'UGL Price cap'!F74</f>
        <v>7.5890420724660625</v>
      </c>
      <c r="C9" s="193">
        <f>'EGD_Price cap'!G73+'UGL Price cap'!G74</f>
        <v>16.509046628949282</v>
      </c>
      <c r="D9" s="193">
        <f>'EGD_Price cap'!H73+'UGL Price cap'!H74</f>
        <v>23.084337087720698</v>
      </c>
      <c r="E9" s="193">
        <f>'EGD_Price cap'!I73+'UGL Price cap'!I74</f>
        <v>28.509166010175726</v>
      </c>
      <c r="F9" s="193">
        <f>'EGD_Price cap'!J73+'UGL Price cap'!J74</f>
        <v>36.434846668054846</v>
      </c>
      <c r="G9" s="193">
        <f>'EGD_Price cap'!K73+'UGL Price cap'!K74</f>
        <v>46.25136425821642</v>
      </c>
      <c r="H9" s="193">
        <f>'EGD_Price cap'!L73+'UGL Price cap'!L74</f>
        <v>53.214406984278469</v>
      </c>
      <c r="I9" s="193">
        <f>'EGD_Price cap'!M73+'UGL Price cap'!M74</f>
        <v>60.228725125830557</v>
      </c>
      <c r="J9" s="193">
        <f>'EGD_Price cap'!N73+'UGL Price cap'!N74</f>
        <v>67.131886483761733</v>
      </c>
      <c r="K9" s="193">
        <f>'EGD_Price cap'!O73+'UGL Price cap'!O74</f>
        <v>70.68797285516527</v>
      </c>
      <c r="L9" s="193">
        <f t="shared" ref="L9:L17" si="5">SUM(B9:K9)</f>
        <v>409.64079417461903</v>
      </c>
    </row>
    <row r="10" spans="1:15">
      <c r="A10" s="182" t="s">
        <v>29</v>
      </c>
      <c r="B10" s="181">
        <f>+'EGD_Price cap'!F70+'UGL Price cap'!F71</f>
        <v>12.568102800199433</v>
      </c>
      <c r="C10" s="181">
        <f>+'EGD_Price cap'!G70+'UGL Price cap'!G71</f>
        <v>34.656283229899714</v>
      </c>
      <c r="D10" s="181">
        <f>+'EGD_Price cap'!H70+'UGL Price cap'!H71</f>
        <v>48.551815417025423</v>
      </c>
      <c r="E10" s="181">
        <f>+'EGD_Price cap'!I70+'UGL Price cap'!I71</f>
        <v>60.16615460799224</v>
      </c>
      <c r="F10" s="181">
        <f>+'EGD_Price cap'!J70+'UGL Price cap'!J71</f>
        <v>73.145939254803096</v>
      </c>
      <c r="G10" s="181">
        <f>+'EGD_Price cap'!K70+'UGL Price cap'!K71</f>
        <v>91.536403979556354</v>
      </c>
      <c r="H10" s="181">
        <f>+'EGD_Price cap'!L70+'UGL Price cap'!L71</f>
        <v>106.76991528323357</v>
      </c>
      <c r="I10" s="181">
        <f>+'EGD_Price cap'!M70+'UGL Price cap'!M71</f>
        <v>119.93229638352815</v>
      </c>
      <c r="J10" s="181">
        <f>+'EGD_Price cap'!N70+'UGL Price cap'!N71</f>
        <v>132.07994161069169</v>
      </c>
      <c r="K10" s="181">
        <f>+'EGD_Price cap'!O70+'UGL Price cap'!O71</f>
        <v>136.38160771057582</v>
      </c>
      <c r="L10" s="181">
        <f t="shared" si="5"/>
        <v>815.78846027750546</v>
      </c>
    </row>
    <row r="11" spans="1:15">
      <c r="A11" s="182" t="s">
        <v>149</v>
      </c>
      <c r="B11" s="196">
        <f>+'EGD_Price cap'!F76+'UGL Price cap'!F77</f>
        <v>-1.9705357178052152</v>
      </c>
      <c r="C11" s="196">
        <f>+'EGD_Price cap'!G76+'UGL Price cap'!G77</f>
        <v>-1.9012829904138577</v>
      </c>
      <c r="D11" s="196">
        <f>+'EGD_Price cap'!H76+'UGL Price cap'!H77</f>
        <v>-1.6683545425905049</v>
      </c>
      <c r="E11" s="196">
        <f>+'EGD_Price cap'!I76+'UGL Price cap'!I77</f>
        <v>-1.3020687631430885</v>
      </c>
      <c r="F11" s="196">
        <f>+'EGD_Price cap'!J76+'UGL Price cap'!J77</f>
        <v>-2.9429060262095259</v>
      </c>
      <c r="G11" s="196">
        <f>+'EGD_Price cap'!K76+'UGL Price cap'!K77</f>
        <v>-4.4060657437423192</v>
      </c>
      <c r="H11" s="196">
        <f>+'EGD_Price cap'!L76+'UGL Price cap'!L77</f>
        <v>-2.7888510809535205</v>
      </c>
      <c r="I11" s="196">
        <f>+'EGD_Price cap'!M76+'UGL Price cap'!M77</f>
        <v>-0.26835416517691968</v>
      </c>
      <c r="J11" s="196">
        <f>+'EGD_Price cap'!N76+'UGL Price cap'!N77</f>
        <v>2.1755607625428794</v>
      </c>
      <c r="K11" s="196">
        <f>+'EGD_Price cap'!O76+'UGL Price cap'!O77</f>
        <v>4.8675601512279556</v>
      </c>
      <c r="L11" s="191">
        <f t="shared" si="5"/>
        <v>-10.205298116264114</v>
      </c>
      <c r="M11" s="189"/>
      <c r="O11" s="189"/>
    </row>
    <row r="12" spans="1:15">
      <c r="A12" s="199" t="s">
        <v>150</v>
      </c>
      <c r="B12" s="181">
        <f>SUM(B9:B11)</f>
        <v>18.186609154860282</v>
      </c>
      <c r="C12" s="181">
        <f t="shared" ref="C12:K12" si="6">SUM(C9:C11)</f>
        <v>49.26404686843513</v>
      </c>
      <c r="D12" s="181">
        <f t="shared" si="6"/>
        <v>69.967797962155615</v>
      </c>
      <c r="E12" s="181">
        <f t="shared" si="6"/>
        <v>87.37325185502489</v>
      </c>
      <c r="F12" s="181">
        <f t="shared" si="6"/>
        <v>106.63787989664841</v>
      </c>
      <c r="G12" s="181">
        <f t="shared" si="6"/>
        <v>133.38170249403046</v>
      </c>
      <c r="H12" s="181">
        <f t="shared" si="6"/>
        <v>157.19547118655851</v>
      </c>
      <c r="I12" s="181">
        <f t="shared" si="6"/>
        <v>179.89266734418177</v>
      </c>
      <c r="J12" s="181">
        <f t="shared" si="6"/>
        <v>201.38738885699632</v>
      </c>
      <c r="K12" s="181">
        <f t="shared" si="6"/>
        <v>211.93714071696905</v>
      </c>
      <c r="L12" s="181">
        <f t="shared" si="5"/>
        <v>1215.2239563358603</v>
      </c>
      <c r="O12" s="189"/>
    </row>
    <row r="13" spans="1:15">
      <c r="A13" s="200" t="s">
        <v>184</v>
      </c>
      <c r="B13" s="196">
        <f>'UGL Price cap'!F81</f>
        <v>-1.7</v>
      </c>
      <c r="C13" s="196">
        <f>'UGL Price cap'!G81</f>
        <v>-2.7</v>
      </c>
      <c r="D13" s="196">
        <f>'UGL Price cap'!H81</f>
        <v>-3.4</v>
      </c>
      <c r="E13" s="196">
        <f>'UGL Price cap'!I81</f>
        <v>-3.4</v>
      </c>
      <c r="F13" s="196">
        <f>'UGL Price cap'!J81</f>
        <v>-3.4</v>
      </c>
      <c r="G13" s="196">
        <f>'UGL Price cap'!K81</f>
        <v>-3.4</v>
      </c>
      <c r="H13" s="196">
        <f>'UGL Price cap'!L81</f>
        <v>-3.4</v>
      </c>
      <c r="I13" s="196">
        <f>'UGL Price cap'!M81</f>
        <v>-3.4</v>
      </c>
      <c r="J13" s="196">
        <f>'UGL Price cap'!N81</f>
        <v>-3.4</v>
      </c>
      <c r="K13" s="196">
        <f>'UGL Price cap'!O81</f>
        <v>-3.4</v>
      </c>
      <c r="L13" s="191">
        <f>SUM(B13:K13)</f>
        <v>-31.599999999999994</v>
      </c>
      <c r="O13" s="189"/>
    </row>
    <row r="14" spans="1:15" ht="15" thickBot="1">
      <c r="A14" s="198" t="s">
        <v>185</v>
      </c>
      <c r="B14" s="197">
        <f>SUM(B12:B13)</f>
        <v>16.486609154860282</v>
      </c>
      <c r="C14" s="197">
        <f t="shared" ref="C14:L14" si="7">SUM(C12:C13)</f>
        <v>46.564046868435128</v>
      </c>
      <c r="D14" s="197">
        <f t="shared" si="7"/>
        <v>66.567797962155609</v>
      </c>
      <c r="E14" s="197">
        <f t="shared" si="7"/>
        <v>83.973251855024884</v>
      </c>
      <c r="F14" s="197">
        <f t="shared" si="7"/>
        <v>103.23787989664841</v>
      </c>
      <c r="G14" s="197">
        <f t="shared" si="7"/>
        <v>129.98170249403046</v>
      </c>
      <c r="H14" s="197">
        <f t="shared" si="7"/>
        <v>153.7954711865585</v>
      </c>
      <c r="I14" s="197">
        <f t="shared" si="7"/>
        <v>176.49266734418177</v>
      </c>
      <c r="J14" s="197">
        <f t="shared" si="7"/>
        <v>197.98738885699632</v>
      </c>
      <c r="K14" s="197">
        <f t="shared" si="7"/>
        <v>208.53714071696905</v>
      </c>
      <c r="L14" s="191">
        <f t="shared" si="7"/>
        <v>1183.6239563358604</v>
      </c>
      <c r="O14" s="189"/>
    </row>
    <row r="15" spans="1:15" ht="15" thickTop="1">
      <c r="N15" s="181"/>
    </row>
    <row r="16" spans="1:15">
      <c r="A16" s="182" t="s">
        <v>151</v>
      </c>
      <c r="B16" s="185">
        <f>+'EGD_Price cap'!F48+'UGL Price cap'!F49</f>
        <v>832.45135767420015</v>
      </c>
      <c r="C16" s="185">
        <f>+'EGD_Price cap'!G48+'UGL Price cap'!G49</f>
        <v>838.17856369629089</v>
      </c>
      <c r="D16" s="185">
        <f>+'EGD_Price cap'!H48+'UGL Price cap'!H49</f>
        <v>839.43077668889248</v>
      </c>
      <c r="E16" s="185">
        <f>+'EGD_Price cap'!I48+'UGL Price cap'!I49</f>
        <v>848.46833152067256</v>
      </c>
      <c r="F16" s="185">
        <f>+'EGD_Price cap'!J48+'UGL Price cap'!J49</f>
        <v>853.71477326903346</v>
      </c>
      <c r="G16" s="185">
        <f>+'EGD_Price cap'!K48+'UGL Price cap'!K49</f>
        <v>859.20748993596806</v>
      </c>
      <c r="H16" s="185">
        <f>+'EGD_Price cap'!L48+'UGL Price cap'!L49</f>
        <v>865.13651327596085</v>
      </c>
      <c r="I16" s="185">
        <f>+'EGD_Price cap'!M48+'UGL Price cap'!M49</f>
        <v>871.13748654928816</v>
      </c>
      <c r="J16" s="185">
        <f>+'EGD_Price cap'!N48+'UGL Price cap'!N49</f>
        <v>877.57710830504993</v>
      </c>
      <c r="K16" s="185">
        <f>+'EGD_Price cap'!O48+'UGL Price cap'!O49</f>
        <v>884.63376229051414</v>
      </c>
      <c r="L16" s="181">
        <f t="shared" si="5"/>
        <v>8569.9361632058699</v>
      </c>
    </row>
    <row r="17" spans="1:15">
      <c r="A17" s="182" t="s">
        <v>158</v>
      </c>
      <c r="B17" s="192">
        <f>B24</f>
        <v>1220</v>
      </c>
      <c r="C17" s="192">
        <f t="shared" ref="C17:K17" si="8">C24</f>
        <v>1153</v>
      </c>
      <c r="D17" s="192">
        <f t="shared" si="8"/>
        <v>1025</v>
      </c>
      <c r="E17" s="192">
        <f t="shared" si="8"/>
        <v>1073</v>
      </c>
      <c r="F17" s="192">
        <f t="shared" si="8"/>
        <v>1186</v>
      </c>
      <c r="G17" s="192">
        <f t="shared" si="8"/>
        <v>1174</v>
      </c>
      <c r="H17" s="192">
        <f t="shared" si="8"/>
        <v>1036</v>
      </c>
      <c r="I17" s="192">
        <f t="shared" si="8"/>
        <v>1243</v>
      </c>
      <c r="J17" s="192">
        <f t="shared" si="8"/>
        <v>1030</v>
      </c>
      <c r="K17" s="192">
        <f t="shared" si="8"/>
        <v>1036</v>
      </c>
      <c r="L17" s="191">
        <f t="shared" si="5"/>
        <v>11176</v>
      </c>
      <c r="O17" s="189"/>
    </row>
    <row r="19" spans="1:15">
      <c r="A19" s="186" t="s">
        <v>156</v>
      </c>
    </row>
    <row r="20" spans="1:15">
      <c r="A20" s="182" t="s">
        <v>152</v>
      </c>
      <c r="B20">
        <v>561</v>
      </c>
      <c r="C20">
        <v>556</v>
      </c>
      <c r="D20">
        <v>568</v>
      </c>
      <c r="E20">
        <v>526</v>
      </c>
      <c r="F20">
        <v>501</v>
      </c>
      <c r="G20">
        <v>587</v>
      </c>
      <c r="H20">
        <v>578</v>
      </c>
      <c r="I20">
        <v>597</v>
      </c>
      <c r="J20">
        <v>607</v>
      </c>
      <c r="K20">
        <v>598</v>
      </c>
      <c r="L20" s="181">
        <f t="shared" ref="L20:L25" si="9">SUM(B20:K20)</f>
        <v>5679</v>
      </c>
    </row>
    <row r="21" spans="1:15">
      <c r="A21" s="182" t="s">
        <v>153</v>
      </c>
      <c r="B21">
        <v>336</v>
      </c>
      <c r="C21">
        <v>289</v>
      </c>
      <c r="D21">
        <v>271</v>
      </c>
      <c r="E21">
        <v>323</v>
      </c>
      <c r="F21">
        <v>353</v>
      </c>
      <c r="G21">
        <v>270</v>
      </c>
      <c r="H21">
        <v>287</v>
      </c>
      <c r="I21">
        <v>274</v>
      </c>
      <c r="J21">
        <v>268</v>
      </c>
      <c r="K21">
        <v>286</v>
      </c>
      <c r="L21" s="181">
        <f t="shared" si="9"/>
        <v>2957</v>
      </c>
    </row>
    <row r="22" spans="1:15">
      <c r="A22" s="182" t="s">
        <v>157</v>
      </c>
      <c r="B22">
        <f>+B20+B21</f>
        <v>897</v>
      </c>
      <c r="C22">
        <f t="shared" ref="C22:J22" si="10">+C20+C21</f>
        <v>845</v>
      </c>
      <c r="D22">
        <f t="shared" si="10"/>
        <v>839</v>
      </c>
      <c r="E22">
        <f t="shared" si="10"/>
        <v>849</v>
      </c>
      <c r="F22">
        <f t="shared" si="10"/>
        <v>854</v>
      </c>
      <c r="G22">
        <f t="shared" si="10"/>
        <v>857</v>
      </c>
      <c r="H22">
        <f t="shared" si="10"/>
        <v>865</v>
      </c>
      <c r="I22">
        <f t="shared" si="10"/>
        <v>871</v>
      </c>
      <c r="J22">
        <f t="shared" si="10"/>
        <v>875</v>
      </c>
      <c r="K22">
        <f>+K20+K21</f>
        <v>884</v>
      </c>
      <c r="L22" s="181">
        <f t="shared" si="9"/>
        <v>8636</v>
      </c>
    </row>
    <row r="23" spans="1:15">
      <c r="A23" s="182" t="s">
        <v>154</v>
      </c>
      <c r="B23">
        <v>323</v>
      </c>
      <c r="C23">
        <v>308</v>
      </c>
      <c r="D23">
        <v>186</v>
      </c>
      <c r="E23">
        <v>224</v>
      </c>
      <c r="F23">
        <v>332</v>
      </c>
      <c r="G23">
        <v>317</v>
      </c>
      <c r="H23">
        <v>171</v>
      </c>
      <c r="I23">
        <v>372</v>
      </c>
      <c r="J23">
        <v>155</v>
      </c>
      <c r="K23">
        <v>152</v>
      </c>
      <c r="L23" s="181">
        <f t="shared" si="9"/>
        <v>2540</v>
      </c>
    </row>
    <row r="24" spans="1:15">
      <c r="A24" s="182" t="s">
        <v>159</v>
      </c>
      <c r="B24">
        <f>+B23+B22</f>
        <v>1220</v>
      </c>
      <c r="C24">
        <f t="shared" ref="C24:J24" si="11">+C23+C22</f>
        <v>1153</v>
      </c>
      <c r="D24">
        <f t="shared" si="11"/>
        <v>1025</v>
      </c>
      <c r="E24">
        <f t="shared" si="11"/>
        <v>1073</v>
      </c>
      <c r="F24">
        <f t="shared" si="11"/>
        <v>1186</v>
      </c>
      <c r="G24">
        <f t="shared" si="11"/>
        <v>1174</v>
      </c>
      <c r="H24">
        <f t="shared" si="11"/>
        <v>1036</v>
      </c>
      <c r="I24">
        <f t="shared" si="11"/>
        <v>1243</v>
      </c>
      <c r="J24">
        <f t="shared" si="11"/>
        <v>1030</v>
      </c>
      <c r="K24">
        <f>+K23+K22</f>
        <v>1036</v>
      </c>
      <c r="L24" s="181">
        <f t="shared" si="9"/>
        <v>11176</v>
      </c>
    </row>
    <row r="25" spans="1:15">
      <c r="A25" s="182" t="s">
        <v>160</v>
      </c>
      <c r="B25">
        <v>11</v>
      </c>
      <c r="C25">
        <v>36</v>
      </c>
      <c r="D25">
        <v>53</v>
      </c>
      <c r="E25">
        <v>37</v>
      </c>
      <c r="F25">
        <v>13</v>
      </c>
      <c r="L25" s="181">
        <f t="shared" si="9"/>
        <v>150</v>
      </c>
    </row>
    <row r="26" spans="1:15">
      <c r="A26" s="182" t="s">
        <v>155</v>
      </c>
      <c r="B26">
        <f>+B24+B25</f>
        <v>1231</v>
      </c>
      <c r="C26">
        <f t="shared" ref="C26:K26" si="12">+C24+C25</f>
        <v>1189</v>
      </c>
      <c r="D26">
        <f t="shared" si="12"/>
        <v>1078</v>
      </c>
      <c r="E26">
        <f t="shared" si="12"/>
        <v>1110</v>
      </c>
      <c r="F26">
        <f t="shared" si="12"/>
        <v>1199</v>
      </c>
      <c r="G26">
        <f t="shared" si="12"/>
        <v>1174</v>
      </c>
      <c r="H26">
        <f t="shared" si="12"/>
        <v>1036</v>
      </c>
      <c r="I26">
        <f t="shared" si="12"/>
        <v>1243</v>
      </c>
      <c r="J26">
        <f t="shared" si="12"/>
        <v>1030</v>
      </c>
      <c r="K26">
        <f t="shared" si="12"/>
        <v>1036</v>
      </c>
      <c r="L26" s="181">
        <f t="shared" ref="L26" si="13">SUM(B26:K26)</f>
        <v>11326</v>
      </c>
    </row>
    <row r="28" spans="1:15">
      <c r="A28" s="187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</row>
    <row r="29" spans="1:15">
      <c r="A29" s="182" t="s">
        <v>0</v>
      </c>
      <c r="N29" s="169"/>
      <c r="O29" s="169"/>
    </row>
    <row r="30" spans="1:15">
      <c r="A30" t="s">
        <v>161</v>
      </c>
      <c r="B30" s="8">
        <v>0</v>
      </c>
      <c r="C30" s="8">
        <f>B32</f>
        <v>111.47124479293387</v>
      </c>
      <c r="D30" s="8">
        <f t="shared" ref="D30:K30" si="14">C32</f>
        <v>328.32641415142308</v>
      </c>
      <c r="E30" s="8">
        <f t="shared" si="14"/>
        <v>397.87445840148507</v>
      </c>
      <c r="F30" s="8">
        <f t="shared" si="14"/>
        <v>520.59707853733346</v>
      </c>
      <c r="G30" s="8">
        <f t="shared" si="14"/>
        <v>583.0717696836349</v>
      </c>
      <c r="H30" s="8">
        <f t="shared" si="14"/>
        <v>651.00922706941583</v>
      </c>
      <c r="I30" s="8">
        <f t="shared" si="14"/>
        <v>740.04408745079809</v>
      </c>
      <c r="J30" s="8">
        <f t="shared" si="14"/>
        <v>1036.3702848625699</v>
      </c>
      <c r="K30" s="8">
        <f t="shared" si="14"/>
        <v>1103.4539111483125</v>
      </c>
      <c r="L30" s="8"/>
    </row>
    <row r="31" spans="1:15">
      <c r="A31" t="s">
        <v>189</v>
      </c>
      <c r="B31" s="129">
        <f>'EGD_Price cap'!F65</f>
        <v>111.47124479293387</v>
      </c>
      <c r="C31" s="129">
        <f>'EGD_Price cap'!G65</f>
        <v>216.85516935848921</v>
      </c>
      <c r="D31" s="129">
        <f>'EGD_Price cap'!H65</f>
        <v>69.548044250061992</v>
      </c>
      <c r="E31" s="129">
        <f>'EGD_Price cap'!I65</f>
        <v>122.72262013584839</v>
      </c>
      <c r="F31" s="129">
        <f>'EGD_Price cap'!J65</f>
        <v>62.474691146301438</v>
      </c>
      <c r="G31" s="129">
        <f>'EGD_Price cap'!K65</f>
        <v>67.937457385780931</v>
      </c>
      <c r="H31" s="129">
        <f>'EGD_Price cap'!L65</f>
        <v>89.034860381382259</v>
      </c>
      <c r="I31" s="129">
        <f>'EGD_Price cap'!M65</f>
        <v>296.32619741177189</v>
      </c>
      <c r="J31" s="129">
        <f>'EGD_Price cap'!N65</f>
        <v>67.083626285742639</v>
      </c>
      <c r="K31" s="129">
        <f>'EGD_Price cap'!O65</f>
        <v>70.244731977765809</v>
      </c>
      <c r="L31" s="16"/>
    </row>
    <row r="32" spans="1:15">
      <c r="A32" t="s">
        <v>163</v>
      </c>
      <c r="B32" s="8">
        <f>SUM(B30:B31)</f>
        <v>111.47124479293387</v>
      </c>
      <c r="C32" s="8">
        <f t="shared" ref="C32:K32" si="15">SUM(C30:C31)</f>
        <v>328.32641415142308</v>
      </c>
      <c r="D32" s="8">
        <f t="shared" si="15"/>
        <v>397.87445840148507</v>
      </c>
      <c r="E32" s="8">
        <f t="shared" si="15"/>
        <v>520.59707853733346</v>
      </c>
      <c r="F32" s="8">
        <f t="shared" si="15"/>
        <v>583.0717696836349</v>
      </c>
      <c r="G32" s="8">
        <f t="shared" si="15"/>
        <v>651.00922706941583</v>
      </c>
      <c r="H32" s="8">
        <f t="shared" si="15"/>
        <v>740.04408745079809</v>
      </c>
      <c r="I32" s="8">
        <f t="shared" si="15"/>
        <v>1036.3702848625699</v>
      </c>
      <c r="J32" s="8">
        <f t="shared" si="15"/>
        <v>1103.4539111483125</v>
      </c>
      <c r="K32" s="8">
        <f t="shared" si="15"/>
        <v>1173.6986431260784</v>
      </c>
      <c r="L32" s="8"/>
    </row>
    <row r="34" spans="1:15">
      <c r="A34" t="s">
        <v>164</v>
      </c>
      <c r="B34" s="8">
        <f t="shared" ref="B34:J34" si="16">B30+B31/2</f>
        <v>55.735622396466937</v>
      </c>
      <c r="C34" s="8">
        <f t="shared" si="16"/>
        <v>219.89882947217848</v>
      </c>
      <c r="D34" s="8">
        <f t="shared" si="16"/>
        <v>363.10043627645405</v>
      </c>
      <c r="E34" s="8">
        <f t="shared" si="16"/>
        <v>459.23576846940927</v>
      </c>
      <c r="F34" s="8">
        <f t="shared" si="16"/>
        <v>551.83442411048418</v>
      </c>
      <c r="G34" s="8">
        <f t="shared" si="16"/>
        <v>617.04049837652542</v>
      </c>
      <c r="H34" s="8">
        <f t="shared" si="16"/>
        <v>695.52665726010696</v>
      </c>
      <c r="I34" s="8">
        <f t="shared" si="16"/>
        <v>888.20718615668397</v>
      </c>
      <c r="J34" s="8">
        <f t="shared" si="16"/>
        <v>1069.9120980054413</v>
      </c>
      <c r="K34" s="8">
        <f>K30+K31/2</f>
        <v>1138.5762771371953</v>
      </c>
      <c r="L34" s="188"/>
    </row>
    <row r="36" spans="1:15">
      <c r="A36" t="s">
        <v>188</v>
      </c>
      <c r="B36" s="8">
        <v>0</v>
      </c>
      <c r="C36" s="8">
        <f>B38</f>
        <v>1.4491261823081403</v>
      </c>
      <c r="D36" s="8">
        <f t="shared" ref="D36:K36" si="17">C38</f>
        <v>7.1667019685295017</v>
      </c>
      <c r="E36" s="8">
        <f t="shared" si="17"/>
        <v>16.607920550322184</v>
      </c>
      <c r="F36" s="8">
        <f t="shared" si="17"/>
        <v>28.549062360467339</v>
      </c>
      <c r="G36" s="8">
        <f t="shared" si="17"/>
        <v>42.898190602745906</v>
      </c>
      <c r="H36" s="8">
        <f t="shared" si="17"/>
        <v>58.943102587126212</v>
      </c>
      <c r="I36" s="8">
        <f t="shared" si="17"/>
        <v>77.029086407218486</v>
      </c>
      <c r="J36" s="8">
        <f t="shared" si="17"/>
        <v>100.12520179117672</v>
      </c>
      <c r="K36" s="8">
        <f t="shared" si="17"/>
        <v>127.94608884699601</v>
      </c>
    </row>
    <row r="37" spans="1:15">
      <c r="A37" t="s">
        <v>165</v>
      </c>
      <c r="B37" s="129">
        <f>'EGD_Price cap'!F73</f>
        <v>1.4491261823081403</v>
      </c>
      <c r="C37" s="129">
        <f>'EGD_Price cap'!G73</f>
        <v>5.717575786221361</v>
      </c>
      <c r="D37" s="129">
        <f>'EGD_Price cap'!H73</f>
        <v>9.4412185817926808</v>
      </c>
      <c r="E37" s="129">
        <f>'EGD_Price cap'!I73</f>
        <v>11.941141810145153</v>
      </c>
      <c r="F37" s="129">
        <f>'EGD_Price cap'!J73</f>
        <v>14.349128242278569</v>
      </c>
      <c r="G37" s="129">
        <f>'EGD_Price cap'!K73</f>
        <v>16.044911984380306</v>
      </c>
      <c r="H37" s="129">
        <f>'EGD_Price cap'!L73</f>
        <v>18.085983820092277</v>
      </c>
      <c r="I37" s="129">
        <f>'EGD_Price cap'!M73</f>
        <v>23.096115383958242</v>
      </c>
      <c r="J37" s="129">
        <f>'EGD_Price cap'!N73</f>
        <v>27.820887055819288</v>
      </c>
      <c r="K37" s="129">
        <f>'EGD_Price cap'!O73</f>
        <v>29.606607324879562</v>
      </c>
      <c r="L37" s="188">
        <f>SUM(B37:K37)</f>
        <v>157.55269617187557</v>
      </c>
    </row>
    <row r="38" spans="1:15">
      <c r="A38" t="s">
        <v>187</v>
      </c>
      <c r="B38" s="8">
        <f>SUM(B36:B37)</f>
        <v>1.4491261823081403</v>
      </c>
      <c r="C38" s="8">
        <f t="shared" ref="C38:K38" si="18">SUM(C36:C37)</f>
        <v>7.1667019685295017</v>
      </c>
      <c r="D38" s="8">
        <f t="shared" si="18"/>
        <v>16.607920550322184</v>
      </c>
      <c r="E38" s="8">
        <f t="shared" si="18"/>
        <v>28.549062360467339</v>
      </c>
      <c r="F38" s="8">
        <f t="shared" si="18"/>
        <v>42.898190602745906</v>
      </c>
      <c r="G38" s="8">
        <f t="shared" si="18"/>
        <v>58.943102587126212</v>
      </c>
      <c r="H38" s="8">
        <f t="shared" si="18"/>
        <v>77.029086407218486</v>
      </c>
      <c r="I38" s="8">
        <f t="shared" si="18"/>
        <v>100.12520179117672</v>
      </c>
      <c r="J38" s="8">
        <f t="shared" si="18"/>
        <v>127.94608884699601</v>
      </c>
      <c r="K38" s="8">
        <f t="shared" si="18"/>
        <v>157.55269617187557</v>
      </c>
    </row>
    <row r="40" spans="1:15">
      <c r="A40" t="s">
        <v>186</v>
      </c>
      <c r="B40" s="8">
        <f t="shared" ref="B40:J40" si="19">B36+B37/2</f>
        <v>0.72456309115407014</v>
      </c>
      <c r="C40" s="8">
        <f>C36+C37/2</f>
        <v>4.3079140754188208</v>
      </c>
      <c r="D40" s="8">
        <f t="shared" si="19"/>
        <v>11.887311259425843</v>
      </c>
      <c r="E40" s="8">
        <f t="shared" si="19"/>
        <v>22.578491455394762</v>
      </c>
      <c r="F40" s="8">
        <f t="shared" si="19"/>
        <v>35.723626481606622</v>
      </c>
      <c r="G40" s="8">
        <f t="shared" si="19"/>
        <v>50.920646594936059</v>
      </c>
      <c r="H40" s="8">
        <f t="shared" si="19"/>
        <v>67.986094497172346</v>
      </c>
      <c r="I40" s="8">
        <f t="shared" si="19"/>
        <v>88.577144099197611</v>
      </c>
      <c r="J40" s="8">
        <f t="shared" si="19"/>
        <v>114.03564531908637</v>
      </c>
      <c r="K40" s="8">
        <f>K36+K37/2</f>
        <v>142.74939250943578</v>
      </c>
    </row>
    <row r="42" spans="1:15" ht="15" thickBot="1">
      <c r="A42" s="201" t="s">
        <v>168</v>
      </c>
      <c r="B42" s="203">
        <f t="shared" ref="B42:J42" si="20">B34-B40</f>
        <v>55.01105930531287</v>
      </c>
      <c r="C42" s="203">
        <f>C34-C40</f>
        <v>215.59091539675967</v>
      </c>
      <c r="D42" s="203">
        <f t="shared" si="20"/>
        <v>351.21312501702823</v>
      </c>
      <c r="E42" s="203">
        <f t="shared" si="20"/>
        <v>436.65727701401448</v>
      </c>
      <c r="F42" s="203">
        <f t="shared" si="20"/>
        <v>516.11079762887755</v>
      </c>
      <c r="G42" s="203">
        <f t="shared" si="20"/>
        <v>566.11985178158932</v>
      </c>
      <c r="H42" s="203">
        <f t="shared" si="20"/>
        <v>627.54056276293466</v>
      </c>
      <c r="I42" s="203">
        <f t="shared" si="20"/>
        <v>799.63004205748632</v>
      </c>
      <c r="J42" s="203">
        <f t="shared" si="20"/>
        <v>955.87645268635492</v>
      </c>
      <c r="K42" s="203">
        <f>K34-K40</f>
        <v>995.82688462775957</v>
      </c>
      <c r="N42" s="2"/>
      <c r="O42" s="2"/>
    </row>
    <row r="43" spans="1:15" ht="15" thickTop="1">
      <c r="B43" s="8">
        <f>'EGD_Price cap'!F68-B42</f>
        <v>0</v>
      </c>
      <c r="C43" s="8">
        <f>'EGD_Price cap'!G68-C42</f>
        <v>7.9315363354055535E-3</v>
      </c>
      <c r="D43" s="8">
        <f>'EGD_Price cap'!H68-D42</f>
        <v>2.3355330956746911E-2</v>
      </c>
      <c r="E43" s="8">
        <f>'EGD_Price cap'!I68-E42</f>
        <v>3.8916536173587701E-2</v>
      </c>
      <c r="F43" s="8">
        <f>'EGD_Price cap'!J68-F42</f>
        <v>5.5123669460840574E-2</v>
      </c>
      <c r="G43" s="8">
        <f>'EGD_Price cap'!K68-G42</f>
        <v>7.1501022717143314E-2</v>
      </c>
      <c r="H43" s="8">
        <f>'EGD_Price cap'!L68-H42</f>
        <v>8.8105051134448331E-2</v>
      </c>
      <c r="I43" s="8">
        <f>'EGD_Price cap'!M68-I42</f>
        <v>0.10494399555614109</v>
      </c>
      <c r="J43" s="8">
        <f>'EGD_Price cap'!N68-J42</f>
        <v>0.12201952606983468</v>
      </c>
      <c r="K43" s="8">
        <f>'EGD_Price cap'!O68-K42</f>
        <v>0.13938920432633495</v>
      </c>
      <c r="L43" t="s">
        <v>169</v>
      </c>
    </row>
    <row r="44" spans="1:15">
      <c r="A44" s="2" t="s">
        <v>93</v>
      </c>
    </row>
    <row r="45" spans="1:15">
      <c r="A45" t="s">
        <v>161</v>
      </c>
      <c r="B45" s="8">
        <v>96</v>
      </c>
      <c r="C45" s="8">
        <f>B47</f>
        <v>324.39999999999998</v>
      </c>
      <c r="D45" s="8">
        <f t="shared" ref="D45:K45" si="21">C47</f>
        <v>398.4</v>
      </c>
      <c r="E45" s="8">
        <f t="shared" si="21"/>
        <v>515.4</v>
      </c>
      <c r="F45" s="8">
        <f t="shared" si="21"/>
        <v>592.4</v>
      </c>
      <c r="G45" s="8">
        <f t="shared" si="21"/>
        <v>875.4</v>
      </c>
      <c r="H45" s="8">
        <f t="shared" si="21"/>
        <v>1124.4000000000001</v>
      </c>
      <c r="I45" s="8">
        <f t="shared" si="21"/>
        <v>1200.4000000000001</v>
      </c>
      <c r="J45" s="8">
        <f t="shared" si="21"/>
        <v>1258.4000000000001</v>
      </c>
      <c r="K45" s="8">
        <f t="shared" si="21"/>
        <v>1346.4</v>
      </c>
      <c r="L45" s="8"/>
    </row>
    <row r="46" spans="1:15">
      <c r="A46" t="s">
        <v>162</v>
      </c>
      <c r="B46" s="129">
        <f>'UGL Price cap'!F66+17</f>
        <v>228.4</v>
      </c>
      <c r="C46" s="129">
        <f>'UGL Price cap'!G66-3</f>
        <v>74</v>
      </c>
      <c r="D46" s="129">
        <f>'UGL Price cap'!H66+3</f>
        <v>117</v>
      </c>
      <c r="E46" s="129">
        <f>'UGL Price cap'!I66-19</f>
        <v>77</v>
      </c>
      <c r="F46" s="129">
        <f>'UGL Price cap'!J66+19</f>
        <v>283</v>
      </c>
      <c r="G46" s="129">
        <f>'UGL Price cap'!K66</f>
        <v>249</v>
      </c>
      <c r="H46" s="129">
        <f>'UGL Price cap'!L66</f>
        <v>76</v>
      </c>
      <c r="I46" s="129">
        <f>'UGL Price cap'!M66</f>
        <v>58</v>
      </c>
      <c r="J46" s="129">
        <f>'UGL Price cap'!N66</f>
        <v>88</v>
      </c>
      <c r="K46" s="129">
        <f>'UGL Price cap'!O66</f>
        <v>31</v>
      </c>
      <c r="L46" s="16"/>
    </row>
    <row r="47" spans="1:15">
      <c r="A47" t="s">
        <v>163</v>
      </c>
      <c r="B47" s="8">
        <f>SUM(B45:B46)</f>
        <v>324.39999999999998</v>
      </c>
      <c r="C47" s="8">
        <f t="shared" ref="C47:K47" si="22">SUM(C45:C46)</f>
        <v>398.4</v>
      </c>
      <c r="D47" s="8">
        <f t="shared" si="22"/>
        <v>515.4</v>
      </c>
      <c r="E47" s="8">
        <f t="shared" si="22"/>
        <v>592.4</v>
      </c>
      <c r="F47" s="8">
        <f t="shared" si="22"/>
        <v>875.4</v>
      </c>
      <c r="G47" s="8">
        <f t="shared" si="22"/>
        <v>1124.4000000000001</v>
      </c>
      <c r="H47" s="8">
        <f t="shared" si="22"/>
        <v>1200.4000000000001</v>
      </c>
      <c r="I47" s="8">
        <f t="shared" si="22"/>
        <v>1258.4000000000001</v>
      </c>
      <c r="J47" s="8">
        <f t="shared" si="22"/>
        <v>1346.4</v>
      </c>
      <c r="K47" s="8">
        <f t="shared" si="22"/>
        <v>1377.4</v>
      </c>
      <c r="L47" s="8"/>
    </row>
    <row r="49" spans="1:12">
      <c r="A49" t="s">
        <v>164</v>
      </c>
      <c r="B49" s="8">
        <f>B45</f>
        <v>96</v>
      </c>
      <c r="C49" s="8">
        <f>C45</f>
        <v>324.39999999999998</v>
      </c>
      <c r="D49" s="8">
        <f t="shared" ref="D49:K49" si="23">D45</f>
        <v>398.4</v>
      </c>
      <c r="E49" s="8">
        <f t="shared" si="23"/>
        <v>515.4</v>
      </c>
      <c r="F49" s="8">
        <f t="shared" si="23"/>
        <v>592.4</v>
      </c>
      <c r="G49" s="8">
        <f t="shared" si="23"/>
        <v>875.4</v>
      </c>
      <c r="H49" s="8">
        <f t="shared" si="23"/>
        <v>1124.4000000000001</v>
      </c>
      <c r="I49" s="8">
        <f t="shared" si="23"/>
        <v>1200.4000000000001</v>
      </c>
      <c r="J49" s="8">
        <f t="shared" si="23"/>
        <v>1258.4000000000001</v>
      </c>
      <c r="K49" s="8">
        <f t="shared" si="23"/>
        <v>1346.4</v>
      </c>
      <c r="L49" s="188"/>
    </row>
    <row r="50" spans="1:12">
      <c r="A50" t="s">
        <v>166</v>
      </c>
      <c r="B50" s="129">
        <v>59.824999999999989</v>
      </c>
      <c r="C50" s="129">
        <v>26.5</v>
      </c>
      <c r="D50" s="129">
        <v>41.625</v>
      </c>
      <c r="E50" s="129">
        <v>34</v>
      </c>
      <c r="F50" s="129">
        <v>98</v>
      </c>
      <c r="G50" s="129">
        <v>75.375000000000114</v>
      </c>
      <c r="H50" s="129">
        <v>33.5</v>
      </c>
      <c r="I50" s="129">
        <v>25.25</v>
      </c>
      <c r="J50" s="129">
        <v>35.75</v>
      </c>
      <c r="K50" s="129">
        <v>13.25</v>
      </c>
      <c r="L50" s="188"/>
    </row>
    <row r="51" spans="1:12">
      <c r="B51" s="8">
        <f>SUM(B49:B50)</f>
        <v>155.82499999999999</v>
      </c>
      <c r="C51" s="8">
        <f t="shared" ref="C51:K51" si="24">SUM(C49:C50)</f>
        <v>350.9</v>
      </c>
      <c r="D51" s="8">
        <f t="shared" si="24"/>
        <v>440.02499999999998</v>
      </c>
      <c r="E51" s="8">
        <f t="shared" si="24"/>
        <v>549.4</v>
      </c>
      <c r="F51" s="8">
        <f t="shared" si="24"/>
        <v>690.4</v>
      </c>
      <c r="G51" s="8">
        <f t="shared" si="24"/>
        <v>950.77500000000009</v>
      </c>
      <c r="H51" s="8">
        <f t="shared" si="24"/>
        <v>1157.9000000000001</v>
      </c>
      <c r="I51" s="8">
        <f t="shared" si="24"/>
        <v>1225.6500000000001</v>
      </c>
      <c r="J51" s="8">
        <f t="shared" si="24"/>
        <v>1294.1500000000001</v>
      </c>
      <c r="K51" s="8">
        <f t="shared" si="24"/>
        <v>1359.65</v>
      </c>
      <c r="L51" s="188"/>
    </row>
    <row r="52" spans="1:12">
      <c r="B52" s="8"/>
      <c r="C52" s="8"/>
      <c r="D52" s="8"/>
      <c r="E52" s="8"/>
      <c r="F52" s="8"/>
      <c r="G52" s="8"/>
      <c r="H52" s="8"/>
      <c r="I52" s="8"/>
      <c r="J52" s="8"/>
      <c r="K52" s="8"/>
      <c r="L52" s="188"/>
    </row>
    <row r="53" spans="1:12">
      <c r="A53" t="s">
        <v>188</v>
      </c>
      <c r="B53" s="8">
        <v>1</v>
      </c>
      <c r="C53" s="8">
        <f>B55</f>
        <v>7.1399158901579218</v>
      </c>
      <c r="D53" s="8">
        <f t="shared" ref="D53:K53" si="25">C55</f>
        <v>17.931386732885841</v>
      </c>
      <c r="E53" s="8">
        <f t="shared" si="25"/>
        <v>31.57450523881386</v>
      </c>
      <c r="F53" s="8">
        <f t="shared" si="25"/>
        <v>48.142529438844434</v>
      </c>
      <c r="G53" s="8">
        <f t="shared" si="25"/>
        <v>70.228247864620712</v>
      </c>
      <c r="H53" s="8">
        <f t="shared" si="25"/>
        <v>100.43470013845683</v>
      </c>
      <c r="I53" s="8">
        <f t="shared" si="25"/>
        <v>135.56312330264302</v>
      </c>
      <c r="J53" s="8">
        <f t="shared" si="25"/>
        <v>172.69573304451535</v>
      </c>
      <c r="K53" s="8">
        <f t="shared" si="25"/>
        <v>212.0067324724578</v>
      </c>
    </row>
    <row r="54" spans="1:12">
      <c r="A54" t="s">
        <v>165</v>
      </c>
      <c r="B54" s="129">
        <f>'UGL Price cap'!F74</f>
        <v>6.1399158901579218</v>
      </c>
      <c r="C54" s="129">
        <f>'UGL Price cap'!G74</f>
        <v>10.79147084272792</v>
      </c>
      <c r="D54" s="129">
        <f>'UGL Price cap'!H74</f>
        <v>13.643118505928019</v>
      </c>
      <c r="E54" s="129">
        <f>'UGL Price cap'!I74</f>
        <v>16.568024200030571</v>
      </c>
      <c r="F54" s="129">
        <f>'UGL Price cap'!J74</f>
        <v>22.085718425776275</v>
      </c>
      <c r="G54" s="129">
        <f>'UGL Price cap'!K74</f>
        <v>30.206452273836113</v>
      </c>
      <c r="H54" s="129">
        <f>'UGL Price cap'!L74</f>
        <v>35.128423164186188</v>
      </c>
      <c r="I54" s="129">
        <f>'UGL Price cap'!M74</f>
        <v>37.132609741872315</v>
      </c>
      <c r="J54" s="129">
        <f>'UGL Price cap'!N74</f>
        <v>39.310999427942441</v>
      </c>
      <c r="K54" s="129">
        <f>'UGL Price cap'!O74</f>
        <v>41.081365530285709</v>
      </c>
      <c r="L54" s="188"/>
    </row>
    <row r="55" spans="1:12">
      <c r="A55" t="s">
        <v>187</v>
      </c>
      <c r="B55" s="8">
        <f>SUM(B53:B54)</f>
        <v>7.1399158901579218</v>
      </c>
      <c r="C55" s="8">
        <f t="shared" ref="C55:K55" si="26">SUM(C53:C54)</f>
        <v>17.931386732885841</v>
      </c>
      <c r="D55" s="8">
        <f t="shared" si="26"/>
        <v>31.57450523881386</v>
      </c>
      <c r="E55" s="8">
        <f t="shared" si="26"/>
        <v>48.142529438844434</v>
      </c>
      <c r="F55" s="8">
        <f t="shared" si="26"/>
        <v>70.228247864620712</v>
      </c>
      <c r="G55" s="8">
        <f t="shared" si="26"/>
        <v>100.43470013845683</v>
      </c>
      <c r="H55" s="8">
        <f t="shared" si="26"/>
        <v>135.56312330264302</v>
      </c>
      <c r="I55" s="8">
        <f t="shared" si="26"/>
        <v>172.69573304451535</v>
      </c>
      <c r="J55" s="8">
        <f t="shared" si="26"/>
        <v>212.0067324724578</v>
      </c>
      <c r="K55" s="8">
        <f t="shared" si="26"/>
        <v>253.08809800274349</v>
      </c>
    </row>
    <row r="57" spans="1:12">
      <c r="A57" t="s">
        <v>190</v>
      </c>
      <c r="B57" s="8">
        <f t="shared" ref="B57:J57" si="27">B53+B54/2</f>
        <v>4.0699579450789614</v>
      </c>
      <c r="C57" s="8">
        <f t="shared" si="27"/>
        <v>12.535651311521882</v>
      </c>
      <c r="D57" s="8">
        <f t="shared" si="27"/>
        <v>24.752945985849848</v>
      </c>
      <c r="E57" s="8">
        <f t="shared" si="27"/>
        <v>39.858517338829145</v>
      </c>
      <c r="F57" s="8">
        <f t="shared" si="27"/>
        <v>59.185388651732573</v>
      </c>
      <c r="G57" s="8">
        <f t="shared" si="27"/>
        <v>85.331474001538766</v>
      </c>
      <c r="H57" s="8">
        <f t="shared" si="27"/>
        <v>117.99891172054993</v>
      </c>
      <c r="I57" s="8">
        <f t="shared" si="27"/>
        <v>154.12942817357919</v>
      </c>
      <c r="J57" s="8">
        <f t="shared" si="27"/>
        <v>192.35123275848656</v>
      </c>
      <c r="K57" s="8">
        <f>K53+K54/2</f>
        <v>232.54741523760066</v>
      </c>
    </row>
    <row r="59" spans="1:12" ht="15" thickBot="1">
      <c r="A59" s="201" t="s">
        <v>170</v>
      </c>
      <c r="B59" s="202">
        <f t="shared" ref="B59:K59" si="28">B51-B57</f>
        <v>151.75504205492103</v>
      </c>
      <c r="C59" s="202">
        <f t="shared" si="28"/>
        <v>338.36434868847812</v>
      </c>
      <c r="D59" s="202">
        <f t="shared" si="28"/>
        <v>415.27205401415011</v>
      </c>
      <c r="E59" s="202">
        <f t="shared" si="28"/>
        <v>509.54148266117085</v>
      </c>
      <c r="F59" s="202">
        <f t="shared" si="28"/>
        <v>631.21461134826745</v>
      </c>
      <c r="G59" s="202">
        <f t="shared" si="28"/>
        <v>865.44352599846138</v>
      </c>
      <c r="H59" s="202">
        <f t="shared" si="28"/>
        <v>1039.9010882794501</v>
      </c>
      <c r="I59" s="202">
        <f t="shared" si="28"/>
        <v>1071.520571826421</v>
      </c>
      <c r="J59" s="202">
        <f t="shared" si="28"/>
        <v>1101.7987672415136</v>
      </c>
      <c r="K59" s="202">
        <f t="shared" si="28"/>
        <v>1127.1025847623994</v>
      </c>
    </row>
    <row r="60" spans="1:12" ht="15" thickTop="1">
      <c r="B60" s="8">
        <f>'UGL Price cap'!F69-B59</f>
        <v>-0.39985273067378557</v>
      </c>
      <c r="C60" s="8">
        <f>'UGL Price cap'!G69-C59</f>
        <v>-0.39985273067378557</v>
      </c>
      <c r="D60" s="8">
        <f>'UGL Price cap'!H69-D59</f>
        <v>-0.39985273067378557</v>
      </c>
      <c r="E60" s="8">
        <f>'UGL Price cap'!I69-E59</f>
        <v>-0.39985273067378557</v>
      </c>
      <c r="F60" s="8">
        <f>'UGL Price cap'!J69-F59</f>
        <v>-0.39985273067384242</v>
      </c>
      <c r="G60" s="8">
        <f>'UGL Price cap'!K69-G59</f>
        <v>-0.39985273067384242</v>
      </c>
      <c r="H60" s="8">
        <f>'UGL Price cap'!L69-H59</f>
        <v>-0.39985273067372873</v>
      </c>
      <c r="I60" s="8">
        <f>'UGL Price cap'!M69-I59</f>
        <v>-0.3998527306739561</v>
      </c>
      <c r="J60" s="8">
        <f>'UGL Price cap'!N69-J59</f>
        <v>-0.39985273067372873</v>
      </c>
      <c r="K60" s="8">
        <f>'UGL Price cap'!O69-K59</f>
        <v>-0.39985273067372873</v>
      </c>
    </row>
    <row r="61" spans="1:12">
      <c r="A61" s="2" t="s">
        <v>167</v>
      </c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2">
      <c r="A62" t="s">
        <v>161</v>
      </c>
      <c r="B62" s="8">
        <f>B30+B45</f>
        <v>96</v>
      </c>
      <c r="C62" s="8">
        <f>B64</f>
        <v>435.87124479293391</v>
      </c>
      <c r="D62" s="8">
        <f t="shared" ref="D62:K62" si="29">C64</f>
        <v>726.72641415142311</v>
      </c>
      <c r="E62" s="8">
        <f t="shared" si="29"/>
        <v>913.27445840148516</v>
      </c>
      <c r="F62" s="8">
        <f t="shared" si="29"/>
        <v>1112.9970785373334</v>
      </c>
      <c r="G62" s="8">
        <f t="shared" si="29"/>
        <v>1458.4717696836349</v>
      </c>
      <c r="H62" s="8">
        <f t="shared" si="29"/>
        <v>1775.4092270694159</v>
      </c>
      <c r="I62" s="8">
        <f t="shared" si="29"/>
        <v>1940.4440874507982</v>
      </c>
      <c r="J62" s="8">
        <f t="shared" si="29"/>
        <v>2294.77028486257</v>
      </c>
      <c r="K62" s="8">
        <f t="shared" si="29"/>
        <v>2449.8539111483124</v>
      </c>
    </row>
    <row r="63" spans="1:12">
      <c r="A63" t="s">
        <v>162</v>
      </c>
      <c r="B63" s="129">
        <f>B31+B46</f>
        <v>339.87124479293391</v>
      </c>
      <c r="C63" s="129">
        <f t="shared" ref="C63:K63" si="30">C31+C46</f>
        <v>290.85516935848921</v>
      </c>
      <c r="D63" s="129">
        <f t="shared" si="30"/>
        <v>186.54804425006199</v>
      </c>
      <c r="E63" s="129">
        <f t="shared" si="30"/>
        <v>199.72262013584839</v>
      </c>
      <c r="F63" s="129">
        <f t="shared" si="30"/>
        <v>345.47469114630144</v>
      </c>
      <c r="G63" s="129">
        <f t="shared" si="30"/>
        <v>316.93745738578093</v>
      </c>
      <c r="H63" s="129">
        <f t="shared" si="30"/>
        <v>165.03486038138226</v>
      </c>
      <c r="I63" s="129">
        <f t="shared" si="30"/>
        <v>354.32619741177189</v>
      </c>
      <c r="J63" s="129">
        <f t="shared" si="30"/>
        <v>155.08362628574264</v>
      </c>
      <c r="K63" s="129">
        <f t="shared" si="30"/>
        <v>101.24473197776581</v>
      </c>
    </row>
    <row r="64" spans="1:12">
      <c r="A64" t="s">
        <v>163</v>
      </c>
      <c r="B64" s="8">
        <f>SUM(B62:B63)</f>
        <v>435.87124479293391</v>
      </c>
      <c r="C64" s="8">
        <f t="shared" ref="C64:K64" si="31">SUM(C62:C63)</f>
        <v>726.72641415142311</v>
      </c>
      <c r="D64" s="8">
        <f t="shared" si="31"/>
        <v>913.27445840148516</v>
      </c>
      <c r="E64" s="8">
        <f t="shared" si="31"/>
        <v>1112.9970785373334</v>
      </c>
      <c r="F64" s="8">
        <f t="shared" si="31"/>
        <v>1458.4717696836349</v>
      </c>
      <c r="G64" s="8">
        <f t="shared" si="31"/>
        <v>1775.4092270694159</v>
      </c>
      <c r="H64" s="8">
        <f t="shared" si="31"/>
        <v>1940.4440874507982</v>
      </c>
      <c r="I64" s="8">
        <f t="shared" si="31"/>
        <v>2294.77028486257</v>
      </c>
      <c r="J64" s="8">
        <f t="shared" si="31"/>
        <v>2449.8539111483124</v>
      </c>
      <c r="K64" s="8">
        <f t="shared" si="31"/>
        <v>2551.0986431260781</v>
      </c>
    </row>
    <row r="65" spans="1:12">
      <c r="B65" s="188">
        <f t="shared" ref="B65:K65" si="32">B64-B47-B32</f>
        <v>0</v>
      </c>
      <c r="C65" s="188">
        <f t="shared" si="32"/>
        <v>0</v>
      </c>
      <c r="D65" s="188">
        <f t="shared" si="32"/>
        <v>0</v>
      </c>
      <c r="E65" s="188">
        <f t="shared" si="32"/>
        <v>0</v>
      </c>
      <c r="F65" s="188">
        <f t="shared" si="32"/>
        <v>0</v>
      </c>
      <c r="G65" s="188">
        <f t="shared" si="32"/>
        <v>0</v>
      </c>
      <c r="H65" s="188">
        <f t="shared" si="32"/>
        <v>0</v>
      </c>
      <c r="I65" s="188">
        <f t="shared" si="32"/>
        <v>0</v>
      </c>
      <c r="J65" s="188">
        <f t="shared" si="32"/>
        <v>0</v>
      </c>
      <c r="K65" s="188">
        <f t="shared" si="32"/>
        <v>0</v>
      </c>
    </row>
    <row r="66" spans="1:12">
      <c r="A66" t="s">
        <v>164</v>
      </c>
      <c r="B66" s="8">
        <f>B62</f>
        <v>96</v>
      </c>
      <c r="C66" s="8">
        <f>C62</f>
        <v>435.87124479293391</v>
      </c>
      <c r="D66" s="8">
        <f t="shared" ref="D66:J66" si="33">D62</f>
        <v>726.72641415142311</v>
      </c>
      <c r="E66" s="8">
        <f t="shared" si="33"/>
        <v>913.27445840148516</v>
      </c>
      <c r="F66" s="8">
        <f t="shared" si="33"/>
        <v>1112.9970785373334</v>
      </c>
      <c r="G66" s="8">
        <f t="shared" si="33"/>
        <v>1458.4717696836349</v>
      </c>
      <c r="H66" s="8">
        <f t="shared" si="33"/>
        <v>1775.4092270694159</v>
      </c>
      <c r="I66" s="8">
        <f t="shared" si="33"/>
        <v>1940.4440874507982</v>
      </c>
      <c r="J66" s="8">
        <f t="shared" si="33"/>
        <v>2294.77028486257</v>
      </c>
      <c r="K66" s="8">
        <f>K62</f>
        <v>2449.8539111483124</v>
      </c>
    </row>
    <row r="67" spans="1:12">
      <c r="A67" t="s">
        <v>166</v>
      </c>
      <c r="B67" s="129">
        <f t="shared" ref="B67:K67" si="34">B50+B31/2</f>
        <v>115.56062239646693</v>
      </c>
      <c r="C67" s="129">
        <f t="shared" si="34"/>
        <v>134.9275846792446</v>
      </c>
      <c r="D67" s="129">
        <f t="shared" si="34"/>
        <v>76.399022125030996</v>
      </c>
      <c r="E67" s="129">
        <f t="shared" si="34"/>
        <v>95.361310067924194</v>
      </c>
      <c r="F67" s="129">
        <f t="shared" si="34"/>
        <v>129.23734557315072</v>
      </c>
      <c r="G67" s="129">
        <f t="shared" si="34"/>
        <v>109.34372869289058</v>
      </c>
      <c r="H67" s="129">
        <f t="shared" si="34"/>
        <v>78.01743019069113</v>
      </c>
      <c r="I67" s="129">
        <f t="shared" si="34"/>
        <v>173.41309870588594</v>
      </c>
      <c r="J67" s="129">
        <f t="shared" si="34"/>
        <v>69.29181314287132</v>
      </c>
      <c r="K67" s="129">
        <f t="shared" si="34"/>
        <v>48.372365988882905</v>
      </c>
      <c r="L67" s="188"/>
    </row>
    <row r="68" spans="1:12">
      <c r="B68" s="8">
        <f>SUM(B66:B67)</f>
        <v>211.56062239646693</v>
      </c>
      <c r="C68" s="8">
        <f t="shared" ref="C68:K68" si="35">SUM(C66:C67)</f>
        <v>570.79882947217857</v>
      </c>
      <c r="D68" s="8">
        <f t="shared" si="35"/>
        <v>803.12543627645414</v>
      </c>
      <c r="E68" s="8">
        <f t="shared" si="35"/>
        <v>1008.6357684694094</v>
      </c>
      <c r="F68" s="8">
        <f t="shared" si="35"/>
        <v>1242.2344241104843</v>
      </c>
      <c r="G68" s="8">
        <f t="shared" si="35"/>
        <v>1567.8154983765255</v>
      </c>
      <c r="H68" s="8">
        <f t="shared" si="35"/>
        <v>1853.426657260107</v>
      </c>
      <c r="I68" s="8">
        <f t="shared" si="35"/>
        <v>2113.8571861566843</v>
      </c>
      <c r="J68" s="8">
        <f t="shared" si="35"/>
        <v>2364.0620980054414</v>
      </c>
      <c r="K68" s="8">
        <f t="shared" si="35"/>
        <v>2498.2262771371952</v>
      </c>
    </row>
    <row r="69" spans="1:12"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2">
      <c r="A70" t="s">
        <v>188</v>
      </c>
      <c r="B70" s="8">
        <f>B36+B53</f>
        <v>1</v>
      </c>
      <c r="C70" s="8">
        <f>B72</f>
        <v>8.5890420724660625</v>
      </c>
      <c r="D70" s="8">
        <f t="shared" ref="D70:K70" si="36">C72</f>
        <v>25.098088701415342</v>
      </c>
      <c r="E70" s="8">
        <f t="shared" si="36"/>
        <v>48.18242578913604</v>
      </c>
      <c r="F70" s="8">
        <f t="shared" si="36"/>
        <v>76.691591799311766</v>
      </c>
      <c r="G70" s="8">
        <f t="shared" si="36"/>
        <v>113.12643846736661</v>
      </c>
      <c r="H70" s="8">
        <f t="shared" si="36"/>
        <v>159.37780272558302</v>
      </c>
      <c r="I70" s="8">
        <f t="shared" si="36"/>
        <v>212.59220970986149</v>
      </c>
      <c r="J70" s="8">
        <f t="shared" si="36"/>
        <v>272.82093483569207</v>
      </c>
      <c r="K70" s="8">
        <f t="shared" si="36"/>
        <v>339.95282131945379</v>
      </c>
    </row>
    <row r="71" spans="1:12">
      <c r="A71" t="s">
        <v>165</v>
      </c>
      <c r="B71" s="129">
        <f t="shared" ref="B71:K71" si="37">B54+B37</f>
        <v>7.5890420724660625</v>
      </c>
      <c r="C71" s="129">
        <f t="shared" si="37"/>
        <v>16.509046628949282</v>
      </c>
      <c r="D71" s="129">
        <f t="shared" si="37"/>
        <v>23.084337087720698</v>
      </c>
      <c r="E71" s="129">
        <f t="shared" si="37"/>
        <v>28.509166010175726</v>
      </c>
      <c r="F71" s="129">
        <f t="shared" si="37"/>
        <v>36.434846668054846</v>
      </c>
      <c r="G71" s="129">
        <f t="shared" si="37"/>
        <v>46.25136425821642</v>
      </c>
      <c r="H71" s="129">
        <f t="shared" si="37"/>
        <v>53.214406984278469</v>
      </c>
      <c r="I71" s="129">
        <f t="shared" si="37"/>
        <v>60.228725125830557</v>
      </c>
      <c r="J71" s="129">
        <f t="shared" si="37"/>
        <v>67.131886483761733</v>
      </c>
      <c r="K71" s="129">
        <f t="shared" si="37"/>
        <v>70.68797285516527</v>
      </c>
    </row>
    <row r="72" spans="1:12">
      <c r="A72" t="s">
        <v>187</v>
      </c>
      <c r="B72" s="8">
        <f>SUM(B70:B71)</f>
        <v>8.5890420724660625</v>
      </c>
      <c r="C72" s="8">
        <f t="shared" ref="C72:K72" si="38">SUM(C70:C71)</f>
        <v>25.098088701415342</v>
      </c>
      <c r="D72" s="8">
        <f t="shared" si="38"/>
        <v>48.18242578913604</v>
      </c>
      <c r="E72" s="8">
        <f t="shared" si="38"/>
        <v>76.691591799311766</v>
      </c>
      <c r="F72" s="8">
        <f t="shared" si="38"/>
        <v>113.12643846736661</v>
      </c>
      <c r="G72" s="8">
        <f t="shared" si="38"/>
        <v>159.37780272558302</v>
      </c>
      <c r="H72" s="8">
        <f t="shared" si="38"/>
        <v>212.59220970986149</v>
      </c>
      <c r="I72" s="8">
        <f t="shared" si="38"/>
        <v>272.82093483569207</v>
      </c>
      <c r="J72" s="8">
        <f t="shared" si="38"/>
        <v>339.95282131945379</v>
      </c>
      <c r="K72" s="8">
        <f t="shared" si="38"/>
        <v>410.64079417461903</v>
      </c>
    </row>
    <row r="74" spans="1:12">
      <c r="A74" t="s">
        <v>186</v>
      </c>
      <c r="B74" s="8">
        <f t="shared" ref="B74:J74" si="39">B70+B71/2</f>
        <v>4.7945210362330313</v>
      </c>
      <c r="C74" s="8">
        <f>C70+C71/2</f>
        <v>16.843565386940703</v>
      </c>
      <c r="D74" s="8">
        <f t="shared" si="39"/>
        <v>36.640257245275691</v>
      </c>
      <c r="E74" s="8">
        <f t="shared" si="39"/>
        <v>62.4370087942239</v>
      </c>
      <c r="F74" s="8">
        <f t="shared" si="39"/>
        <v>94.909015133339182</v>
      </c>
      <c r="G74" s="8">
        <f t="shared" si="39"/>
        <v>136.25212059647481</v>
      </c>
      <c r="H74" s="8">
        <f t="shared" si="39"/>
        <v>185.98500621772226</v>
      </c>
      <c r="I74" s="8">
        <f t="shared" si="39"/>
        <v>242.70657227277678</v>
      </c>
      <c r="J74" s="8">
        <f t="shared" si="39"/>
        <v>306.38687807757293</v>
      </c>
      <c r="K74" s="8">
        <f>K70+K71/2</f>
        <v>375.29680774703644</v>
      </c>
    </row>
    <row r="76" spans="1:12" ht="15" thickBot="1">
      <c r="A76" s="201" t="s">
        <v>191</v>
      </c>
      <c r="B76" s="202">
        <f t="shared" ref="B76:K76" si="40">B68-B74</f>
        <v>206.7661013602339</v>
      </c>
      <c r="C76" s="202">
        <f t="shared" si="40"/>
        <v>553.9552640852379</v>
      </c>
      <c r="D76" s="202">
        <f t="shared" si="40"/>
        <v>766.4851790311784</v>
      </c>
      <c r="E76" s="202">
        <f t="shared" si="40"/>
        <v>946.19875967518556</v>
      </c>
      <c r="F76" s="202">
        <f t="shared" si="40"/>
        <v>1147.3254089771451</v>
      </c>
      <c r="G76" s="202">
        <f t="shared" si="40"/>
        <v>1431.5633777800508</v>
      </c>
      <c r="H76" s="202">
        <f t="shared" si="40"/>
        <v>1667.4416510423848</v>
      </c>
      <c r="I76" s="202">
        <f t="shared" si="40"/>
        <v>1871.1506138839075</v>
      </c>
      <c r="J76" s="202">
        <f t="shared" si="40"/>
        <v>2057.6752199278685</v>
      </c>
      <c r="K76" s="202">
        <f t="shared" si="40"/>
        <v>2122.9294693901588</v>
      </c>
      <c r="L76" s="188"/>
    </row>
    <row r="77" spans="1:12" ht="15" thickTop="1">
      <c r="B77" s="188">
        <f t="shared" ref="B77:K77" si="41">B59+B42-B76</f>
        <v>0</v>
      </c>
      <c r="C77" s="188">
        <f t="shared" si="41"/>
        <v>0</v>
      </c>
      <c r="D77" s="188">
        <f t="shared" si="41"/>
        <v>0</v>
      </c>
      <c r="E77" s="188">
        <f t="shared" si="41"/>
        <v>0</v>
      </c>
      <c r="F77" s="188">
        <f t="shared" si="41"/>
        <v>0</v>
      </c>
      <c r="G77" s="188">
        <f t="shared" si="41"/>
        <v>0</v>
      </c>
      <c r="H77" s="188">
        <f t="shared" si="41"/>
        <v>0</v>
      </c>
      <c r="I77" s="188">
        <f t="shared" si="41"/>
        <v>0</v>
      </c>
      <c r="J77" s="188">
        <f t="shared" si="41"/>
        <v>0</v>
      </c>
      <c r="K77" s="188">
        <f t="shared" si="41"/>
        <v>0</v>
      </c>
    </row>
    <row r="78" spans="1:12">
      <c r="B78" s="195"/>
    </row>
    <row r="79" spans="1:12">
      <c r="B79" s="195"/>
    </row>
    <row r="80" spans="1:12">
      <c r="B80" s="8"/>
    </row>
  </sheetData>
  <pageMargins left="0.7" right="0.7" top="0.75" bottom="0.75" header="0.3" footer="0.3"/>
  <pageSetup paperSize="9" orientation="portrait" horizont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EGD_standalone</vt:lpstr>
      <vt:lpstr>UGL standalone</vt:lpstr>
      <vt:lpstr>Amalco</vt:lpstr>
      <vt:lpstr>EGD_Price cap</vt:lpstr>
      <vt:lpstr>UGL Price cap</vt:lpstr>
      <vt:lpstr>ICM Impacts</vt:lpstr>
      <vt:lpstr>ICM Impacts_Rev</vt:lpstr>
    </vt:vector>
  </TitlesOfParts>
  <Company>Enbridge Gas Distribution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Rakesh Torul</dc:creator>
  <cp:lastModifiedBy>Michael Buonaguro</cp:lastModifiedBy>
  <dcterms:created xsi:type="dcterms:W3CDTF">2018-03-27T16:56:23Z</dcterms:created>
  <dcterms:modified xsi:type="dcterms:W3CDTF">2018-05-04T15:28:39Z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2026365846</vt:i4>
  </property>
  <property fmtid="{D5CDD505-2E9C-101B-9397-08002B2CF9AE}" pid="4" name="_EmailSubject">
    <vt:lpwstr>[External] EB-2017-0306/EB-2017-0307 MAADs and Rate Setting Mechanism Application - Technical Conference</vt:lpwstr>
  </property>
  <property fmtid="{D5CDD505-2E9C-101B-9397-08002B2CF9AE}" pid="5" name="_AuthorEmail">
    <vt:lpwstr>Rakesh.Torul@enbridge.com</vt:lpwstr>
  </property>
  <property fmtid="{D5CDD505-2E9C-101B-9397-08002B2CF9AE}" pid="6" name="_AuthorEmailDisplayName">
    <vt:lpwstr>Rakesh Torul</vt:lpwstr>
  </property>
  <property fmtid="{D5CDD505-2E9C-101B-9397-08002B2CF9AE}" pid="7" name="_ReviewingToolsShownOnce">
    <vt:lpwstr/>
  </property>
</Properties>
</file>