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20250" windowHeight="10170" activeTab="1"/>
  </bookViews>
  <sheets>
    <sheet name="SEC Original" sheetId="4" r:id="rId1"/>
    <sheet name="Updated" sheetId="1" r:id="rId2"/>
  </sheets>
  <calcPr calcId="145621"/>
</workbook>
</file>

<file path=xl/calcChain.xml><?xml version="1.0" encoding="utf-8"?>
<calcChain xmlns="http://schemas.openxmlformats.org/spreadsheetml/2006/main">
  <c r="E29" i="1" l="1"/>
  <c r="C29" i="1"/>
  <c r="C42" i="4" l="1"/>
  <c r="E39" i="4"/>
  <c r="F39" i="4" s="1"/>
  <c r="E37" i="4"/>
  <c r="E36" i="4"/>
  <c r="C36" i="4"/>
  <c r="E29" i="4"/>
  <c r="N26" i="4"/>
  <c r="C26" i="4"/>
  <c r="F24" i="4"/>
  <c r="E24" i="4"/>
  <c r="C24" i="4"/>
  <c r="C18" i="4"/>
  <c r="E15" i="4"/>
  <c r="L13" i="4"/>
  <c r="N12" i="4"/>
  <c r="C12" i="4"/>
  <c r="F10" i="4"/>
  <c r="E10" i="4"/>
  <c r="C10" i="4"/>
  <c r="C5" i="4"/>
  <c r="C39" i="4" s="1"/>
  <c r="E16" i="4" l="1"/>
  <c r="E40" i="4"/>
  <c r="C11" i="4"/>
  <c r="E12" i="4"/>
  <c r="F12" i="4" s="1"/>
  <c r="C13" i="4"/>
  <c r="C16" i="4" s="1"/>
  <c r="C19" i="4" s="1"/>
  <c r="N13" i="4"/>
  <c r="L14" i="4"/>
  <c r="C17" i="4"/>
  <c r="E18" i="4"/>
  <c r="F18" i="4" s="1"/>
  <c r="C25" i="4"/>
  <c r="C28" i="4" s="1"/>
  <c r="C31" i="4" s="1"/>
  <c r="E26" i="4"/>
  <c r="F26" i="4" s="1"/>
  <c r="C27" i="4"/>
  <c r="L38" i="4"/>
  <c r="C41" i="4"/>
  <c r="E42" i="4"/>
  <c r="F42" i="4" s="1"/>
  <c r="E11" i="4"/>
  <c r="F11" i="4" s="1"/>
  <c r="E13" i="4"/>
  <c r="F13" i="4" s="1"/>
  <c r="C14" i="4"/>
  <c r="N14" i="4"/>
  <c r="E17" i="4"/>
  <c r="F17" i="4" s="1"/>
  <c r="E25" i="4"/>
  <c r="E27" i="4"/>
  <c r="F27" i="4" s="1"/>
  <c r="C30" i="4"/>
  <c r="F36" i="4"/>
  <c r="C38" i="4"/>
  <c r="N38" i="4"/>
  <c r="E41" i="4"/>
  <c r="L12" i="4"/>
  <c r="E14" i="4"/>
  <c r="C15" i="4"/>
  <c r="F15" i="4" s="1"/>
  <c r="L26" i="4"/>
  <c r="C29" i="4"/>
  <c r="F29" i="4" s="1"/>
  <c r="E30" i="4"/>
  <c r="F30" i="4" s="1"/>
  <c r="C37" i="4"/>
  <c r="F37" i="4" s="1"/>
  <c r="E38" i="4"/>
  <c r="E43" i="4" l="1"/>
  <c r="F43" i="4" s="1"/>
  <c r="F40" i="4"/>
  <c r="E19" i="4"/>
  <c r="F19" i="4" s="1"/>
  <c r="F16" i="4"/>
  <c r="F14" i="4"/>
  <c r="F25" i="4"/>
  <c r="E28" i="4"/>
  <c r="C40" i="4"/>
  <c r="C43" i="4" s="1"/>
  <c r="F38" i="4"/>
  <c r="F41" i="4"/>
  <c r="E31" i="4" l="1"/>
  <c r="F31" i="4" s="1"/>
  <c r="F28" i="4"/>
  <c r="E16" i="1" l="1"/>
  <c r="C16" i="1"/>
  <c r="E28" i="1" l="1"/>
  <c r="F28" i="1" s="1"/>
  <c r="C28" i="1"/>
  <c r="E37" i="1" l="1"/>
  <c r="C37" i="1"/>
  <c r="E24" i="1"/>
  <c r="C24" i="1"/>
  <c r="E10" i="1"/>
  <c r="C10" i="1"/>
  <c r="C5" i="1"/>
  <c r="C27" i="1" l="1"/>
  <c r="N12" i="1"/>
  <c r="L12" i="1"/>
  <c r="C11" i="1"/>
  <c r="F10" i="1"/>
  <c r="E40" i="1"/>
  <c r="C40" i="1"/>
  <c r="N39" i="1"/>
  <c r="E39" i="1" s="1"/>
  <c r="E42" i="1"/>
  <c r="E38" i="1"/>
  <c r="C43" i="1"/>
  <c r="E43" i="1"/>
  <c r="F24" i="1"/>
  <c r="C38" i="1"/>
  <c r="L39" i="1"/>
  <c r="C39" i="1" s="1"/>
  <c r="C42" i="1"/>
  <c r="F37" i="1"/>
  <c r="N13" i="1"/>
  <c r="N14" i="1"/>
  <c r="C25" i="1"/>
  <c r="N26" i="1"/>
  <c r="E26" i="1" s="1"/>
  <c r="F26" i="1" s="1"/>
  <c r="E11" i="1"/>
  <c r="L26" i="1"/>
  <c r="C26" i="1" s="1"/>
  <c r="E27" i="1"/>
  <c r="F27" i="1" s="1"/>
  <c r="E30" i="1"/>
  <c r="E25" i="1"/>
  <c r="F25" i="1" s="1"/>
  <c r="C31" i="1"/>
  <c r="E17" i="1"/>
  <c r="E31" i="1"/>
  <c r="E18" i="1"/>
  <c r="E15" i="1"/>
  <c r="C30" i="1"/>
  <c r="L13" i="1"/>
  <c r="C13" i="1" s="1"/>
  <c r="E14" i="1" s="1"/>
  <c r="L14" i="1"/>
  <c r="C14" i="1" s="1"/>
  <c r="C17" i="1"/>
  <c r="C15" i="1"/>
  <c r="C18" i="1"/>
  <c r="C12" i="1"/>
  <c r="C32" i="1" l="1"/>
  <c r="E13" i="1"/>
  <c r="F13" i="1" s="1"/>
  <c r="E12" i="1"/>
  <c r="F43" i="1"/>
  <c r="F39" i="1"/>
  <c r="C41" i="1"/>
  <c r="E41" i="1"/>
  <c r="F42" i="1"/>
  <c r="F15" i="1"/>
  <c r="F38" i="1"/>
  <c r="F40" i="1"/>
  <c r="F14" i="1"/>
  <c r="F29" i="1"/>
  <c r="F31" i="1"/>
  <c r="F17" i="1"/>
  <c r="F12" i="1"/>
  <c r="F18" i="1"/>
  <c r="F30" i="1"/>
  <c r="F11" i="1"/>
  <c r="E32" i="1" l="1"/>
  <c r="F32" i="1" s="1"/>
  <c r="E44" i="1"/>
  <c r="C44" i="1"/>
  <c r="F41" i="1"/>
  <c r="F44" i="1" l="1"/>
  <c r="C19" i="1" l="1"/>
  <c r="F19" i="1"/>
  <c r="F16" i="1"/>
  <c r="E19" i="1"/>
</calcChain>
</file>

<file path=xl/sharedStrings.xml><?xml version="1.0" encoding="utf-8"?>
<sst xmlns="http://schemas.openxmlformats.org/spreadsheetml/2006/main" count="83" uniqueCount="18">
  <si>
    <t>Head to Head Dx Bill Comparison</t>
  </si>
  <si>
    <t>Union Rate 01</t>
  </si>
  <si>
    <t>Component</t>
  </si>
  <si>
    <t>Annual Volumes Assumed</t>
  </si>
  <si>
    <t>Rate</t>
  </si>
  <si>
    <t>Amount</t>
  </si>
  <si>
    <t>Fixed</t>
  </si>
  <si>
    <t>0ver</t>
  </si>
  <si>
    <t>Monthly Volumes Assumed</t>
  </si>
  <si>
    <t>Increase</t>
  </si>
  <si>
    <t>Subtotal Dx</t>
  </si>
  <si>
    <t>Cap &amp; Trade</t>
  </si>
  <si>
    <t>Total</t>
  </si>
  <si>
    <t>Union M1</t>
  </si>
  <si>
    <t>Enbridge Rate 6</t>
  </si>
  <si>
    <t>Sources:  2018 from J2.2</t>
  </si>
  <si>
    <t xml:space="preserve">                2028 from J5.1</t>
  </si>
  <si>
    <t>Storage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</si>
</sst>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&quot;$&quot;#,##0.00"/>
    <numFmt numFmtId="165" formatCode="#,##0.0000"/>
    <numFmt numFmtId="166" formatCode="0.0000"/>
    <numFmt numFmtId="167" formatCode="&quot;$&quot;#,##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/>
    <xf numFmtId="3" fontId="0" fillId="0" borderId="0" xfId="0" applyNumberFormat="1"/>
    <xf numFmtId="4" fontId="0" fillId="0" borderId="0" xfId="0" applyNumberFormat="1"/>
    <xf numFmtId="10" fontId="0" fillId="0" borderId="0" xfId="0" applyNumberFormat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164" fontId="0" fillId="0" borderId="1" xfId="0" applyNumberFormat="1" applyBorder="1"/>
    <xf numFmtId="10" fontId="0" fillId="0" borderId="1" xfId="0" applyNumberFormat="1" applyBorder="1"/>
    <xf numFmtId="165" fontId="0" fillId="0" borderId="1" xfId="0" applyNumberFormat="1" applyBorder="1"/>
    <xf numFmtId="166" fontId="0" fillId="0" borderId="1" xfId="0" applyNumberFormat="1" applyBorder="1"/>
    <xf numFmtId="0" fontId="0" fillId="2" borderId="1" xfId="0" applyFill="1" applyBorder="1"/>
    <xf numFmtId="164" fontId="0" fillId="2" borderId="1" xfId="0" applyNumberFormat="1" applyFill="1" applyBorder="1"/>
    <xf numFmtId="166" fontId="0" fillId="2" borderId="1" xfId="0" applyNumberFormat="1" applyFill="1" applyBorder="1"/>
    <xf numFmtId="10" fontId="0" fillId="2" borderId="1" xfId="0" applyNumberFormat="1" applyFill="1" applyBorder="1"/>
    <xf numFmtId="167" fontId="0" fillId="0" borderId="0" xfId="0" applyNumberFormat="1"/>
    <xf numFmtId="165" fontId="0" fillId="3" borderId="1" xfId="0" applyNumberFormat="1" applyFill="1" applyBorder="1"/>
    <xf numFmtId="164" fontId="0" fillId="0" borderId="1" xfId="0" applyNumberFormat="1" applyFill="1" applyBorder="1"/>
    <xf numFmtId="166" fontId="0" fillId="0" borderId="1" xfId="0" applyNumberFormat="1" applyFill="1" applyBorder="1"/>
    <xf numFmtId="0" fontId="1" fillId="0" borderId="1" xfId="0" applyFont="1" applyBorder="1" applyAlignment="1">
      <alignment horizontal="center"/>
    </xf>
    <xf numFmtId="0" fontId="0" fillId="3" borderId="1" xfId="0" applyFill="1" applyBorder="1" applyAlignment="1">
      <alignment horizontal="center"/>
    </xf>
    <xf numFmtId="164" fontId="0" fillId="3" borderId="1" xfId="0" applyNumberFormat="1" applyFill="1" applyBorder="1"/>
    <xf numFmtId="166" fontId="0" fillId="3" borderId="1" xfId="0" applyNumberFormat="1" applyFill="1" applyBorder="1"/>
    <xf numFmtId="10" fontId="0" fillId="3" borderId="1" xfId="0" applyNumberFormat="1" applyFill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/>
    <xf numFmtId="0" fontId="0" fillId="0" borderId="1" xfId="0" applyBorder="1" applyAlignmen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46"/>
  <sheetViews>
    <sheetView topLeftCell="A14" workbookViewId="0">
      <selection activeCell="S45" sqref="S45"/>
    </sheetView>
  </sheetViews>
  <sheetFormatPr defaultRowHeight="15" x14ac:dyDescent="0.25"/>
  <cols>
    <col min="1" max="1" width="14.42578125" customWidth="1"/>
    <col min="2" max="2" width="9.28515625" bestFit="1" customWidth="1"/>
    <col min="3" max="3" width="10.7109375" customWidth="1"/>
    <col min="5" max="5" width="10.7109375" customWidth="1"/>
    <col min="16" max="16" width="13.28515625" style="1" bestFit="1" customWidth="1"/>
    <col min="18" max="18" width="12.5703125" customWidth="1"/>
  </cols>
  <sheetData>
    <row r="2" spans="1:18" ht="18" x14ac:dyDescent="0.35">
      <c r="A2" s="28" t="s">
        <v>0</v>
      </c>
      <c r="B2" s="29"/>
      <c r="C2" s="29"/>
      <c r="D2" s="29"/>
      <c r="E2" s="29"/>
      <c r="F2" s="29"/>
    </row>
    <row r="4" spans="1:18" ht="14.45" x14ac:dyDescent="0.3">
      <c r="A4" t="s">
        <v>3</v>
      </c>
      <c r="C4" s="1">
        <v>40000</v>
      </c>
    </row>
    <row r="5" spans="1:18" ht="14.45" x14ac:dyDescent="0.3">
      <c r="A5" t="s">
        <v>8</v>
      </c>
      <c r="C5" s="1">
        <f>+C4/12</f>
        <v>3333.3333333333335</v>
      </c>
    </row>
    <row r="7" spans="1:18" ht="14.45" x14ac:dyDescent="0.3">
      <c r="A7" s="25" t="s">
        <v>1</v>
      </c>
      <c r="B7" s="25"/>
      <c r="C7" s="26"/>
      <c r="D7" s="26"/>
      <c r="E7" s="26"/>
      <c r="F7" s="27"/>
      <c r="R7" s="1"/>
    </row>
    <row r="8" spans="1:18" ht="14.45" x14ac:dyDescent="0.3">
      <c r="A8" s="4"/>
      <c r="B8" s="25">
        <v>2018</v>
      </c>
      <c r="C8" s="25"/>
      <c r="D8" s="25">
        <v>2028</v>
      </c>
      <c r="E8" s="25"/>
      <c r="F8" s="20" t="s">
        <v>9</v>
      </c>
    </row>
    <row r="9" spans="1:18" ht="14.45" x14ac:dyDescent="0.3">
      <c r="A9" s="20" t="s">
        <v>2</v>
      </c>
      <c r="B9" s="20" t="s">
        <v>4</v>
      </c>
      <c r="C9" s="20" t="s">
        <v>5</v>
      </c>
      <c r="D9" s="20" t="s">
        <v>4</v>
      </c>
      <c r="E9" s="20" t="s">
        <v>5</v>
      </c>
      <c r="F9" s="6"/>
    </row>
    <row r="10" spans="1:18" ht="14.45" x14ac:dyDescent="0.3">
      <c r="A10" s="7" t="s">
        <v>6</v>
      </c>
      <c r="B10" s="8">
        <v>21</v>
      </c>
      <c r="C10" s="8">
        <f>+B10*12</f>
        <v>252</v>
      </c>
      <c r="D10" s="8">
        <v>21</v>
      </c>
      <c r="E10" s="8">
        <f>+D10*12</f>
        <v>252</v>
      </c>
      <c r="F10" s="9">
        <f>+(E10-C10)/C10</f>
        <v>0</v>
      </c>
    </row>
    <row r="11" spans="1:18" ht="14.45" x14ac:dyDescent="0.3">
      <c r="A11" s="7">
        <v>100</v>
      </c>
      <c r="B11" s="10">
        <v>9.3484999999999996</v>
      </c>
      <c r="C11" s="8">
        <f>IF($C$5&gt;A11,(B11*A11*0.12),B11*$C$5*12)</f>
        <v>112.18199999999999</v>
      </c>
      <c r="D11" s="11">
        <v>17.328099999999999</v>
      </c>
      <c r="E11" s="8">
        <f>IF($C$5&gt;A11,(D11*A11*0.12),D11*$C$5*12)</f>
        <v>207.93719999999999</v>
      </c>
      <c r="F11" s="9">
        <f t="shared" ref="F11:F19" si="0">+(E11-C11)/C11</f>
        <v>0.85357009145852292</v>
      </c>
    </row>
    <row r="12" spans="1:18" ht="14.45" x14ac:dyDescent="0.3">
      <c r="A12" s="7">
        <v>300</v>
      </c>
      <c r="B12" s="10">
        <v>9.1085999999999991</v>
      </c>
      <c r="C12" s="8">
        <f>IF($C$5&gt;A12,((A12-A11)*B12*12)/100,L12)</f>
        <v>218.60640000000001</v>
      </c>
      <c r="D12" s="11">
        <v>16.945699999999999</v>
      </c>
      <c r="E12" s="8">
        <f>IF($C$5&gt;A12,((A12-A11)*D12*12)/100,N12)</f>
        <v>406.6968</v>
      </c>
      <c r="F12" s="9">
        <f t="shared" si="0"/>
        <v>0.86040664866170424</v>
      </c>
      <c r="L12">
        <f>MAX((($C$5-A11)*B12*12)/100,0)</f>
        <v>3534.1367999999998</v>
      </c>
      <c r="N12">
        <f>MAX((($C$5-A11)*D12*12)/100,0)</f>
        <v>6574.931599999999</v>
      </c>
    </row>
    <row r="13" spans="1:18" ht="14.45" x14ac:dyDescent="0.3">
      <c r="A13" s="7">
        <v>500</v>
      </c>
      <c r="B13" s="10">
        <v>8.7293000000000003</v>
      </c>
      <c r="C13" s="8">
        <f t="shared" ref="C13:C14" si="1">IF($C$5&gt;A13,((A13-A12)*B13*12)/100,L13)</f>
        <v>209.50319999999999</v>
      </c>
      <c r="D13" s="11">
        <v>16.3505</v>
      </c>
      <c r="E13" s="8">
        <f>IF($C$5&gt;A13,((A13-A12)*D13*12)/100,N13)</f>
        <v>392.41199999999998</v>
      </c>
      <c r="F13" s="9">
        <f t="shared" si="0"/>
        <v>0.87305969550823082</v>
      </c>
      <c r="L13">
        <f t="shared" ref="L13:L14" si="2">MAX((($C$5-A12)*B13*12)/100,0)</f>
        <v>3177.4652000000001</v>
      </c>
      <c r="N13">
        <f>MAX((($C$5-A12)*D13*12)/100,0)</f>
        <v>5951.5820000000003</v>
      </c>
    </row>
    <row r="14" spans="1:18" ht="14.45" x14ac:dyDescent="0.3">
      <c r="A14" s="7">
        <v>1000</v>
      </c>
      <c r="B14" s="10">
        <v>8.3811</v>
      </c>
      <c r="C14" s="8">
        <f t="shared" si="1"/>
        <v>502.86600000000004</v>
      </c>
      <c r="D14" s="11">
        <v>15.804</v>
      </c>
      <c r="E14" s="8">
        <f>IF($C$5&gt;A14,((A14-A13)*D14*12)/100,N14)</f>
        <v>948.24</v>
      </c>
      <c r="F14" s="9">
        <f t="shared" si="0"/>
        <v>0.88567133192540348</v>
      </c>
      <c r="L14">
        <f t="shared" si="2"/>
        <v>2849.5740000000001</v>
      </c>
      <c r="N14">
        <f>MAX((($C$5-A13)*D14*12)/100,0)</f>
        <v>5373.36</v>
      </c>
      <c r="P14" s="16"/>
      <c r="R14" s="16"/>
    </row>
    <row r="15" spans="1:18" ht="14.45" x14ac:dyDescent="0.3">
      <c r="A15" s="7" t="s">
        <v>7</v>
      </c>
      <c r="B15" s="10">
        <v>8.0934000000000008</v>
      </c>
      <c r="C15" s="8">
        <f>IF($C$5&gt;A14,(($C$5-A14)*B15*12)/100,0)</f>
        <v>2266.152</v>
      </c>
      <c r="D15" s="11">
        <v>15.352600000000001</v>
      </c>
      <c r="E15" s="8">
        <f>IF($C$5&gt;A14,(($C$5-A14)*D15*12)/100,0)</f>
        <v>4298.7280000000001</v>
      </c>
      <c r="F15" s="9">
        <f t="shared" si="0"/>
        <v>0.89692836138087828</v>
      </c>
    </row>
    <row r="16" spans="1:18" ht="14.45" x14ac:dyDescent="0.3">
      <c r="A16" s="12" t="s">
        <v>10</v>
      </c>
      <c r="B16" s="12"/>
      <c r="C16" s="13">
        <f>SUM(C10:C15)</f>
        <v>3561.3096</v>
      </c>
      <c r="D16" s="14"/>
      <c r="E16" s="13">
        <f>SUM(E10:E15)</f>
        <v>6506.0140000000001</v>
      </c>
      <c r="F16" s="15">
        <f t="shared" si="0"/>
        <v>0.82685998431588204</v>
      </c>
      <c r="P16" s="16"/>
      <c r="R16" s="16"/>
    </row>
    <row r="17" spans="1:18" ht="14.45" x14ac:dyDescent="0.3">
      <c r="A17" s="6" t="s">
        <v>11</v>
      </c>
      <c r="B17" s="10">
        <v>3.3180999999999998</v>
      </c>
      <c r="C17" s="8">
        <f>+($C$5*B17*12)/100</f>
        <v>1327.24</v>
      </c>
      <c r="D17" s="11">
        <v>3.3180999999999998</v>
      </c>
      <c r="E17" s="8">
        <f>+($C$5*D17*12)/100</f>
        <v>1327.24</v>
      </c>
      <c r="F17" s="9">
        <f t="shared" si="0"/>
        <v>0</v>
      </c>
    </row>
    <row r="18" spans="1:18" ht="14.45" x14ac:dyDescent="0.3">
      <c r="A18" s="6"/>
      <c r="B18" s="10">
        <v>2.4E-2</v>
      </c>
      <c r="C18" s="8">
        <f>+($C$5*B18*12)/100</f>
        <v>9.6</v>
      </c>
      <c r="D18" s="11">
        <v>2.4E-2</v>
      </c>
      <c r="E18" s="8">
        <f>+($C$5*D18*12)/100</f>
        <v>9.6</v>
      </c>
      <c r="F18" s="9">
        <f t="shared" si="0"/>
        <v>0</v>
      </c>
    </row>
    <row r="19" spans="1:18" ht="14.45" x14ac:dyDescent="0.3">
      <c r="A19" s="6" t="s">
        <v>12</v>
      </c>
      <c r="B19" s="6"/>
      <c r="C19" s="8">
        <f>SUM(C16:C18)</f>
        <v>4898.1496000000006</v>
      </c>
      <c r="D19" s="6"/>
      <c r="E19" s="8">
        <f>SUM(E16:E18)</f>
        <v>7842.8540000000003</v>
      </c>
      <c r="F19" s="9">
        <f t="shared" si="0"/>
        <v>0.60118710951580556</v>
      </c>
    </row>
    <row r="20" spans="1:18" ht="14.45" x14ac:dyDescent="0.3">
      <c r="C20" s="2"/>
    </row>
    <row r="21" spans="1:18" ht="14.45" x14ac:dyDescent="0.3">
      <c r="A21" s="25" t="s">
        <v>13</v>
      </c>
      <c r="B21" s="25"/>
      <c r="C21" s="26"/>
      <c r="D21" s="26"/>
      <c r="E21" s="26"/>
      <c r="F21" s="27"/>
      <c r="R21" s="1"/>
    </row>
    <row r="22" spans="1:18" ht="14.45" x14ac:dyDescent="0.3">
      <c r="A22" s="4"/>
      <c r="B22" s="25">
        <v>2018</v>
      </c>
      <c r="C22" s="25"/>
      <c r="D22" s="25">
        <v>2028</v>
      </c>
      <c r="E22" s="25"/>
      <c r="F22" s="20" t="s">
        <v>9</v>
      </c>
    </row>
    <row r="23" spans="1:18" ht="14.45" x14ac:dyDescent="0.3">
      <c r="A23" s="20" t="s">
        <v>2</v>
      </c>
      <c r="B23" s="20" t="s">
        <v>4</v>
      </c>
      <c r="C23" s="20" t="s">
        <v>5</v>
      </c>
      <c r="D23" s="20" t="s">
        <v>4</v>
      </c>
      <c r="E23" s="20" t="s">
        <v>5</v>
      </c>
      <c r="F23" s="6"/>
    </row>
    <row r="24" spans="1:18" ht="14.45" x14ac:dyDescent="0.3">
      <c r="A24" s="7" t="s">
        <v>6</v>
      </c>
      <c r="B24" s="8">
        <v>21</v>
      </c>
      <c r="C24" s="8">
        <f>+B24*12</f>
        <v>252</v>
      </c>
      <c r="D24" s="8">
        <v>21</v>
      </c>
      <c r="E24" s="8">
        <f>+D24*12</f>
        <v>252</v>
      </c>
      <c r="F24" s="9">
        <f>+(E24-C24)/C24</f>
        <v>0</v>
      </c>
    </row>
    <row r="25" spans="1:18" ht="14.45" x14ac:dyDescent="0.3">
      <c r="A25" s="7">
        <v>100</v>
      </c>
      <c r="B25" s="10">
        <v>5.0690999999999997</v>
      </c>
      <c r="C25" s="8">
        <f>IF($C$5&gt;A25,(B25*A25*0.12),B25*$C$5*12)</f>
        <v>60.829199999999993</v>
      </c>
      <c r="D25" s="11">
        <v>10.786</v>
      </c>
      <c r="E25" s="8">
        <f>IF($C$5&gt;A25,(D25*A25*0.12),D25*$C$5*12)</f>
        <v>129.43199999999999</v>
      </c>
      <c r="F25" s="9">
        <f t="shared" ref="F25:F31" si="3">+(E25-C25)/C25</f>
        <v>1.1277938884614627</v>
      </c>
    </row>
    <row r="26" spans="1:18" ht="14.45" x14ac:dyDescent="0.3">
      <c r="A26" s="7">
        <v>250</v>
      </c>
      <c r="B26" s="10">
        <v>4.8051000000000004</v>
      </c>
      <c r="C26" s="8">
        <f>IF($C$5&gt;A26,((A26-A25)*B26*12)/100,L26)</f>
        <v>86.491799999999998</v>
      </c>
      <c r="D26" s="11">
        <v>10.321</v>
      </c>
      <c r="E26" s="8">
        <f>IF($C$5&gt;A26,((A26-A25)*D26*12)/100,N26)</f>
        <v>185.77799999999999</v>
      </c>
      <c r="F26" s="9">
        <f t="shared" si="3"/>
        <v>1.1479261617864351</v>
      </c>
      <c r="L26">
        <f>MAX((($C$5-A25)*B26*12)/100,0)</f>
        <v>1864.3788</v>
      </c>
      <c r="N26">
        <f>MAX((($C$5-A25)*D26*12)/100,0)</f>
        <v>4004.5480000000007</v>
      </c>
    </row>
    <row r="27" spans="1:18" ht="14.45" x14ac:dyDescent="0.3">
      <c r="A27" s="7" t="s">
        <v>7</v>
      </c>
      <c r="B27" s="10">
        <v>4.1128</v>
      </c>
      <c r="C27" s="8">
        <f>IF($C$5&gt;A26,(($C$5-A26)*B27*12)/100,0)</f>
        <v>1521.7360000000001</v>
      </c>
      <c r="D27" s="11">
        <v>9.1198999999999995</v>
      </c>
      <c r="E27" s="8">
        <f>IF($C$5&gt;A26,(($C$5-A26)*D27*12)/100,0)</f>
        <v>3374.3629999999998</v>
      </c>
      <c r="F27" s="9">
        <f t="shared" si="3"/>
        <v>1.2174431044543861</v>
      </c>
    </row>
    <row r="28" spans="1:18" ht="14.45" x14ac:dyDescent="0.3">
      <c r="A28" s="12" t="s">
        <v>10</v>
      </c>
      <c r="B28" s="12"/>
      <c r="C28" s="13">
        <f>SUM(C24:C27)</f>
        <v>1921.0570000000002</v>
      </c>
      <c r="D28" s="14"/>
      <c r="E28" s="13">
        <f>SUM(E24:E27)</f>
        <v>3941.5729999999999</v>
      </c>
      <c r="F28" s="15">
        <f t="shared" si="3"/>
        <v>1.0517730603516706</v>
      </c>
      <c r="P28" s="16"/>
      <c r="R28" s="16"/>
    </row>
    <row r="29" spans="1:18" ht="14.45" x14ac:dyDescent="0.3">
      <c r="A29" s="6" t="s">
        <v>11</v>
      </c>
      <c r="B29" s="10">
        <v>3.3180999999999998</v>
      </c>
      <c r="C29" s="8">
        <f>+($C$5*B29*12)/100</f>
        <v>1327.24</v>
      </c>
      <c r="D29" s="11">
        <v>3.3180999999999998</v>
      </c>
      <c r="E29" s="8">
        <f>+($C$5*D29*12)/100</f>
        <v>1327.24</v>
      </c>
      <c r="F29" s="9">
        <f t="shared" si="3"/>
        <v>0</v>
      </c>
    </row>
    <row r="30" spans="1:18" ht="14.45" x14ac:dyDescent="0.3">
      <c r="A30" s="6"/>
      <c r="B30" s="10">
        <v>2.4E-2</v>
      </c>
      <c r="C30" s="8">
        <f>+($C$5*B30*12)/100</f>
        <v>9.6</v>
      </c>
      <c r="D30" s="11">
        <v>2.4E-2</v>
      </c>
      <c r="E30" s="8">
        <f>+($C$5*D30*12)/100</f>
        <v>9.6</v>
      </c>
      <c r="F30" s="9">
        <f t="shared" si="3"/>
        <v>0</v>
      </c>
    </row>
    <row r="31" spans="1:18" ht="14.45" x14ac:dyDescent="0.3">
      <c r="A31" s="6" t="s">
        <v>12</v>
      </c>
      <c r="B31" s="6"/>
      <c r="C31" s="8">
        <f>SUM(C28:C30)</f>
        <v>3257.8970000000004</v>
      </c>
      <c r="D31" s="6"/>
      <c r="E31" s="8">
        <f>SUM(E28:E30)</f>
        <v>5278.4130000000005</v>
      </c>
      <c r="F31" s="9">
        <f t="shared" si="3"/>
        <v>0.6201902638419815</v>
      </c>
    </row>
    <row r="33" spans="1:19" ht="14.45" x14ac:dyDescent="0.3">
      <c r="A33" s="25" t="s">
        <v>14</v>
      </c>
      <c r="B33" s="25"/>
      <c r="C33" s="26"/>
      <c r="D33" s="26"/>
      <c r="E33" s="26"/>
      <c r="F33" s="27"/>
      <c r="R33" s="1"/>
    </row>
    <row r="34" spans="1:19" ht="14.45" x14ac:dyDescent="0.3">
      <c r="A34" s="4"/>
      <c r="B34" s="25">
        <v>2018</v>
      </c>
      <c r="C34" s="25"/>
      <c r="D34" s="25">
        <v>2028</v>
      </c>
      <c r="E34" s="25"/>
      <c r="F34" s="20" t="s">
        <v>9</v>
      </c>
    </row>
    <row r="35" spans="1:19" ht="14.45" x14ac:dyDescent="0.3">
      <c r="A35" s="20" t="s">
        <v>2</v>
      </c>
      <c r="B35" s="20" t="s">
        <v>4</v>
      </c>
      <c r="C35" s="20" t="s">
        <v>5</v>
      </c>
      <c r="D35" s="20" t="s">
        <v>4</v>
      </c>
      <c r="E35" s="20" t="s">
        <v>5</v>
      </c>
      <c r="F35" s="6"/>
    </row>
    <row r="36" spans="1:19" ht="14.45" x14ac:dyDescent="0.3">
      <c r="A36" s="7" t="s">
        <v>6</v>
      </c>
      <c r="B36" s="8">
        <v>70</v>
      </c>
      <c r="C36" s="8">
        <f>+B36*12</f>
        <v>840</v>
      </c>
      <c r="D36" s="8">
        <v>70</v>
      </c>
      <c r="E36" s="8">
        <f>+D36*12</f>
        <v>840</v>
      </c>
      <c r="F36" s="9">
        <f>+(E36-C36)/C36</f>
        <v>0</v>
      </c>
    </row>
    <row r="37" spans="1:19" ht="14.45" x14ac:dyDescent="0.3">
      <c r="A37" s="7">
        <v>500</v>
      </c>
      <c r="B37" s="10">
        <v>10.35</v>
      </c>
      <c r="C37" s="8">
        <f>IF($C$5&gt;A37,(B37*A37*0.12),B37*$C$5*12)</f>
        <v>621</v>
      </c>
      <c r="D37" s="11">
        <v>13.7064</v>
      </c>
      <c r="E37" s="8">
        <f>IF($C$5&gt;A37,(D37*A37*0.12),D37*$C$5*12)</f>
        <v>822.3839999999999</v>
      </c>
      <c r="F37" s="9">
        <f t="shared" ref="F37:F43" si="4">+(E37-C37)/C37</f>
        <v>0.32428985507246361</v>
      </c>
    </row>
    <row r="38" spans="1:19" ht="14.45" x14ac:dyDescent="0.3">
      <c r="A38" s="7">
        <v>1550</v>
      </c>
      <c r="B38" s="10">
        <v>8.2392000000000003</v>
      </c>
      <c r="C38" s="8">
        <f>IF($C$5&gt;A38,((A38-A37)*B38*12)/100,L38)</f>
        <v>1038.1392000000001</v>
      </c>
      <c r="D38" s="11">
        <v>10.797000000000001</v>
      </c>
      <c r="E38" s="8">
        <f>IF($C$5&gt;A38,((A38-A37)*D38*12)/100,N38)</f>
        <v>1360.422</v>
      </c>
      <c r="F38" s="9">
        <f t="shared" si="4"/>
        <v>0.31044276143314881</v>
      </c>
      <c r="L38">
        <f>MAX((($C$5-A37)*B38*12)/100,0)</f>
        <v>2801.3280000000004</v>
      </c>
      <c r="N38">
        <f>MAX((($C$5-A37)*D38*12)/100,0)</f>
        <v>3670.9800000000005</v>
      </c>
    </row>
    <row r="39" spans="1:19" ht="14.45" x14ac:dyDescent="0.3">
      <c r="A39" s="7" t="s">
        <v>7</v>
      </c>
      <c r="B39" s="10">
        <v>6.7610999999999999</v>
      </c>
      <c r="C39" s="8">
        <f>IF($C$5&gt;A38,(($C$5-A38)*B39*12)/100,0)</f>
        <v>1446.8754000000001</v>
      </c>
      <c r="D39" s="11">
        <v>8.7596000000000007</v>
      </c>
      <c r="E39" s="8">
        <f>IF($C$5&gt;A38,(($C$5-A38)*D39*12)/100,0)</f>
        <v>1874.5544000000002</v>
      </c>
      <c r="F39" s="9">
        <f t="shared" si="4"/>
        <v>0.29558799603614799</v>
      </c>
    </row>
    <row r="40" spans="1:19" x14ac:dyDescent="0.25">
      <c r="A40" s="12" t="s">
        <v>10</v>
      </c>
      <c r="B40" s="12"/>
      <c r="C40" s="13">
        <f>SUM(C36:C39)</f>
        <v>3946.0146000000004</v>
      </c>
      <c r="D40" s="14"/>
      <c r="E40" s="13">
        <f>SUM(E36:E39)</f>
        <v>4897.3604000000005</v>
      </c>
      <c r="F40" s="15">
        <f t="shared" si="4"/>
        <v>0.24109028892087728</v>
      </c>
      <c r="P40" s="16"/>
      <c r="R40" s="16"/>
    </row>
    <row r="41" spans="1:19" x14ac:dyDescent="0.25">
      <c r="A41" s="6" t="s">
        <v>11</v>
      </c>
      <c r="B41" s="10">
        <v>3.3180999999999998</v>
      </c>
      <c r="C41" s="8">
        <f>+($C$5*B41*12)/100</f>
        <v>1327.24</v>
      </c>
      <c r="D41" s="11">
        <v>3.3180999999999998</v>
      </c>
      <c r="E41" s="8">
        <f>+($C$5*D41*12)/100</f>
        <v>1327.24</v>
      </c>
      <c r="F41" s="9">
        <f t="shared" si="4"/>
        <v>0</v>
      </c>
    </row>
    <row r="42" spans="1:19" x14ac:dyDescent="0.25">
      <c r="A42" s="6"/>
      <c r="B42" s="10">
        <v>2.4E-2</v>
      </c>
      <c r="C42" s="8">
        <f>+($C$5*B42*12)/100</f>
        <v>9.6</v>
      </c>
      <c r="D42" s="11">
        <v>2.4E-2</v>
      </c>
      <c r="E42" s="8">
        <f>+($C$5*D42*12)/100</f>
        <v>9.6</v>
      </c>
      <c r="F42" s="9">
        <f t="shared" si="4"/>
        <v>0</v>
      </c>
    </row>
    <row r="43" spans="1:19" x14ac:dyDescent="0.25">
      <c r="A43" s="6" t="s">
        <v>12</v>
      </c>
      <c r="B43" s="6"/>
      <c r="C43" s="8">
        <f>SUM(C40:C42)</f>
        <v>5282.8546000000006</v>
      </c>
      <c r="D43" s="6"/>
      <c r="E43" s="8">
        <f>SUM(E40:E42)</f>
        <v>6234.2004000000006</v>
      </c>
      <c r="F43" s="9">
        <f t="shared" si="4"/>
        <v>0.18008176867105144</v>
      </c>
    </row>
    <row r="45" spans="1:19" x14ac:dyDescent="0.25">
      <c r="A45" t="s">
        <v>15</v>
      </c>
      <c r="P45" s="16"/>
      <c r="R45" s="16"/>
      <c r="S45" s="3"/>
    </row>
    <row r="46" spans="1:19" x14ac:dyDescent="0.25">
      <c r="A46" t="s">
        <v>16</v>
      </c>
    </row>
  </sheetData>
  <mergeCells count="10">
    <mergeCell ref="A33:F33"/>
    <mergeCell ref="B34:C34"/>
    <mergeCell ref="D34:E34"/>
    <mergeCell ref="A2:F2"/>
    <mergeCell ref="A7:F7"/>
    <mergeCell ref="B8:C8"/>
    <mergeCell ref="D8:E8"/>
    <mergeCell ref="A21:F21"/>
    <mergeCell ref="B22:C22"/>
    <mergeCell ref="D22:E22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47"/>
  <sheetViews>
    <sheetView tabSelected="1" topLeftCell="A25" workbookViewId="0">
      <selection activeCell="C43" sqref="C43"/>
    </sheetView>
  </sheetViews>
  <sheetFormatPr defaultRowHeight="15" x14ac:dyDescent="0.25"/>
  <cols>
    <col min="1" max="1" width="14.42578125" customWidth="1"/>
    <col min="2" max="2" width="9.28515625" bestFit="1" customWidth="1"/>
    <col min="3" max="3" width="10.7109375" customWidth="1"/>
    <col min="5" max="5" width="10.7109375" customWidth="1"/>
    <col min="16" max="16" width="13.28515625" style="1" bestFit="1" customWidth="1"/>
    <col min="18" max="18" width="12.5703125" customWidth="1"/>
  </cols>
  <sheetData>
    <row r="2" spans="1:18" ht="18" x14ac:dyDescent="0.55000000000000004">
      <c r="A2" s="28" t="s">
        <v>0</v>
      </c>
      <c r="B2" s="29"/>
      <c r="C2" s="29"/>
      <c r="D2" s="29"/>
      <c r="E2" s="29"/>
      <c r="F2" s="29"/>
    </row>
    <row r="4" spans="1:18" ht="14.25" x14ac:dyDescent="0.45">
      <c r="A4" t="s">
        <v>3</v>
      </c>
      <c r="C4" s="1">
        <v>40000</v>
      </c>
    </row>
    <row r="5" spans="1:18" ht="14.25" x14ac:dyDescent="0.45">
      <c r="A5" t="s">
        <v>8</v>
      </c>
      <c r="C5" s="1">
        <f>+C4/12</f>
        <v>3333.3333333333335</v>
      </c>
    </row>
    <row r="7" spans="1:18" ht="14.25" x14ac:dyDescent="0.45">
      <c r="A7" s="25" t="s">
        <v>1</v>
      </c>
      <c r="B7" s="25"/>
      <c r="C7" s="26"/>
      <c r="D7" s="26"/>
      <c r="E7" s="26"/>
      <c r="F7" s="27"/>
      <c r="R7" s="1"/>
    </row>
    <row r="8" spans="1:18" ht="14.25" x14ac:dyDescent="0.45">
      <c r="A8" s="4"/>
      <c r="B8" s="25">
        <v>2018</v>
      </c>
      <c r="C8" s="25"/>
      <c r="D8" s="25">
        <v>2028</v>
      </c>
      <c r="E8" s="25"/>
      <c r="F8" s="5" t="s">
        <v>9</v>
      </c>
    </row>
    <row r="9" spans="1:18" ht="14.25" x14ac:dyDescent="0.45">
      <c r="A9" s="5" t="s">
        <v>2</v>
      </c>
      <c r="B9" s="5" t="s">
        <v>4</v>
      </c>
      <c r="C9" s="5" t="s">
        <v>5</v>
      </c>
      <c r="D9" s="5" t="s">
        <v>4</v>
      </c>
      <c r="E9" s="5" t="s">
        <v>5</v>
      </c>
      <c r="F9" s="6"/>
    </row>
    <row r="10" spans="1:18" ht="14.25" x14ac:dyDescent="0.45">
      <c r="A10" s="7" t="s">
        <v>6</v>
      </c>
      <c r="B10" s="8">
        <v>21</v>
      </c>
      <c r="C10" s="18">
        <f>+B10*12</f>
        <v>252</v>
      </c>
      <c r="D10" s="18">
        <v>21</v>
      </c>
      <c r="E10" s="18">
        <f>+D10*12</f>
        <v>252</v>
      </c>
      <c r="F10" s="9">
        <f>+(E10-C10)/C10</f>
        <v>0</v>
      </c>
    </row>
    <row r="11" spans="1:18" ht="14.25" x14ac:dyDescent="0.45">
      <c r="A11" s="7">
        <v>100</v>
      </c>
      <c r="B11" s="10">
        <v>9.3484999999999996</v>
      </c>
      <c r="C11" s="18">
        <f>IF($C$5&gt;A11,(B11*A11*0.12),B11*$C$5*12)</f>
        <v>112.18199999999999</v>
      </c>
      <c r="D11" s="19">
        <v>17.328099999999999</v>
      </c>
      <c r="E11" s="18">
        <f>IF($C$5&gt;A11,(D11*A11*0.12),D11*$C$5*12)</f>
        <v>207.93719999999999</v>
      </c>
      <c r="F11" s="9">
        <f t="shared" ref="F11:F19" si="0">+(E11-C11)/C11</f>
        <v>0.85357009145852292</v>
      </c>
    </row>
    <row r="12" spans="1:18" ht="14.25" x14ac:dyDescent="0.45">
      <c r="A12" s="7">
        <v>300</v>
      </c>
      <c r="B12" s="10">
        <v>9.1085999999999991</v>
      </c>
      <c r="C12" s="18">
        <f>IF($C$5&gt;A12,((A12-A11)*B12*12)/100,L12)</f>
        <v>218.60640000000001</v>
      </c>
      <c r="D12" s="19">
        <v>16.945699999999999</v>
      </c>
      <c r="E12" s="18">
        <f>IF($C$5&gt;A12,((A12-A11)*D12*12)/100,N12)</f>
        <v>406.6968</v>
      </c>
      <c r="F12" s="9">
        <f t="shared" si="0"/>
        <v>0.86040664866170424</v>
      </c>
      <c r="L12">
        <f>MAX((($C$5-A11)*B12*12)/100,0)</f>
        <v>3534.1367999999998</v>
      </c>
      <c r="N12">
        <f>MAX((($C$5-A11)*D12*12)/100,0)</f>
        <v>6574.931599999999</v>
      </c>
    </row>
    <row r="13" spans="1:18" ht="14.25" x14ac:dyDescent="0.45">
      <c r="A13" s="7">
        <v>500</v>
      </c>
      <c r="B13" s="10">
        <v>8.7293000000000003</v>
      </c>
      <c r="C13" s="18">
        <f t="shared" ref="C13:C14" si="1">IF($C$5&gt;A13,((A13-A12)*B13*12)/100,L13)</f>
        <v>209.50319999999999</v>
      </c>
      <c r="D13" s="19">
        <v>16.3505</v>
      </c>
      <c r="E13" s="18">
        <f>IF($C$5&gt;A13,((A13-A12)*D13*12)/100,N13)</f>
        <v>392.41199999999998</v>
      </c>
      <c r="F13" s="9">
        <f t="shared" si="0"/>
        <v>0.87305969550823082</v>
      </c>
      <c r="L13">
        <f t="shared" ref="L13:L14" si="2">MAX((($C$5-A12)*B13*12)/100,0)</f>
        <v>3177.4652000000001</v>
      </c>
      <c r="N13">
        <f>MAX((($C$5-A12)*D13*12)/100,0)</f>
        <v>5951.5820000000003</v>
      </c>
    </row>
    <row r="14" spans="1:18" ht="14.25" x14ac:dyDescent="0.45">
      <c r="A14" s="7">
        <v>1000</v>
      </c>
      <c r="B14" s="10">
        <v>8.3811</v>
      </c>
      <c r="C14" s="18">
        <f t="shared" si="1"/>
        <v>502.86600000000004</v>
      </c>
      <c r="D14" s="19">
        <v>15.804</v>
      </c>
      <c r="E14" s="18">
        <f>IF($C$5&gt;A14,((A14-A13)*D14*12)/100,N14)</f>
        <v>948.24</v>
      </c>
      <c r="F14" s="9">
        <f t="shared" si="0"/>
        <v>0.88567133192540348</v>
      </c>
      <c r="L14">
        <f t="shared" si="2"/>
        <v>2849.5740000000001</v>
      </c>
      <c r="N14">
        <f>MAX((($C$5-A13)*D14*12)/100,0)</f>
        <v>5373.36</v>
      </c>
      <c r="P14" s="16"/>
      <c r="R14" s="16"/>
    </row>
    <row r="15" spans="1:18" ht="14.25" x14ac:dyDescent="0.45">
      <c r="A15" s="7" t="s">
        <v>7</v>
      </c>
      <c r="B15" s="10">
        <v>8.0934000000000008</v>
      </c>
      <c r="C15" s="18">
        <f>IF($C$5&gt;A14,(($C$5-A14)*B15*12)/100,0)</f>
        <v>2266.152</v>
      </c>
      <c r="D15" s="19">
        <v>15.352600000000001</v>
      </c>
      <c r="E15" s="18">
        <f>IF($C$5&gt;A14,(($C$5-A14)*D15*12)/100,0)</f>
        <v>4298.7280000000001</v>
      </c>
      <c r="F15" s="9">
        <f t="shared" si="0"/>
        <v>0.89692836138087828</v>
      </c>
    </row>
    <row r="16" spans="1:18" ht="14.25" x14ac:dyDescent="0.45">
      <c r="A16" s="12" t="s">
        <v>10</v>
      </c>
      <c r="B16" s="12"/>
      <c r="C16" s="13">
        <f>SUM(C10:C15)</f>
        <v>3561.3096</v>
      </c>
      <c r="D16" s="14"/>
      <c r="E16" s="13">
        <f>SUM(E10:E15)</f>
        <v>6506.0140000000001</v>
      </c>
      <c r="F16" s="15">
        <f t="shared" si="0"/>
        <v>0.82685998431588204</v>
      </c>
      <c r="P16" s="16"/>
      <c r="R16" s="16"/>
    </row>
    <row r="17" spans="1:18" ht="14.25" x14ac:dyDescent="0.45">
      <c r="A17" s="6" t="s">
        <v>11</v>
      </c>
      <c r="B17" s="10">
        <v>3.3180999999999998</v>
      </c>
      <c r="C17" s="18">
        <f>+($C$5*B17*12)/100</f>
        <v>1327.24</v>
      </c>
      <c r="D17" s="19">
        <v>3.3180999999999998</v>
      </c>
      <c r="E17" s="18">
        <f>+($C$5*D17*12)/100</f>
        <v>1327.24</v>
      </c>
      <c r="F17" s="9">
        <f t="shared" si="0"/>
        <v>0</v>
      </c>
    </row>
    <row r="18" spans="1:18" ht="14.25" x14ac:dyDescent="0.45">
      <c r="A18" s="6"/>
      <c r="B18" s="10">
        <v>2.4E-2</v>
      </c>
      <c r="C18" s="18">
        <f>+($C$5*B18*12)/100</f>
        <v>9.6</v>
      </c>
      <c r="D18" s="19">
        <v>2.4E-2</v>
      </c>
      <c r="E18" s="18">
        <f>+($C$5*D18*12)/100</f>
        <v>9.6</v>
      </c>
      <c r="F18" s="9">
        <f t="shared" si="0"/>
        <v>0</v>
      </c>
    </row>
    <row r="19" spans="1:18" ht="14.25" x14ac:dyDescent="0.45">
      <c r="A19" s="6" t="s">
        <v>12</v>
      </c>
      <c r="B19" s="6"/>
      <c r="C19" s="8">
        <f>SUM(C16:C18)</f>
        <v>4898.1496000000006</v>
      </c>
      <c r="D19" s="6"/>
      <c r="E19" s="8">
        <f>SUM(E16:E18)</f>
        <v>7842.8540000000003</v>
      </c>
      <c r="F19" s="9">
        <f t="shared" si="0"/>
        <v>0.60118710951580556</v>
      </c>
    </row>
    <row r="20" spans="1:18" ht="14.25" x14ac:dyDescent="0.45">
      <c r="C20" s="2"/>
    </row>
    <row r="21" spans="1:18" ht="14.25" x14ac:dyDescent="0.45">
      <c r="A21" s="25" t="s">
        <v>13</v>
      </c>
      <c r="B21" s="25"/>
      <c r="C21" s="26"/>
      <c r="D21" s="26"/>
      <c r="E21" s="26"/>
      <c r="F21" s="27"/>
      <c r="R21" s="1"/>
    </row>
    <row r="22" spans="1:18" ht="14.25" x14ac:dyDescent="0.45">
      <c r="A22" s="4"/>
      <c r="B22" s="25">
        <v>2018</v>
      </c>
      <c r="C22" s="25"/>
      <c r="D22" s="25">
        <v>2028</v>
      </c>
      <c r="E22" s="25"/>
      <c r="F22" s="5" t="s">
        <v>9</v>
      </c>
    </row>
    <row r="23" spans="1:18" ht="14.25" x14ac:dyDescent="0.45">
      <c r="A23" s="5" t="s">
        <v>2</v>
      </c>
      <c r="B23" s="5" t="s">
        <v>4</v>
      </c>
      <c r="C23" s="5" t="s">
        <v>5</v>
      </c>
      <c r="D23" s="5" t="s">
        <v>4</v>
      </c>
      <c r="E23" s="5" t="s">
        <v>5</v>
      </c>
      <c r="F23" s="6"/>
    </row>
    <row r="24" spans="1:18" ht="14.25" x14ac:dyDescent="0.45">
      <c r="A24" s="7" t="s">
        <v>6</v>
      </c>
      <c r="B24" s="8">
        <v>21</v>
      </c>
      <c r="C24" s="18">
        <f>+B24*12</f>
        <v>252</v>
      </c>
      <c r="D24" s="8">
        <v>21</v>
      </c>
      <c r="E24" s="18">
        <f>+D24*12</f>
        <v>252</v>
      </c>
      <c r="F24" s="9">
        <f>+(E24-C24)/C24</f>
        <v>0</v>
      </c>
    </row>
    <row r="25" spans="1:18" ht="14.25" x14ac:dyDescent="0.45">
      <c r="A25" s="7">
        <v>100</v>
      </c>
      <c r="B25" s="10">
        <v>5.0690999999999997</v>
      </c>
      <c r="C25" s="18">
        <f>IF($C$5&gt;A25,(B25*A25*0.12),B25*$C$5*12)</f>
        <v>60.829199999999993</v>
      </c>
      <c r="D25" s="11">
        <v>10.786</v>
      </c>
      <c r="E25" s="18">
        <f>IF($C$5&gt;A25,(D25*A25*0.12),D25*$C$5*12)</f>
        <v>129.43199999999999</v>
      </c>
      <c r="F25" s="9">
        <f>+(E25-C25)/C25</f>
        <v>1.1277938884614627</v>
      </c>
    </row>
    <row r="26" spans="1:18" ht="14.25" x14ac:dyDescent="0.45">
      <c r="A26" s="7">
        <v>250</v>
      </c>
      <c r="B26" s="10">
        <v>4.8051000000000004</v>
      </c>
      <c r="C26" s="18">
        <f>IF($C$5&gt;A26,((A26-A25)*B26*12)/100,L26)</f>
        <v>86.491799999999998</v>
      </c>
      <c r="D26" s="11">
        <v>10.321</v>
      </c>
      <c r="E26" s="18">
        <f>IF($C$5&gt;A26,((A26-A25)*D26*12)/100,N26)</f>
        <v>185.77799999999999</v>
      </c>
      <c r="F26" s="9">
        <f>+(E26-C26)/C26</f>
        <v>1.1479261617864351</v>
      </c>
      <c r="L26">
        <f>MAX((($C$5-A25)*B26*12)/100,0)</f>
        <v>1864.3788</v>
      </c>
      <c r="N26">
        <f>MAX((($C$5-A25)*D26*12)/100,0)</f>
        <v>4004.5480000000007</v>
      </c>
    </row>
    <row r="27" spans="1:18" ht="14.25" x14ac:dyDescent="0.45">
      <c r="A27" s="7" t="s">
        <v>7</v>
      </c>
      <c r="B27" s="17">
        <v>4.1227999999999998</v>
      </c>
      <c r="C27" s="18">
        <f>IF($C$5&gt;A26,(($C$5-A26)*B27*12)/100,0)</f>
        <v>1525.4360000000001</v>
      </c>
      <c r="D27" s="11">
        <v>9.1198999999999995</v>
      </c>
      <c r="E27" s="18">
        <f>IF($C$5&gt;A26,(($C$5-A26)*D27*12)/100,0)</f>
        <v>3374.3629999999998</v>
      </c>
      <c r="F27" s="9">
        <f>+(E27-C27)/C27</f>
        <v>1.2120646162801976</v>
      </c>
    </row>
    <row r="28" spans="1:18" x14ac:dyDescent="0.25">
      <c r="A28" s="21" t="s">
        <v>17</v>
      </c>
      <c r="B28" s="17">
        <v>0.73309999999999997</v>
      </c>
      <c r="C28" s="22">
        <f>C4*B28/100</f>
        <v>293.24</v>
      </c>
      <c r="D28" s="23">
        <v>1.0359</v>
      </c>
      <c r="E28" s="22">
        <f>D28*C4/100</f>
        <v>414.36</v>
      </c>
      <c r="F28" s="24">
        <f>+(E28-C28)/C28</f>
        <v>0.41304051289046517</v>
      </c>
    </row>
    <row r="29" spans="1:18" ht="14.25" x14ac:dyDescent="0.45">
      <c r="A29" s="12" t="s">
        <v>10</v>
      </c>
      <c r="B29" s="12"/>
      <c r="C29" s="13">
        <f>SUM(C24:C28)</f>
        <v>2217.9970000000003</v>
      </c>
      <c r="D29" s="14"/>
      <c r="E29" s="13">
        <f>SUM(E24:E28)</f>
        <v>4355.933</v>
      </c>
      <c r="F29" s="15">
        <f t="shared" ref="F29:F32" si="3">+(E29-C29)/C29</f>
        <v>0.96390391871585013</v>
      </c>
      <c r="P29" s="16"/>
      <c r="R29" s="16"/>
    </row>
    <row r="30" spans="1:18" ht="14.25" x14ac:dyDescent="0.45">
      <c r="A30" s="6" t="s">
        <v>11</v>
      </c>
      <c r="B30" s="10">
        <v>3.3180999999999998</v>
      </c>
      <c r="C30" s="18">
        <f>+($C$5*B30*12)/100</f>
        <v>1327.24</v>
      </c>
      <c r="D30" s="11">
        <v>3.3180999999999998</v>
      </c>
      <c r="E30" s="18">
        <f>+($C$5*D30*12)/100</f>
        <v>1327.24</v>
      </c>
      <c r="F30" s="9">
        <f t="shared" si="3"/>
        <v>0</v>
      </c>
    </row>
    <row r="31" spans="1:18" ht="14.25" x14ac:dyDescent="0.45">
      <c r="A31" s="6"/>
      <c r="B31" s="10">
        <v>2.4E-2</v>
      </c>
      <c r="C31" s="18">
        <f>+($C$5*B31*12)/100</f>
        <v>9.6</v>
      </c>
      <c r="D31" s="11">
        <v>2.4E-2</v>
      </c>
      <c r="E31" s="18">
        <f>+($C$5*D31*12)/100</f>
        <v>9.6</v>
      </c>
      <c r="F31" s="9">
        <f t="shared" si="3"/>
        <v>0</v>
      </c>
    </row>
    <row r="32" spans="1:18" ht="14.25" x14ac:dyDescent="0.45">
      <c r="A32" s="6" t="s">
        <v>12</v>
      </c>
      <c r="B32" s="6"/>
      <c r="C32" s="8">
        <f>SUM(C29:C31)</f>
        <v>3554.837</v>
      </c>
      <c r="D32" s="6"/>
      <c r="E32" s="8">
        <f>SUM(E29:E31)</f>
        <v>5692.7730000000001</v>
      </c>
      <c r="F32" s="9">
        <f t="shared" si="3"/>
        <v>0.60141604242332358</v>
      </c>
    </row>
    <row r="34" spans="1:19" ht="14.45" x14ac:dyDescent="0.3">
      <c r="A34" s="25" t="s">
        <v>14</v>
      </c>
      <c r="B34" s="25"/>
      <c r="C34" s="26"/>
      <c r="D34" s="26"/>
      <c r="E34" s="26"/>
      <c r="F34" s="27"/>
      <c r="R34" s="1"/>
    </row>
    <row r="35" spans="1:19" ht="14.45" x14ac:dyDescent="0.3">
      <c r="A35" s="4"/>
      <c r="B35" s="25">
        <v>2018</v>
      </c>
      <c r="C35" s="25"/>
      <c r="D35" s="25">
        <v>2028</v>
      </c>
      <c r="E35" s="25"/>
      <c r="F35" s="5" t="s">
        <v>9</v>
      </c>
    </row>
    <row r="36" spans="1:19" ht="14.45" x14ac:dyDescent="0.3">
      <c r="A36" s="5" t="s">
        <v>2</v>
      </c>
      <c r="B36" s="5" t="s">
        <v>4</v>
      </c>
      <c r="C36" s="5" t="s">
        <v>5</v>
      </c>
      <c r="D36" s="5" t="s">
        <v>4</v>
      </c>
      <c r="E36" s="5" t="s">
        <v>5</v>
      </c>
      <c r="F36" s="6"/>
    </row>
    <row r="37" spans="1:19" ht="14.45" x14ac:dyDescent="0.3">
      <c r="A37" s="7" t="s">
        <v>6</v>
      </c>
      <c r="B37" s="8">
        <v>70</v>
      </c>
      <c r="C37" s="8">
        <f>+B37*12</f>
        <v>840</v>
      </c>
      <c r="D37" s="8">
        <v>70</v>
      </c>
      <c r="E37" s="8">
        <f>+D37*12</f>
        <v>840</v>
      </c>
      <c r="F37" s="9">
        <f>+(E37-C37)/C37</f>
        <v>0</v>
      </c>
    </row>
    <row r="38" spans="1:19" ht="14.45" x14ac:dyDescent="0.3">
      <c r="A38" s="7">
        <v>500</v>
      </c>
      <c r="B38" s="10">
        <v>10.35</v>
      </c>
      <c r="C38" s="8">
        <f>IF($C$5&gt;A38,(B38*A38*0.12),B38*$C$5*12)</f>
        <v>621</v>
      </c>
      <c r="D38" s="11">
        <v>13.7064</v>
      </c>
      <c r="E38" s="8">
        <f>IF($C$5&gt;A38,(D38*A38*0.12),D38*$C$5*12)</f>
        <v>822.3839999999999</v>
      </c>
      <c r="F38" s="9">
        <f t="shared" ref="F38:F44" si="4">+(E38-C38)/C38</f>
        <v>0.32428985507246361</v>
      </c>
    </row>
    <row r="39" spans="1:19" ht="14.45" x14ac:dyDescent="0.3">
      <c r="A39" s="7">
        <v>1550</v>
      </c>
      <c r="B39" s="10">
        <v>8.2392000000000003</v>
      </c>
      <c r="C39" s="8">
        <f>IF($C$5&gt;A39,((A39-A38)*B39*12)/100,L39)</f>
        <v>1038.1392000000001</v>
      </c>
      <c r="D39" s="11">
        <v>10.797000000000001</v>
      </c>
      <c r="E39" s="8">
        <f>IF($C$5&gt;A39,((A39-A38)*D39*12)/100,N39)</f>
        <v>1360.422</v>
      </c>
      <c r="F39" s="9">
        <f t="shared" si="4"/>
        <v>0.31044276143314881</v>
      </c>
      <c r="L39">
        <f>MAX((($C$5-A38)*B39*12)/100,0)</f>
        <v>2801.3280000000004</v>
      </c>
      <c r="N39">
        <f>MAX((($C$5-A38)*D39*12)/100,0)</f>
        <v>3670.9800000000005</v>
      </c>
    </row>
    <row r="40" spans="1:19" ht="14.45" x14ac:dyDescent="0.3">
      <c r="A40" s="7" t="s">
        <v>7</v>
      </c>
      <c r="B40" s="10">
        <v>6.7610999999999999</v>
      </c>
      <c r="C40" s="8">
        <f>IF($C$5&gt;A39,(($C$5-A39)*B40*12)/100,0)</f>
        <v>1446.8754000000001</v>
      </c>
      <c r="D40" s="11">
        <v>8.7596000000000007</v>
      </c>
      <c r="E40" s="8">
        <f>IF($C$5&gt;A39,(($C$5-A39)*D40*12)/100,0)</f>
        <v>1874.5544000000002</v>
      </c>
      <c r="F40" s="9">
        <f t="shared" si="4"/>
        <v>0.29558799603614799</v>
      </c>
    </row>
    <row r="41" spans="1:19" ht="14.45" x14ac:dyDescent="0.3">
      <c r="A41" s="12" t="s">
        <v>10</v>
      </c>
      <c r="B41" s="12"/>
      <c r="C41" s="13">
        <f>SUM(C37:C40)</f>
        <v>3946.0146000000004</v>
      </c>
      <c r="D41" s="14"/>
      <c r="E41" s="13">
        <f>SUM(E37:E40)</f>
        <v>4897.3604000000005</v>
      </c>
      <c r="F41" s="15">
        <f t="shared" si="4"/>
        <v>0.24109028892087728</v>
      </c>
      <c r="P41" s="16"/>
      <c r="R41" s="16"/>
    </row>
    <row r="42" spans="1:19" ht="14.45" x14ac:dyDescent="0.3">
      <c r="A42" s="6" t="s">
        <v>11</v>
      </c>
      <c r="B42" s="10">
        <v>3.3180999999999998</v>
      </c>
      <c r="C42" s="8">
        <f>+($C$5*B42*12)/100</f>
        <v>1327.24</v>
      </c>
      <c r="D42" s="11">
        <v>3.3180999999999998</v>
      </c>
      <c r="E42" s="8">
        <f>+($C$5*D42*12)/100</f>
        <v>1327.24</v>
      </c>
      <c r="F42" s="9">
        <f t="shared" si="4"/>
        <v>0</v>
      </c>
    </row>
    <row r="43" spans="1:19" ht="14.45" x14ac:dyDescent="0.3">
      <c r="A43" s="6"/>
      <c r="B43" s="17">
        <v>3.3700000000000001E-2</v>
      </c>
      <c r="C43" s="22">
        <f>+($C$5*B43*12)/100</f>
        <v>13.48</v>
      </c>
      <c r="D43" s="23">
        <v>3.3700000000000001E-2</v>
      </c>
      <c r="E43" s="22">
        <f>+($C$5*D43*12)/100</f>
        <v>13.48</v>
      </c>
      <c r="F43" s="24">
        <f t="shared" si="4"/>
        <v>0</v>
      </c>
    </row>
    <row r="44" spans="1:19" ht="14.45" x14ac:dyDescent="0.3">
      <c r="A44" s="6" t="s">
        <v>12</v>
      </c>
      <c r="B44" s="6"/>
      <c r="C44" s="8">
        <f>SUM(C41:C43)</f>
        <v>5286.7345999999998</v>
      </c>
      <c r="D44" s="6"/>
      <c r="E44" s="8">
        <f>SUM(E41:E43)</f>
        <v>6238.0803999999998</v>
      </c>
      <c r="F44" s="9">
        <f t="shared" si="4"/>
        <v>0.17994960443068206</v>
      </c>
    </row>
    <row r="46" spans="1:19" ht="14.45" x14ac:dyDescent="0.3">
      <c r="A46" t="s">
        <v>15</v>
      </c>
      <c r="P46" s="16"/>
      <c r="R46" s="16"/>
      <c r="S46" s="3"/>
    </row>
    <row r="47" spans="1:19" ht="14.45" x14ac:dyDescent="0.3">
      <c r="A47" t="s">
        <v>16</v>
      </c>
    </row>
  </sheetData>
  <mergeCells count="10">
    <mergeCell ref="A2:F2"/>
    <mergeCell ref="A21:F21"/>
    <mergeCell ref="B22:C22"/>
    <mergeCell ref="D22:E22"/>
    <mergeCell ref="A34:F34"/>
    <mergeCell ref="B35:C35"/>
    <mergeCell ref="D35:E35"/>
    <mergeCell ref="B8:C8"/>
    <mergeCell ref="D8:E8"/>
    <mergeCell ref="A7:F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SEC Original</vt:lpstr>
      <vt:lpstr>Updated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Jay Shepherd</dc:creator>
  <cp:lastModifiedBy>Andrew Mandyam</cp:lastModifiedBy>
  <cp:lastPrinted>2018-05-25T12:54:02Z</cp:lastPrinted>
  <dcterms:created xsi:type="dcterms:W3CDTF">2018-05-24T21:11:13Z</dcterms:created>
  <dcterms:modified xsi:type="dcterms:W3CDTF">2018-05-26T14:20:15Z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-1795073441</vt:i4>
  </property>
  <property fmtid="{D5CDD505-2E9C-101B-9397-08002B2CF9AE}" pid="3" name="_NewReviewCycle">
    <vt:lpwstr/>
  </property>
  <property fmtid="{D5CDD505-2E9C-101B-9397-08002B2CF9AE}" pid="4" name="_EmailSubject">
    <vt:lpwstr>FILES: [External] EB-2017-0306 / EB-2017-0307 - MAADs/Rate Setting Mechanism Application - Cross-Examination Materials</vt:lpwstr>
  </property>
  <property fmtid="{D5CDD505-2E9C-101B-9397-08002B2CF9AE}" pid="5" name="_AuthorEmail">
    <vt:lpwstr>Andrew.Mandyam@enbridge.com</vt:lpwstr>
  </property>
  <property fmtid="{D5CDD505-2E9C-101B-9397-08002B2CF9AE}" pid="6" name="_AuthorEmailDisplayName">
    <vt:lpwstr>Andrew Mandyam</vt:lpwstr>
  </property>
  <property fmtid="{D5CDD505-2E9C-101B-9397-08002B2CF9AE}" pid="8" name="_PreviousAdHocReviewCycleID">
    <vt:i4>1617113734</vt:i4>
  </property>
</Properties>
</file>