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697" firstSheet="11" activeTab="11"/>
  </bookViews>
  <sheets>
    <sheet name="Contents Navigator" sheetId="62" r:id="rId1"/>
    <sheet name="LRAMVA Schematic" sheetId="63" r:id="rId2"/>
    <sheet name="DropDownList" sheetId="80" r:id="rId3"/>
    <sheet name="JE12321 2014" sheetId="89" r:id="rId4"/>
    <sheet name="JE12322 2015" sheetId="90" r:id="rId5"/>
    <sheet name="JE12323 2016" sheetId="91" r:id="rId6"/>
    <sheet name="JE12324 2017 Q4" sheetId="92" r:id="rId7"/>
    <sheet name="JE12326 2017 Q3 Rev" sheetId="93" r:id="rId8"/>
    <sheet name="JE12335 Transfer Bal" sheetId="94" r:id="rId9"/>
    <sheet name="Summary" sheetId="88" r:id="rId10"/>
    <sheet name="JE Summary" sheetId="87" r:id="rId11"/>
    <sheet name="1.  LRAMVA Summary" sheetId="43" r:id="rId12"/>
    <sheet name="1-a.  Summary of Changes" sheetId="83" r:id="rId13"/>
    <sheet name="2. LRAMVA Threshold" sheetId="44" r:id="rId14"/>
    <sheet name="3.  Distribution Rates" sheetId="45" r:id="rId15"/>
    <sheet name="4.  2011-2014 LRAM" sheetId="46" r:id="rId16"/>
    <sheet name="5.  2015-2020 LRAM" sheetId="79" r:id="rId17"/>
    <sheet name="6.  Carrying Charges" sheetId="47" r:id="rId18"/>
    <sheet name="7. Persistence Data" sheetId="82" r:id="rId19"/>
    <sheet name="7-a.  2011" sheetId="68" r:id="rId20"/>
    <sheet name="7-b.  2012" sheetId="81" r:id="rId21"/>
    <sheet name="7-c.  2013" sheetId="71" r:id="rId22"/>
    <sheet name="7-d.  2014" sheetId="72" r:id="rId23"/>
    <sheet name="7-e.  2015" sheetId="73" r:id="rId24"/>
    <sheet name="7-f.  2016" sheetId="74" r:id="rId25"/>
    <sheet name="CC backup" sheetId="84" r:id="rId26"/>
    <sheet name="7-g.  2017" sheetId="75" state="hidden" r:id="rId27"/>
    <sheet name="7-h.  2018" sheetId="76" state="hidden" r:id="rId28"/>
    <sheet name="7-i.  2019" sheetId="77" state="hidden" r:id="rId29"/>
    <sheet name="7-j.  2020" sheetId="78" state="hidden" r:id="rId30"/>
    <sheet name="8. SL Adjustment" sheetId="85" r:id="rId31"/>
    <sheet name="9. NTG Ratio calculation" sheetId="86" r:id="rId32"/>
  </sheets>
  <externalReferences>
    <externalReference r:id="rId33"/>
  </externalReferences>
  <definedNames>
    <definedName name="_xlnm._FilterDatabase" localSheetId="2" hidden="1">DropDownList!$A$1:$A$40</definedName>
    <definedName name="_xlnm.Print_Area" localSheetId="11">'1.  LRAMVA Summary'!$A$1:$R$107</definedName>
    <definedName name="_xlnm.Print_Area" localSheetId="13">'2. LRAMVA Threshold'!$A$1:$Q$62</definedName>
    <definedName name="_xlnm.Print_Area" localSheetId="14">'3.  Distribution Rates'!$A$1:$P$134</definedName>
    <definedName name="_xlnm.Print_Area" localSheetId="15">'4.  2011-2014 LRAM'!$A$1:$AM$532</definedName>
    <definedName name="_xlnm.Print_Area" localSheetId="16">'5.  2015-2020 LRAM'!$A$1:$AM$213</definedName>
    <definedName name="_xlnm.Print_Area" localSheetId="17">'6.  Carrying Charges'!$A$1:$X$154</definedName>
    <definedName name="_xlnm.Print_Area" localSheetId="19">'7-a.  2011'!$A$1:$BZ$52</definedName>
    <definedName name="_xlnm.Print_Area" localSheetId="20">'7-b.  2012'!$A$1:$BZ$49</definedName>
    <definedName name="_xlnm.Print_Area" localSheetId="21">'7-c.  2013'!$A$1:$BZ$59</definedName>
    <definedName name="_xlnm.Print_Area" localSheetId="22">'7-d.  2014'!$A$1:$BZ$49</definedName>
    <definedName name="_xlnm.Print_Area" localSheetId="23">'7-e.  2015'!$A$1:$BZ$48</definedName>
    <definedName name="_xlnm.Print_Area" localSheetId="30">'8. SL Adjustment'!$A$1:$N$72</definedName>
    <definedName name="_xlnm.Print_Area" localSheetId="0">'Contents Navigator'!$A$1:$D$25</definedName>
    <definedName name="_xlnm.Print_Area" localSheetId="8">'JE12335 Transfer Bal'!$A$1:$G$36</definedName>
    <definedName name="_xlnm.Print_Area" localSheetId="1">'LRAMVA Schematic'!$A$1:$H$32</definedName>
    <definedName name="_xlnm.Print_Titles" localSheetId="15">'4.  2011-2014 LRAM'!$B:$B</definedName>
    <definedName name="_xlnm.Print_Titles" localSheetId="8">'JE12335 Transfer Bal'!$12:$12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LRAM'!$B$591</definedName>
    <definedName name="Table_5_e.__2019_Lost_Revenues_Work_Form">'5.  2015-2020 LRAM'!$B$774</definedName>
    <definedName name="Table_5_f.__2020_Lost_Revenues_Work_Form">'5.  2015-2020 LRAM'!$B$957</definedName>
    <definedName name="Targets">'[1]LDC Targets'!$A$3:$D$83</definedName>
  </definedNames>
  <calcPr calcId="152511"/>
</workbook>
</file>

<file path=xl/calcChain.xml><?xml version="1.0" encoding="utf-8"?>
<calcChain xmlns="http://schemas.openxmlformats.org/spreadsheetml/2006/main">
  <c r="Q84" i="43" l="1"/>
  <c r="P84" i="43"/>
  <c r="O84" i="43"/>
  <c r="N84" i="43"/>
  <c r="M84" i="43"/>
  <c r="L84" i="43"/>
  <c r="K84" i="43"/>
  <c r="J84" i="43"/>
  <c r="I84" i="43"/>
  <c r="H84" i="43"/>
  <c r="G84" i="43"/>
  <c r="F84" i="43"/>
  <c r="E84" i="43"/>
  <c r="D84" i="43"/>
  <c r="Q83" i="43" l="1"/>
  <c r="P83" i="43"/>
  <c r="O83" i="43"/>
  <c r="N83" i="43"/>
  <c r="M83" i="43"/>
  <c r="L83" i="43"/>
  <c r="K83" i="43"/>
  <c r="J83" i="43"/>
  <c r="I83" i="43"/>
  <c r="H83" i="43"/>
  <c r="G83" i="43"/>
  <c r="F83" i="43"/>
  <c r="E83" i="43"/>
  <c r="D83" i="43"/>
  <c r="G26" i="91" l="1"/>
  <c r="G20" i="91"/>
  <c r="G21" i="91"/>
  <c r="G22" i="91"/>
  <c r="G23" i="91"/>
  <c r="G19" i="91"/>
  <c r="G30" i="94" l="1"/>
  <c r="G34" i="94" s="1"/>
  <c r="C23" i="94"/>
  <c r="C22" i="94"/>
  <c r="C16" i="94"/>
  <c r="C15" i="94"/>
  <c r="C14" i="94"/>
  <c r="C13" i="94"/>
  <c r="I3" i="94"/>
  <c r="I2" i="94"/>
  <c r="G38" i="93"/>
  <c r="G40" i="93" s="1"/>
  <c r="G35" i="93"/>
  <c r="F35" i="93"/>
  <c r="F37" i="93" s="1"/>
  <c r="G36" i="92"/>
  <c r="G40" i="92" s="1"/>
  <c r="F33" i="92"/>
  <c r="G22" i="92"/>
  <c r="G20" i="92"/>
  <c r="G19" i="92"/>
  <c r="G18" i="92"/>
  <c r="G17" i="92"/>
  <c r="G40" i="91"/>
  <c r="G44" i="91" s="1"/>
  <c r="F24" i="91"/>
  <c r="G37" i="91"/>
  <c r="G42" i="90"/>
  <c r="G46" i="90" s="1"/>
  <c r="G28" i="90"/>
  <c r="F26" i="90"/>
  <c r="F39" i="90" s="1"/>
  <c r="G25" i="90"/>
  <c r="G24" i="90"/>
  <c r="G23" i="90"/>
  <c r="G22" i="90"/>
  <c r="G21" i="90"/>
  <c r="G20" i="90"/>
  <c r="G40" i="89"/>
  <c r="G44" i="89" s="1"/>
  <c r="F37" i="89"/>
  <c r="F24" i="89"/>
  <c r="G23" i="89"/>
  <c r="G22" i="89"/>
  <c r="G21" i="89"/>
  <c r="G20" i="89"/>
  <c r="G19" i="89"/>
  <c r="G37" i="89" l="1"/>
  <c r="G33" i="92"/>
  <c r="F35" i="92" s="1"/>
  <c r="F37" i="91"/>
  <c r="F39" i="91" s="1"/>
  <c r="G39" i="90"/>
  <c r="F41" i="90"/>
  <c r="F26" i="94"/>
  <c r="G28" i="94"/>
  <c r="G32" i="94"/>
  <c r="F17" i="94"/>
  <c r="G42" i="93"/>
  <c r="G38" i="92"/>
  <c r="G42" i="91"/>
  <c r="G44" i="90"/>
  <c r="G42" i="89"/>
  <c r="F39" i="89"/>
  <c r="F28" i="94" l="1"/>
  <c r="G29" i="94" s="1"/>
  <c r="H1" i="94" s="1"/>
  <c r="F117" i="87" l="1"/>
  <c r="F125" i="87" s="1"/>
  <c r="G117" i="87"/>
  <c r="G125" i="87" s="1"/>
  <c r="H117" i="87"/>
  <c r="H125" i="87" s="1"/>
  <c r="I117" i="87"/>
  <c r="I125" i="87" s="1"/>
  <c r="L15" i="93" s="1"/>
  <c r="F116" i="87"/>
  <c r="G116" i="87"/>
  <c r="H116" i="87"/>
  <c r="I116" i="87"/>
  <c r="AI104" i="47" l="1"/>
  <c r="AG74" i="47"/>
  <c r="AH89" i="47"/>
  <c r="H60" i="47" l="1"/>
  <c r="AE115" i="47"/>
  <c r="AE108" i="47"/>
  <c r="AE107" i="47"/>
  <c r="AE93" i="47"/>
  <c r="AE78" i="47"/>
  <c r="AE70" i="47"/>
  <c r="AE63" i="47"/>
  <c r="AE62" i="47"/>
  <c r="AE55" i="47"/>
  <c r="AE48" i="47"/>
  <c r="AE47" i="47"/>
  <c r="AE33" i="47"/>
  <c r="AE32" i="47"/>
  <c r="AC114" i="47"/>
  <c r="AE114" i="47" s="1"/>
  <c r="AC108" i="47"/>
  <c r="AC105" i="47"/>
  <c r="AC106" i="47" s="1"/>
  <c r="AC107" i="47" s="1"/>
  <c r="AC99" i="47"/>
  <c r="AC100" i="47" s="1"/>
  <c r="AC96" i="47"/>
  <c r="AC97" i="47" s="1"/>
  <c r="AC93" i="47"/>
  <c r="AC94" i="47" s="1"/>
  <c r="AC95" i="47" s="1"/>
  <c r="AE95" i="47" s="1"/>
  <c r="AC90" i="47"/>
  <c r="AE90" i="47" s="1"/>
  <c r="AC84" i="47"/>
  <c r="AE84" i="47" s="1"/>
  <c r="AC81" i="47"/>
  <c r="AC82" i="47" s="1"/>
  <c r="AC78" i="47"/>
  <c r="AC75" i="47"/>
  <c r="AE75" i="47" s="1"/>
  <c r="AC69" i="47"/>
  <c r="AC70" i="47" s="1"/>
  <c r="AC71" i="47" s="1"/>
  <c r="AE71" i="47" s="1"/>
  <c r="AC66" i="47"/>
  <c r="AE66" i="47" s="1"/>
  <c r="AC63" i="47"/>
  <c r="AC64" i="47" s="1"/>
  <c r="AC65" i="47" s="1"/>
  <c r="AE65" i="47" s="1"/>
  <c r="AC60" i="47"/>
  <c r="AC61" i="47" s="1"/>
  <c r="AC62" i="47" s="1"/>
  <c r="AC54" i="47"/>
  <c r="AC55" i="47" s="1"/>
  <c r="AC56" i="47" s="1"/>
  <c r="AE56" i="47" s="1"/>
  <c r="AC51" i="47"/>
  <c r="AC52" i="47" s="1"/>
  <c r="AC53" i="47" s="1"/>
  <c r="AE53" i="47" s="1"/>
  <c r="AC48" i="47"/>
  <c r="AC49" i="47" s="1"/>
  <c r="AC50" i="47" s="1"/>
  <c r="AE50" i="47" s="1"/>
  <c r="AC45" i="47"/>
  <c r="AC46" i="47" s="1"/>
  <c r="AC47" i="47" s="1"/>
  <c r="AC39" i="47"/>
  <c r="AC40" i="47" s="1"/>
  <c r="AC36" i="47"/>
  <c r="AC37" i="47" s="1"/>
  <c r="AC38" i="47" s="1"/>
  <c r="AE38" i="47" s="1"/>
  <c r="AC33" i="47"/>
  <c r="AC34" i="47" s="1"/>
  <c r="AC35" i="47" s="1"/>
  <c r="AE35" i="47" s="1"/>
  <c r="AC30" i="47"/>
  <c r="AE30" i="47" s="1"/>
  <c r="AC115" i="47"/>
  <c r="AC116" i="47" s="1"/>
  <c r="AE116" i="47" s="1"/>
  <c r="AC109" i="47"/>
  <c r="AC110" i="47" s="1"/>
  <c r="AE110" i="47" s="1"/>
  <c r="AC91" i="47"/>
  <c r="AC92" i="47" s="1"/>
  <c r="AE92" i="47" s="1"/>
  <c r="AC79" i="47"/>
  <c r="AC80" i="47" s="1"/>
  <c r="AE80" i="47" s="1"/>
  <c r="AC76" i="47"/>
  <c r="AC77" i="47" s="1"/>
  <c r="AE77" i="47" s="1"/>
  <c r="AC31" i="47"/>
  <c r="AC32" i="47" s="1"/>
  <c r="AC24" i="47"/>
  <c r="AC25" i="47" s="1"/>
  <c r="AC26" i="47" s="1"/>
  <c r="AC22" i="47"/>
  <c r="AC23" i="47" s="1"/>
  <c r="AC21" i="47"/>
  <c r="AC18" i="47"/>
  <c r="AC19" i="47" s="1"/>
  <c r="AC20" i="47" s="1"/>
  <c r="AC15" i="47"/>
  <c r="AC16" i="47" s="1"/>
  <c r="AC17" i="47" s="1"/>
  <c r="AB131" i="47"/>
  <c r="AB130" i="47"/>
  <c r="AB129" i="47"/>
  <c r="AB128" i="47"/>
  <c r="AB127" i="47"/>
  <c r="AB126" i="47"/>
  <c r="AB125" i="47"/>
  <c r="AB124" i="47"/>
  <c r="AB123" i="47"/>
  <c r="AB122" i="47"/>
  <c r="AB121" i="47"/>
  <c r="AB120" i="47"/>
  <c r="AB116" i="47"/>
  <c r="AB115" i="47"/>
  <c r="AB114" i="47"/>
  <c r="AB113" i="47"/>
  <c r="AB112" i="47"/>
  <c r="AB111" i="47"/>
  <c r="AB110" i="47"/>
  <c r="AB109" i="47"/>
  <c r="AB108" i="47"/>
  <c r="AB107" i="47"/>
  <c r="AB106" i="47"/>
  <c r="AB105" i="47"/>
  <c r="AB101" i="47"/>
  <c r="AB100" i="47"/>
  <c r="AB99" i="47"/>
  <c r="AB98" i="47"/>
  <c r="AB97" i="47"/>
  <c r="AB96" i="47"/>
  <c r="AB95" i="47"/>
  <c r="AB94" i="47"/>
  <c r="AB93" i="47"/>
  <c r="AB92" i="47"/>
  <c r="AB91" i="47"/>
  <c r="AB90" i="47"/>
  <c r="AB86" i="47"/>
  <c r="AB85" i="47"/>
  <c r="AB84" i="47"/>
  <c r="AB83" i="47"/>
  <c r="AB82" i="47"/>
  <c r="AB81" i="47"/>
  <c r="AB80" i="47"/>
  <c r="AB79" i="47"/>
  <c r="AB78" i="47"/>
  <c r="AB77" i="47"/>
  <c r="AB76" i="47"/>
  <c r="AB75" i="47"/>
  <c r="AB71" i="47"/>
  <c r="AB70" i="47"/>
  <c r="AB69" i="47"/>
  <c r="AB68" i="47"/>
  <c r="AB67" i="47"/>
  <c r="AB66" i="47"/>
  <c r="AB65" i="47"/>
  <c r="AB64" i="47"/>
  <c r="AB63" i="47"/>
  <c r="AB62" i="47"/>
  <c r="AB61" i="47"/>
  <c r="AB60" i="47"/>
  <c r="AB56" i="47"/>
  <c r="AB55" i="47"/>
  <c r="AB54" i="47"/>
  <c r="AB53" i="47"/>
  <c r="AB52" i="47"/>
  <c r="AB51" i="47"/>
  <c r="AB50" i="47"/>
  <c r="AB49" i="47"/>
  <c r="AB48" i="47"/>
  <c r="AB47" i="47"/>
  <c r="AB46" i="47"/>
  <c r="AB45" i="47"/>
  <c r="AB31" i="47"/>
  <c r="AB32" i="47"/>
  <c r="AB33" i="47"/>
  <c r="AB34" i="47"/>
  <c r="AB35" i="47"/>
  <c r="AB36" i="47"/>
  <c r="AB37" i="47"/>
  <c r="AB38" i="47"/>
  <c r="AB39" i="47"/>
  <c r="AB40" i="47"/>
  <c r="AB41" i="47"/>
  <c r="AB30" i="47"/>
  <c r="AB16" i="47"/>
  <c r="AB17" i="47"/>
  <c r="AB18" i="47"/>
  <c r="AB19" i="47"/>
  <c r="AB20" i="47"/>
  <c r="AB21" i="47"/>
  <c r="AB22" i="47"/>
  <c r="AB23" i="47"/>
  <c r="AB24" i="47"/>
  <c r="AB25" i="47"/>
  <c r="AB26" i="47"/>
  <c r="AB15" i="47"/>
  <c r="AC83" i="47" l="1"/>
  <c r="AE83" i="47" s="1"/>
  <c r="AE82" i="47"/>
  <c r="AC98" i="47"/>
  <c r="AE98" i="47" s="1"/>
  <c r="AE97" i="47"/>
  <c r="AC41" i="47"/>
  <c r="AE41" i="47" s="1"/>
  <c r="AE40" i="47"/>
  <c r="AC101" i="47"/>
  <c r="AE101" i="47" s="1"/>
  <c r="AE100" i="47"/>
  <c r="AE36" i="47"/>
  <c r="AE81" i="47"/>
  <c r="AE96" i="47"/>
  <c r="AC67" i="47"/>
  <c r="AC85" i="47"/>
  <c r="AE31" i="47"/>
  <c r="AE39" i="47"/>
  <c r="AE46" i="47"/>
  <c r="AE54" i="47"/>
  <c r="AE61" i="47"/>
  <c r="AE69" i="47"/>
  <c r="AE76" i="47"/>
  <c r="AE91" i="47"/>
  <c r="AE99" i="47"/>
  <c r="AE106" i="47"/>
  <c r="AE51" i="47"/>
  <c r="AE37" i="47"/>
  <c r="AE52" i="47"/>
  <c r="AE34" i="47"/>
  <c r="AE45" i="47"/>
  <c r="AE49" i="47"/>
  <c r="AE60" i="47"/>
  <c r="AE64" i="47"/>
  <c r="AE79" i="47"/>
  <c r="AE94" i="47"/>
  <c r="AE105" i="47"/>
  <c r="AE109" i="47"/>
  <c r="N36" i="88"/>
  <c r="N17" i="88"/>
  <c r="K43" i="88"/>
  <c r="L43" i="88"/>
  <c r="I36" i="88"/>
  <c r="AC68" i="47" l="1"/>
  <c r="AE68" i="47" s="1"/>
  <c r="AE67" i="47"/>
  <c r="AC86" i="47"/>
  <c r="AE86" i="47" s="1"/>
  <c r="AE85" i="47"/>
  <c r="E36" i="88"/>
  <c r="H15" i="88"/>
  <c r="K15" i="88" l="1"/>
  <c r="J15" i="88"/>
  <c r="G36" i="88"/>
  <c r="F36" i="88"/>
  <c r="K34" i="88"/>
  <c r="E17" i="88"/>
  <c r="F43" i="88"/>
  <c r="H35" i="88"/>
  <c r="J35" i="88" s="1"/>
  <c r="H41" i="88"/>
  <c r="J41" i="88" s="1"/>
  <c r="M41" i="88" s="1"/>
  <c r="E43" i="88"/>
  <c r="H34" i="88"/>
  <c r="J34" i="88" s="1"/>
  <c r="H26" i="88"/>
  <c r="F28" i="88"/>
  <c r="G17" i="88"/>
  <c r="F17" i="88"/>
  <c r="H19" i="88"/>
  <c r="K16" i="88" l="1"/>
  <c r="K35" i="88" s="1"/>
  <c r="M35" i="88" s="1"/>
  <c r="O35" i="88" s="1"/>
  <c r="L34" i="88"/>
  <c r="L36" i="88" s="1"/>
  <c r="L45" i="88" s="1"/>
  <c r="L48" i="88" s="1"/>
  <c r="J36" i="88"/>
  <c r="E54" i="88"/>
  <c r="E45" i="88"/>
  <c r="F54" i="88"/>
  <c r="F45" i="88"/>
  <c r="H36" i="88"/>
  <c r="F53" i="88"/>
  <c r="F30" i="88"/>
  <c r="F31" i="88" s="1"/>
  <c r="H16" i="88"/>
  <c r="J16" i="88" s="1"/>
  <c r="E11" i="88"/>
  <c r="C55" i="88"/>
  <c r="F11" i="88"/>
  <c r="E28" i="88"/>
  <c r="I11" i="88"/>
  <c r="H10" i="88"/>
  <c r="G11" i="88"/>
  <c r="H9" i="88"/>
  <c r="G5" i="88"/>
  <c r="F48" i="88" l="1"/>
  <c r="F46" i="88"/>
  <c r="E46" i="88"/>
  <c r="L16" i="88"/>
  <c r="L17" i="88" s="1"/>
  <c r="K17" i="88"/>
  <c r="K36" i="88"/>
  <c r="K45" i="88" s="1"/>
  <c r="K48" i="88" s="1"/>
  <c r="M34" i="88"/>
  <c r="H17" i="88"/>
  <c r="F55" i="88"/>
  <c r="E53" i="88"/>
  <c r="E55" i="88" s="1"/>
  <c r="E30" i="88"/>
  <c r="E31" i="88" s="1"/>
  <c r="J10" i="88"/>
  <c r="J9" i="88"/>
  <c r="H11" i="88"/>
  <c r="E48" i="88" l="1"/>
  <c r="M16" i="88"/>
  <c r="M36" i="88"/>
  <c r="O34" i="88"/>
  <c r="O36" i="88" s="1"/>
  <c r="J11" i="88"/>
  <c r="F4" i="88"/>
  <c r="E3" i="88"/>
  <c r="M17" i="88" l="1"/>
  <c r="O16" i="88"/>
  <c r="O17" i="88" s="1"/>
  <c r="E5" i="88"/>
  <c r="F3" i="88"/>
  <c r="F5" i="88" s="1"/>
  <c r="H4" i="88"/>
  <c r="C5" i="88"/>
  <c r="E117" i="87"/>
  <c r="E125" i="87" s="1"/>
  <c r="L16" i="93" s="1"/>
  <c r="D117" i="87"/>
  <c r="D125" i="87" s="1"/>
  <c r="L14" i="93" s="1"/>
  <c r="C117" i="87"/>
  <c r="C125" i="87" s="1"/>
  <c r="L13" i="93" s="1"/>
  <c r="F97" i="87"/>
  <c r="G97" i="87"/>
  <c r="H97" i="87"/>
  <c r="I97" i="87"/>
  <c r="J98" i="87" l="1"/>
  <c r="J117" i="87" s="1"/>
  <c r="J125" i="87" s="1"/>
  <c r="L12" i="93"/>
  <c r="H3" i="88"/>
  <c r="H5" i="88" s="1"/>
  <c r="D496" i="79" l="1"/>
  <c r="C97" i="87" l="1"/>
  <c r="C116" i="87"/>
  <c r="D97" i="87"/>
  <c r="D116" i="87"/>
  <c r="E97" i="87"/>
  <c r="E116" i="87"/>
  <c r="J88" i="87"/>
  <c r="J116" i="87" s="1"/>
  <c r="B81" i="87"/>
  <c r="H115" i="87"/>
  <c r="I115" i="87"/>
  <c r="F115" i="87"/>
  <c r="E115" i="87"/>
  <c r="G115" i="87"/>
  <c r="D115" i="87"/>
  <c r="C115" i="87"/>
  <c r="B56" i="87"/>
  <c r="H114" i="87"/>
  <c r="I114" i="87"/>
  <c r="F114" i="87"/>
  <c r="E114" i="87"/>
  <c r="G114" i="87"/>
  <c r="D114" i="87"/>
  <c r="C114" i="87"/>
  <c r="J97" i="87" l="1"/>
  <c r="J63" i="87"/>
  <c r="J115" i="87" s="1"/>
  <c r="J39" i="87"/>
  <c r="J114" i="87" s="1"/>
  <c r="B32" i="87" l="1"/>
  <c r="E102" i="87" l="1"/>
  <c r="E113" i="87"/>
  <c r="E119" i="87" s="1"/>
  <c r="G102" i="87"/>
  <c r="G113" i="87"/>
  <c r="G119" i="87" s="1"/>
  <c r="F102" i="87"/>
  <c r="F113" i="87"/>
  <c r="F119" i="87" s="1"/>
  <c r="C102" i="87"/>
  <c r="C113" i="87"/>
  <c r="C119" i="87" s="1"/>
  <c r="I102" i="87"/>
  <c r="I113" i="87"/>
  <c r="I119" i="87" s="1"/>
  <c r="D102" i="87"/>
  <c r="D113" i="87"/>
  <c r="D119" i="87" s="1"/>
  <c r="H102" i="87"/>
  <c r="H113" i="87"/>
  <c r="H119" i="87" s="1"/>
  <c r="J16" i="87"/>
  <c r="J113" i="87" s="1"/>
  <c r="J119" i="87" s="1"/>
  <c r="B9" i="87"/>
  <c r="J102" i="87" l="1"/>
  <c r="D307" i="79"/>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E16" i="86"/>
  <c r="D16" i="86"/>
  <c r="C16" i="86"/>
  <c r="D15" i="86"/>
  <c r="E15" i="86" s="1"/>
  <c r="D14" i="86"/>
  <c r="F14" i="86" s="1"/>
  <c r="C15" i="86"/>
  <c r="C14" i="86"/>
  <c r="H5" i="86"/>
  <c r="I5" i="86" s="1"/>
  <c r="J5" i="86" s="1"/>
  <c r="K5" i="86"/>
  <c r="L5" i="86" s="1"/>
  <c r="M5" i="86" s="1"/>
  <c r="N5" i="86" s="1"/>
  <c r="O5" i="86"/>
  <c r="H6" i="86"/>
  <c r="I6" i="86" s="1"/>
  <c r="J6" i="86" s="1"/>
  <c r="K6" i="86" s="1"/>
  <c r="L6" i="86"/>
  <c r="M6" i="86" s="1"/>
  <c r="N6" i="86" s="1"/>
  <c r="O6" i="86" s="1"/>
  <c r="P6" i="86"/>
  <c r="Q6" i="86" s="1"/>
  <c r="R6" i="86" s="1"/>
  <c r="H7" i="86"/>
  <c r="I7" i="86"/>
  <c r="J7" i="86" s="1"/>
  <c r="K7" i="86" s="1"/>
  <c r="L7" i="86" s="1"/>
  <c r="M7" i="86"/>
  <c r="N7" i="86" s="1"/>
  <c r="O7" i="86" s="1"/>
  <c r="P7" i="86" s="1"/>
  <c r="Q7" i="86"/>
  <c r="R7" i="86" s="1"/>
  <c r="J114" i="85"/>
  <c r="L114" i="85"/>
  <c r="D87" i="85"/>
  <c r="E87" i="85"/>
  <c r="F87" i="85"/>
  <c r="G87" i="85"/>
  <c r="H87" i="85"/>
  <c r="I87" i="85"/>
  <c r="J87" i="85"/>
  <c r="K87" i="85"/>
  <c r="L87" i="85"/>
  <c r="M87" i="85"/>
  <c r="B114" i="85"/>
  <c r="C114" i="85"/>
  <c r="D114" i="85"/>
  <c r="E114" i="85"/>
  <c r="F114" i="85"/>
  <c r="G114" i="85"/>
  <c r="H114" i="85"/>
  <c r="I114" i="85"/>
  <c r="K114" i="85"/>
  <c r="M114" i="85"/>
  <c r="N121" i="85"/>
  <c r="B87" i="85"/>
  <c r="N87" i="85" s="1"/>
  <c r="B136" i="85" s="1"/>
  <c r="C87" i="85"/>
  <c r="N82" i="85"/>
  <c r="N109" i="85"/>
  <c r="C135" i="85"/>
  <c r="N113" i="85"/>
  <c r="N112" i="85"/>
  <c r="N94" i="85"/>
  <c r="N86" i="85"/>
  <c r="N85" i="85"/>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N54" i="85"/>
  <c r="C53" i="85"/>
  <c r="D53" i="85"/>
  <c r="M47" i="85"/>
  <c r="L47" i="85"/>
  <c r="K47" i="85"/>
  <c r="J47" i="85"/>
  <c r="I47" i="85"/>
  <c r="H47" i="85"/>
  <c r="G47" i="85"/>
  <c r="F47" i="85"/>
  <c r="E47" i="85"/>
  <c r="D47" i="85"/>
  <c r="C47" i="85"/>
  <c r="B47" i="85"/>
  <c r="N46" i="85"/>
  <c r="N45" i="85"/>
  <c r="N42" i="85"/>
  <c r="C66" i="85"/>
  <c r="N34" i="85"/>
  <c r="B35" i="85" s="1"/>
  <c r="C33" i="85"/>
  <c r="D33" i="85"/>
  <c r="D32" i="85"/>
  <c r="C32" i="85"/>
  <c r="M27" i="85"/>
  <c r="L27" i="85"/>
  <c r="K27" i="85"/>
  <c r="J27" i="85"/>
  <c r="I27" i="85"/>
  <c r="H27" i="85"/>
  <c r="G27" i="85"/>
  <c r="F27" i="85"/>
  <c r="E27" i="85"/>
  <c r="D27" i="85"/>
  <c r="D28" i="85" s="1"/>
  <c r="C27" i="85"/>
  <c r="B27" i="85"/>
  <c r="N26" i="85"/>
  <c r="N25" i="85"/>
  <c r="D23" i="85"/>
  <c r="E23" i="85" s="1"/>
  <c r="F23" i="85" s="1"/>
  <c r="G23" i="85" s="1"/>
  <c r="H23" i="85" s="1"/>
  <c r="I23" i="85" s="1"/>
  <c r="J23" i="85" s="1"/>
  <c r="K23" i="85" s="1"/>
  <c r="L23" i="85" s="1"/>
  <c r="M23" i="85" s="1"/>
  <c r="B43" i="85" s="1"/>
  <c r="C43" i="85" s="1"/>
  <c r="D43" i="85" s="1"/>
  <c r="E43" i="85" s="1"/>
  <c r="F43" i="85"/>
  <c r="G43" i="85" s="1"/>
  <c r="H43" i="85" s="1"/>
  <c r="I43" i="85" s="1"/>
  <c r="J43" i="85" s="1"/>
  <c r="K43" i="85" s="1"/>
  <c r="L43" i="85" s="1"/>
  <c r="M43" i="85" s="1"/>
  <c r="B83" i="85" s="1"/>
  <c r="C83" i="85" s="1"/>
  <c r="D83" i="85" s="1"/>
  <c r="E83" i="85" s="1"/>
  <c r="F83" i="85" s="1"/>
  <c r="G83" i="85" s="1"/>
  <c r="H83" i="85" s="1"/>
  <c r="I83" i="85" s="1"/>
  <c r="J83" i="85" s="1"/>
  <c r="K83" i="85" s="1"/>
  <c r="L83" i="85" s="1"/>
  <c r="M83" i="85" s="1"/>
  <c r="B110" i="85" s="1"/>
  <c r="C110" i="85" s="1"/>
  <c r="D110" i="85" s="1"/>
  <c r="E110" i="85" s="1"/>
  <c r="F110" i="85" s="1"/>
  <c r="G110" i="85" s="1"/>
  <c r="H110" i="85" s="1"/>
  <c r="I110" i="85" s="1"/>
  <c r="J110" i="85" s="1"/>
  <c r="K110" i="85" s="1"/>
  <c r="L110" i="85" s="1"/>
  <c r="M110" i="85" s="1"/>
  <c r="N22" i="85"/>
  <c r="N23" i="85" s="1"/>
  <c r="B66" i="85" s="1"/>
  <c r="D66" i="85" s="1"/>
  <c r="C35" i="85"/>
  <c r="C36" i="85" s="1"/>
  <c r="N43" i="85"/>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61" i="79"/>
  <c r="Z64" i="79"/>
  <c r="Z67" i="79"/>
  <c r="Z71" i="79"/>
  <c r="Z74" i="79"/>
  <c r="Z77" i="79"/>
  <c r="Z81" i="79"/>
  <c r="Z85" i="79"/>
  <c r="Z88" i="79"/>
  <c r="Z92" i="79"/>
  <c r="Z95" i="79"/>
  <c r="Z98" i="79"/>
  <c r="Z101" i="79"/>
  <c r="Z106" i="79"/>
  <c r="Z109" i="79"/>
  <c r="Z112" i="79"/>
  <c r="Z115" i="79"/>
  <c r="Z119" i="79"/>
  <c r="Z122" i="79"/>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61" i="79"/>
  <c r="AA64" i="79"/>
  <c r="AA67" i="79"/>
  <c r="AA71" i="79"/>
  <c r="AA74" i="79"/>
  <c r="AA77" i="79"/>
  <c r="AA81" i="79"/>
  <c r="AA85" i="79"/>
  <c r="AA88" i="79"/>
  <c r="AA92" i="79"/>
  <c r="AA95" i="79"/>
  <c r="AA98" i="79"/>
  <c r="AA101" i="79"/>
  <c r="AA106" i="79"/>
  <c r="AA109" i="79"/>
  <c r="AA112" i="79"/>
  <c r="AA115" i="79"/>
  <c r="AA119" i="79"/>
  <c r="AA122" i="79"/>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E188" i="46"/>
  <c r="F188" i="46" s="1"/>
  <c r="G188" i="46" s="1"/>
  <c r="H188" i="46" s="1"/>
  <c r="I188" i="46" s="1"/>
  <c r="J188" i="46" s="1"/>
  <c r="K188" i="46" s="1"/>
  <c r="L188" i="46" s="1"/>
  <c r="M188" i="46" s="1"/>
  <c r="E209" i="46"/>
  <c r="F209" i="46"/>
  <c r="E219" i="46"/>
  <c r="F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F178" i="46"/>
  <c r="F179" i="46"/>
  <c r="F181" i="46"/>
  <c r="F182" i="46"/>
  <c r="F190" i="46"/>
  <c r="F191" i="46"/>
  <c r="F199" i="46"/>
  <c r="F215" i="46"/>
  <c r="F233" i="46"/>
  <c r="F246" i="46"/>
  <c r="F247" i="46"/>
  <c r="E285" i="46"/>
  <c r="E286" i="46" s="1"/>
  <c r="F285" i="46"/>
  <c r="E307" i="46"/>
  <c r="E308" i="46" s="1"/>
  <c r="E316" i="46"/>
  <c r="E317" i="46" s="1"/>
  <c r="E319" i="46"/>
  <c r="E320" i="46" s="1"/>
  <c r="E338" i="46"/>
  <c r="E339" i="46" s="1"/>
  <c r="E348" i="46"/>
  <c r="E362" i="46"/>
  <c r="E363" i="46" s="1"/>
  <c r="E375" i="46"/>
  <c r="E376"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E297" i="46"/>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AN439" i="46"/>
  <c r="AN442" i="46"/>
  <c r="G32" i="46"/>
  <c r="G47" i="46"/>
  <c r="G51" i="46"/>
  <c r="G54" i="46"/>
  <c r="G60" i="46"/>
  <c r="G63" i="46"/>
  <c r="G106" i="46"/>
  <c r="G119" i="46"/>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8" i="46"/>
  <c r="Z311" i="46"/>
  <c r="Z314" i="46"/>
  <c r="Z317" i="46"/>
  <c r="Z320" i="46"/>
  <c r="Z323"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1" i="46"/>
  <c r="Z112" i="46"/>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188" i="46"/>
  <c r="Q188" i="46"/>
  <c r="R188" i="46" s="1"/>
  <c r="S188" i="46" s="1"/>
  <c r="T188" i="46" s="1"/>
  <c r="U188" i="46" s="1"/>
  <c r="V188" i="46" s="1"/>
  <c r="W188" i="46" s="1"/>
  <c r="X188" i="46" s="1"/>
  <c r="P209" i="46"/>
  <c r="P210" i="46" s="1"/>
  <c r="Q209" i="46"/>
  <c r="P219" i="46"/>
  <c r="P220" i="46" s="1"/>
  <c r="Q219" i="46"/>
  <c r="AA151" i="46"/>
  <c r="AA154" i="46"/>
  <c r="AA157" i="46"/>
  <c r="AA160" i="46"/>
  <c r="AA163" i="46"/>
  <c r="AA166" i="46"/>
  <c r="AA169" i="46"/>
  <c r="AA172" i="46"/>
  <c r="AA175" i="46"/>
  <c r="AA182" i="46"/>
  <c r="AA185" i="46"/>
  <c r="AA188" i="46"/>
  <c r="AA191" i="46"/>
  <c r="AA194" i="46"/>
  <c r="AA197" i="46"/>
  <c r="AA200" i="46"/>
  <c r="AA204" i="46"/>
  <c r="AA207" i="46"/>
  <c r="AA210" i="46"/>
  <c r="AA213" i="46"/>
  <c r="AA216" i="46"/>
  <c r="AA220" i="46"/>
  <c r="AA224" i="46"/>
  <c r="AA227" i="46"/>
  <c r="AA231" i="46"/>
  <c r="AA234" i="46"/>
  <c r="AA237" i="46"/>
  <c r="AA240" i="46"/>
  <c r="AA243" i="46"/>
  <c r="AA247" i="46"/>
  <c r="AA250" i="46"/>
  <c r="AA253" i="46"/>
  <c r="Q178" i="46"/>
  <c r="Q179" i="46"/>
  <c r="Q181" i="46"/>
  <c r="Q182" i="46"/>
  <c r="Q190" i="46"/>
  <c r="Q191" i="46"/>
  <c r="Q199" i="46"/>
  <c r="Q215" i="46"/>
  <c r="Q233" i="46"/>
  <c r="Q247" i="46"/>
  <c r="N308" i="46"/>
  <c r="N311" i="46"/>
  <c r="N314" i="46"/>
  <c r="N317" i="46"/>
  <c r="N320" i="46"/>
  <c r="N326" i="46"/>
  <c r="N333" i="46"/>
  <c r="N336" i="46"/>
  <c r="N339" i="46"/>
  <c r="N342" i="46"/>
  <c r="N356" i="46"/>
  <c r="N360" i="46"/>
  <c r="N363" i="46"/>
  <c r="N366" i="46"/>
  <c r="N369" i="46"/>
  <c r="N372" i="46"/>
  <c r="N379" i="46"/>
  <c r="N382" i="46"/>
  <c r="P307" i="46"/>
  <c r="P316" i="46"/>
  <c r="P319" i="46"/>
  <c r="P338" i="46"/>
  <c r="Q338" i="46"/>
  <c r="P348" i="46"/>
  <c r="Q348" i="46"/>
  <c r="R348" i="46"/>
  <c r="P362" i="46"/>
  <c r="P375" i="46"/>
  <c r="AA280" i="46"/>
  <c r="AA283" i="46"/>
  <c r="AA286" i="46"/>
  <c r="AA289" i="46"/>
  <c r="AA292" i="46"/>
  <c r="AA295" i="46"/>
  <c r="AA298" i="46"/>
  <c r="AA301" i="46"/>
  <c r="AA304" i="46"/>
  <c r="AA311" i="46"/>
  <c r="AA314" i="46"/>
  <c r="AA317" i="46"/>
  <c r="AA320" i="46"/>
  <c r="AA323" i="46"/>
  <c r="AA326" i="46"/>
  <c r="AA329" i="46"/>
  <c r="AA333" i="46"/>
  <c r="AA336" i="46"/>
  <c r="AA339" i="46"/>
  <c r="AA342" i="46"/>
  <c r="AA345" i="46"/>
  <c r="AA349" i="46"/>
  <c r="AA353" i="46"/>
  <c r="AA356" i="46"/>
  <c r="AA360" i="46"/>
  <c r="AA366" i="46"/>
  <c r="AA369" i="46"/>
  <c r="AA372" i="46"/>
  <c r="AA376" i="46"/>
  <c r="AA379" i="46"/>
  <c r="AA382" i="46"/>
  <c r="P310"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7" i="46"/>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R51" i="46"/>
  <c r="R54" i="46"/>
  <c r="R60" i="46"/>
  <c r="R63" i="46"/>
  <c r="R106" i="46"/>
  <c r="R119" i="46"/>
  <c r="AA51" i="46"/>
  <c r="AA103" i="46"/>
  <c r="AA106" i="46"/>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219" i="46"/>
  <c r="G156" i="46"/>
  <c r="G159" i="46"/>
  <c r="G178" i="46"/>
  <c r="G179" i="46"/>
  <c r="G181" i="46"/>
  <c r="G182" i="46"/>
  <c r="G190" i="46"/>
  <c r="G191" i="46"/>
  <c r="G199" i="46"/>
  <c r="G215" i="46"/>
  <c r="G233" i="46"/>
  <c r="G246" i="46"/>
  <c r="G247" i="46"/>
  <c r="F307" i="46"/>
  <c r="F316" i="46"/>
  <c r="F319" i="46"/>
  <c r="F338" i="46"/>
  <c r="F348" i="46"/>
  <c r="F362" i="46"/>
  <c r="F375" i="46"/>
  <c r="F297" i="46"/>
  <c r="F310" i="46"/>
  <c r="E414" i="46"/>
  <c r="E432" i="46"/>
  <c r="E436" i="46"/>
  <c r="E439" i="46"/>
  <c r="E442" i="46"/>
  <c r="E445" i="46"/>
  <c r="E448" i="46"/>
  <c r="E467" i="46"/>
  <c r="E477" i="46"/>
  <c r="E504" i="46"/>
  <c r="H32" i="46"/>
  <c r="H47" i="46"/>
  <c r="H51" i="46"/>
  <c r="H54" i="46"/>
  <c r="H60" i="46"/>
  <c r="H63" i="46"/>
  <c r="H106" i="46"/>
  <c r="H119" i="46"/>
  <c r="H22" i="46"/>
  <c r="H28" i="46"/>
  <c r="H31" i="46"/>
  <c r="H37" i="46"/>
  <c r="H40" i="46"/>
  <c r="H50" i="46"/>
  <c r="H53" i="46"/>
  <c r="H59" i="46"/>
  <c r="H62" i="46"/>
  <c r="H71" i="46"/>
  <c r="H84" i="46"/>
  <c r="H87" i="46"/>
  <c r="H102" i="46"/>
  <c r="H105" i="46"/>
  <c r="H111" i="46"/>
  <c r="H114" i="46"/>
  <c r="D128" i="45"/>
  <c r="R209" i="46"/>
  <c r="R219" i="46"/>
  <c r="R178" i="46"/>
  <c r="R179" i="46"/>
  <c r="R181" i="46"/>
  <c r="R182" i="46"/>
  <c r="R190" i="46"/>
  <c r="R191" i="46"/>
  <c r="R199" i="46"/>
  <c r="R215" i="46"/>
  <c r="R233" i="46"/>
  <c r="R247" i="46"/>
  <c r="Q307" i="46"/>
  <c r="Q316" i="46"/>
  <c r="Q319" i="46"/>
  <c r="Q362" i="46"/>
  <c r="Q375" i="46"/>
  <c r="Q310" i="46"/>
  <c r="P436" i="46"/>
  <c r="P439" i="46"/>
  <c r="P442" i="46"/>
  <c r="P445" i="46"/>
  <c r="P448" i="46"/>
  <c r="P467" i="46"/>
  <c r="P477" i="46"/>
  <c r="P504" i="46"/>
  <c r="S51" i="46"/>
  <c r="S54" i="46"/>
  <c r="S60" i="46"/>
  <c r="S63" i="46"/>
  <c r="S106" i="46"/>
  <c r="S119" i="46"/>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H219" i="46"/>
  <c r="I219" i="46"/>
  <c r="J219" i="46"/>
  <c r="K219" i="46"/>
  <c r="L219" i="46"/>
  <c r="M219" i="46"/>
  <c r="S219" i="46"/>
  <c r="T219" i="46"/>
  <c r="U219" i="46"/>
  <c r="V219" i="46"/>
  <c r="W219" i="46"/>
  <c r="X219" i="46"/>
  <c r="S209" i="46"/>
  <c r="T209" i="46"/>
  <c r="U209" i="46"/>
  <c r="V209" i="46"/>
  <c r="W209" i="46"/>
  <c r="X209" i="46"/>
  <c r="F94" i="79"/>
  <c r="G94" i="79"/>
  <c r="H94" i="79"/>
  <c r="I94" i="79"/>
  <c r="J94" i="79"/>
  <c r="K94" i="79"/>
  <c r="L94" i="79"/>
  <c r="M94" i="79"/>
  <c r="E94" i="79"/>
  <c r="R375" i="46"/>
  <c r="S375" i="46"/>
  <c r="T375" i="46"/>
  <c r="R362" i="46"/>
  <c r="S362" i="46"/>
  <c r="T362" i="46"/>
  <c r="U362" i="46"/>
  <c r="V362" i="46"/>
  <c r="W362" i="46"/>
  <c r="X362" i="46"/>
  <c r="S348" i="46"/>
  <c r="T348" i="46"/>
  <c r="U348" i="46"/>
  <c r="V348" i="46"/>
  <c r="W348" i="46"/>
  <c r="X348" i="46"/>
  <c r="R338" i="46"/>
  <c r="S338" i="46"/>
  <c r="T338" i="46"/>
  <c r="U338" i="46"/>
  <c r="V338" i="46"/>
  <c r="W338" i="46"/>
  <c r="R319" i="46"/>
  <c r="R316" i="46"/>
  <c r="S316" i="46"/>
  <c r="T316" i="46"/>
  <c r="U316" i="46"/>
  <c r="V316" i="46"/>
  <c r="W316" i="46"/>
  <c r="X316" i="46"/>
  <c r="R307" i="46"/>
  <c r="S307" i="46"/>
  <c r="T307" i="46"/>
  <c r="U307" i="46"/>
  <c r="V307" i="46"/>
  <c r="W307" i="46"/>
  <c r="X307" i="46"/>
  <c r="G375" i="46"/>
  <c r="H375" i="46"/>
  <c r="I375" i="46"/>
  <c r="G362" i="46"/>
  <c r="H362" i="46"/>
  <c r="I362" i="46"/>
  <c r="J362" i="46"/>
  <c r="K362" i="46"/>
  <c r="L362" i="46"/>
  <c r="M362" i="46"/>
  <c r="G348" i="46"/>
  <c r="H348" i="46"/>
  <c r="I348" i="46"/>
  <c r="J348" i="46"/>
  <c r="K348" i="46"/>
  <c r="L348" i="46"/>
  <c r="M348" i="46"/>
  <c r="G338" i="46"/>
  <c r="H338" i="46"/>
  <c r="I338" i="46"/>
  <c r="J338" i="46"/>
  <c r="K338" i="46"/>
  <c r="G319" i="46"/>
  <c r="G316" i="46"/>
  <c r="H316" i="46"/>
  <c r="I316" i="46"/>
  <c r="J316" i="46"/>
  <c r="K316" i="46"/>
  <c r="L316" i="46"/>
  <c r="M316" i="46"/>
  <c r="G307" i="46"/>
  <c r="H307" i="46"/>
  <c r="I307" i="46"/>
  <c r="J307" i="46"/>
  <c r="K307" i="46"/>
  <c r="L307" i="46"/>
  <c r="M307" i="46"/>
  <c r="G285" i="46"/>
  <c r="H285" i="46"/>
  <c r="I285" i="46"/>
  <c r="J285" i="46"/>
  <c r="K285" i="46"/>
  <c r="L285" i="46"/>
  <c r="M285" i="46"/>
  <c r="H209" i="46"/>
  <c r="I209" i="46"/>
  <c r="J209" i="46"/>
  <c r="K209" i="46"/>
  <c r="L209" i="46"/>
  <c r="M209" i="46"/>
  <c r="E112" i="79"/>
  <c r="F112" i="79" s="1"/>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E58" i="79" s="1"/>
  <c r="F58" i="79" s="1"/>
  <c r="G58" i="79" s="1"/>
  <c r="F57" i="79"/>
  <c r="G57" i="79"/>
  <c r="H57" i="79"/>
  <c r="I57" i="79"/>
  <c r="J57" i="79"/>
  <c r="K57" i="79"/>
  <c r="L57" i="79"/>
  <c r="M57" i="79"/>
  <c r="E38" i="79"/>
  <c r="E39" i="79" s="1"/>
  <c r="F38" i="79"/>
  <c r="G38" i="79"/>
  <c r="H38" i="79"/>
  <c r="I38" i="79"/>
  <c r="J38" i="79"/>
  <c r="K38" i="79"/>
  <c r="L38" i="79"/>
  <c r="M38" i="79"/>
  <c r="D18" i="43"/>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E32" i="46"/>
  <c r="E47" i="46"/>
  <c r="E51" i="46"/>
  <c r="E54" i="46"/>
  <c r="E60" i="46"/>
  <c r="E63" i="46"/>
  <c r="E106" i="46"/>
  <c r="E119" i="46"/>
  <c r="E22" i="46"/>
  <c r="E31" i="46"/>
  <c r="E37" i="46"/>
  <c r="E40" i="46"/>
  <c r="E50" i="46"/>
  <c r="E53" i="46"/>
  <c r="E59" i="46"/>
  <c r="E62" i="46"/>
  <c r="E71" i="46"/>
  <c r="E84" i="46"/>
  <c r="E87" i="46"/>
  <c r="E102" i="46"/>
  <c r="E105" i="46"/>
  <c r="E111" i="46"/>
  <c r="E11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F32" i="46"/>
  <c r="F47" i="46"/>
  <c r="F51" i="46"/>
  <c r="F54" i="46"/>
  <c r="F60" i="46"/>
  <c r="F63" i="46"/>
  <c r="F106" i="46"/>
  <c r="F119" i="46"/>
  <c r="F22" i="46"/>
  <c r="F31" i="46"/>
  <c r="F37" i="46"/>
  <c r="F40" i="46"/>
  <c r="F50" i="46"/>
  <c r="F53" i="46"/>
  <c r="F59" i="46"/>
  <c r="F62" i="46"/>
  <c r="F71" i="46"/>
  <c r="F84" i="46"/>
  <c r="F87" i="46"/>
  <c r="F102" i="46"/>
  <c r="F105" i="46"/>
  <c r="F111" i="46"/>
  <c r="F114" i="46"/>
  <c r="E156" i="46"/>
  <c r="E178" i="46"/>
  <c r="E179" i="46"/>
  <c r="E181" i="46"/>
  <c r="E182" i="46"/>
  <c r="E190" i="46"/>
  <c r="E191" i="46"/>
  <c r="E199" i="46"/>
  <c r="E215" i="46"/>
  <c r="E233" i="46"/>
  <c r="E246" i="46"/>
  <c r="E247"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I32" i="46"/>
  <c r="I47" i="46"/>
  <c r="I51" i="46"/>
  <c r="I54" i="46"/>
  <c r="I60" i="46"/>
  <c r="I63" i="46"/>
  <c r="I106" i="46"/>
  <c r="I119" i="46"/>
  <c r="I22" i="46"/>
  <c r="I28" i="46"/>
  <c r="I31" i="46"/>
  <c r="I37" i="46"/>
  <c r="I40" i="46"/>
  <c r="I50" i="46"/>
  <c r="I53" i="46"/>
  <c r="I59" i="46"/>
  <c r="I62" i="46"/>
  <c r="I71" i="46"/>
  <c r="I84" i="46"/>
  <c r="I87" i="46"/>
  <c r="I102" i="46"/>
  <c r="I105" i="46"/>
  <c r="I111" i="46"/>
  <c r="I114" i="46"/>
  <c r="H156" i="46"/>
  <c r="H178" i="46"/>
  <c r="H179" i="46"/>
  <c r="H181" i="46"/>
  <c r="H182" i="46"/>
  <c r="H190" i="46"/>
  <c r="H191" i="46"/>
  <c r="H199" i="46"/>
  <c r="H215" i="46"/>
  <c r="H233" i="46"/>
  <c r="H246" i="46"/>
  <c r="H247" i="46"/>
  <c r="G310" i="46"/>
  <c r="F414" i="46"/>
  <c r="F432" i="46"/>
  <c r="F436" i="46"/>
  <c r="F439" i="46"/>
  <c r="F442" i="46"/>
  <c r="F445" i="46"/>
  <c r="F448" i="46"/>
  <c r="F467" i="46"/>
  <c r="F477" i="46"/>
  <c r="F504" i="46"/>
  <c r="E48" i="79"/>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122" i="79"/>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J32" i="46"/>
  <c r="J47" i="46"/>
  <c r="J51" i="46"/>
  <c r="J54" i="46"/>
  <c r="J60" i="46"/>
  <c r="J63" i="46"/>
  <c r="J106" i="46"/>
  <c r="J119" i="46"/>
  <c r="J22" i="46"/>
  <c r="J28" i="46"/>
  <c r="J31" i="46"/>
  <c r="J37" i="46"/>
  <c r="J40" i="46"/>
  <c r="J50" i="46"/>
  <c r="J53" i="46"/>
  <c r="J59" i="46"/>
  <c r="J62" i="46"/>
  <c r="J71" i="46"/>
  <c r="J84" i="46"/>
  <c r="J87" i="46"/>
  <c r="J102" i="46"/>
  <c r="J105" i="46"/>
  <c r="J111" i="46"/>
  <c r="J114" i="46"/>
  <c r="I156" i="46"/>
  <c r="I178" i="46"/>
  <c r="I179" i="46"/>
  <c r="I181" i="46"/>
  <c r="I182" i="46"/>
  <c r="I190" i="46"/>
  <c r="I191" i="46"/>
  <c r="I199" i="46"/>
  <c r="I215" i="46"/>
  <c r="I233" i="46"/>
  <c r="I246" i="46"/>
  <c r="I247" i="46"/>
  <c r="H310" i="46"/>
  <c r="H319" i="46"/>
  <c r="G414" i="46"/>
  <c r="G432" i="46"/>
  <c r="G436" i="46"/>
  <c r="G439" i="46"/>
  <c r="G442" i="46"/>
  <c r="G445" i="46"/>
  <c r="G448" i="46"/>
  <c r="G467" i="46"/>
  <c r="G477" i="46"/>
  <c r="G504" i="46"/>
  <c r="F105" i="79"/>
  <c r="F121" i="79"/>
  <c r="F41" i="79"/>
  <c r="F44" i="79"/>
  <c r="F47" i="79"/>
  <c r="F50" i="79"/>
  <c r="F54" i="79"/>
  <c r="F60" i="79"/>
  <c r="F76" i="79"/>
  <c r="F80" i="79"/>
  <c r="F87" i="79"/>
  <c r="F91" i="79"/>
  <c r="F108" i="79"/>
  <c r="K32" i="46"/>
  <c r="K47" i="46"/>
  <c r="K51" i="46"/>
  <c r="K54" i="46"/>
  <c r="K60" i="46"/>
  <c r="K63" i="46"/>
  <c r="K106" i="46"/>
  <c r="K119" i="46"/>
  <c r="K22" i="46"/>
  <c r="K28" i="46"/>
  <c r="K31" i="46"/>
  <c r="K37" i="46"/>
  <c r="K40" i="46"/>
  <c r="K50" i="46"/>
  <c r="K53" i="46"/>
  <c r="K59" i="46"/>
  <c r="K62" i="46"/>
  <c r="K71" i="46"/>
  <c r="K84" i="46"/>
  <c r="K87" i="46"/>
  <c r="K102" i="46"/>
  <c r="K105" i="46"/>
  <c r="K111" i="46"/>
  <c r="K114" i="46"/>
  <c r="J156" i="46"/>
  <c r="J178" i="46"/>
  <c r="J179" i="46"/>
  <c r="J181" i="46"/>
  <c r="J182" i="46"/>
  <c r="J190" i="46"/>
  <c r="J191" i="46"/>
  <c r="J199" i="46"/>
  <c r="J215" i="46"/>
  <c r="J233" i="46"/>
  <c r="J246" i="46"/>
  <c r="J247" i="46"/>
  <c r="I328" i="46"/>
  <c r="I310" i="46"/>
  <c r="I319" i="46"/>
  <c r="H414" i="46"/>
  <c r="H432" i="46"/>
  <c r="H436" i="46"/>
  <c r="H439" i="46"/>
  <c r="H442" i="46"/>
  <c r="H445" i="46"/>
  <c r="H448" i="46"/>
  <c r="H467" i="46"/>
  <c r="H477" i="46"/>
  <c r="H504" i="46"/>
  <c r="G105" i="79"/>
  <c r="G121" i="79"/>
  <c r="G41" i="79"/>
  <c r="G44" i="79"/>
  <c r="G47" i="79"/>
  <c r="G50" i="79"/>
  <c r="G54" i="79"/>
  <c r="G60" i="79"/>
  <c r="G76" i="79"/>
  <c r="G80" i="79"/>
  <c r="G87" i="79"/>
  <c r="G91" i="79"/>
  <c r="G108" i="79"/>
  <c r="L32" i="46"/>
  <c r="L47" i="46"/>
  <c r="L51" i="46"/>
  <c r="L54" i="46"/>
  <c r="L60" i="46"/>
  <c r="L63" i="46"/>
  <c r="L106" i="46"/>
  <c r="L119" i="46"/>
  <c r="L22" i="46"/>
  <c r="L28" i="46"/>
  <c r="L31" i="46"/>
  <c r="L37" i="46"/>
  <c r="L40" i="46"/>
  <c r="L50" i="46"/>
  <c r="L53" i="46"/>
  <c r="L59" i="46"/>
  <c r="L62" i="46"/>
  <c r="L71" i="46"/>
  <c r="L84" i="46"/>
  <c r="L87" i="46"/>
  <c r="L102" i="46"/>
  <c r="L105" i="46"/>
  <c r="L111" i="46"/>
  <c r="L114" i="46"/>
  <c r="K156" i="46"/>
  <c r="K178" i="46"/>
  <c r="K179" i="46"/>
  <c r="K181" i="46"/>
  <c r="K182" i="46"/>
  <c r="K190" i="46"/>
  <c r="K191" i="46"/>
  <c r="K199" i="46"/>
  <c r="K215" i="46"/>
  <c r="K233" i="46"/>
  <c r="K246" i="46"/>
  <c r="K247" i="46"/>
  <c r="J310" i="46"/>
  <c r="J319" i="46"/>
  <c r="J375" i="46"/>
  <c r="I414" i="46"/>
  <c r="I432" i="46"/>
  <c r="I436" i="46"/>
  <c r="I439" i="46"/>
  <c r="I442" i="46"/>
  <c r="I445" i="46"/>
  <c r="I448" i="46"/>
  <c r="I467" i="46"/>
  <c r="I477" i="46"/>
  <c r="I504" i="46"/>
  <c r="H105" i="79"/>
  <c r="H121" i="79"/>
  <c r="H41" i="79"/>
  <c r="H44" i="79"/>
  <c r="H47" i="79"/>
  <c r="H50" i="79"/>
  <c r="H54" i="79"/>
  <c r="H60" i="79"/>
  <c r="H76" i="79"/>
  <c r="H80" i="79"/>
  <c r="H87" i="79"/>
  <c r="H91" i="79"/>
  <c r="H108" i="79"/>
  <c r="M32" i="46"/>
  <c r="M47" i="46"/>
  <c r="M51" i="46"/>
  <c r="M54" i="46"/>
  <c r="M60" i="46"/>
  <c r="M63" i="46"/>
  <c r="M106" i="46"/>
  <c r="M119" i="46"/>
  <c r="M22" i="46"/>
  <c r="M28" i="46"/>
  <c r="M31" i="46"/>
  <c r="M37" i="46"/>
  <c r="M40" i="46"/>
  <c r="M50" i="46"/>
  <c r="M53" i="46"/>
  <c r="M59" i="46"/>
  <c r="M62" i="46"/>
  <c r="M71" i="46"/>
  <c r="M84" i="46"/>
  <c r="M87" i="46"/>
  <c r="M102" i="46"/>
  <c r="M105" i="46"/>
  <c r="M111" i="46"/>
  <c r="M114" i="46"/>
  <c r="L156" i="46"/>
  <c r="L178" i="46"/>
  <c r="L179" i="46"/>
  <c r="L181" i="46"/>
  <c r="L182" i="46"/>
  <c r="L190" i="46"/>
  <c r="L191" i="46"/>
  <c r="L199" i="46"/>
  <c r="L215" i="46"/>
  <c r="L233" i="46"/>
  <c r="L246" i="46"/>
  <c r="L247" i="46"/>
  <c r="K310" i="46"/>
  <c r="K319" i="46"/>
  <c r="K375" i="46"/>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P122" i="79" s="1"/>
  <c r="Q121" i="79"/>
  <c r="R121" i="79"/>
  <c r="S121" i="79"/>
  <c r="T121" i="79"/>
  <c r="U121" i="79"/>
  <c r="V121" i="79"/>
  <c r="W121" i="79"/>
  <c r="X121" i="79"/>
  <c r="P108" i="79"/>
  <c r="P109" i="79" s="1"/>
  <c r="Q108" i="79"/>
  <c r="Q109" i="79" s="1"/>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Q55" i="79" s="1"/>
  <c r="R55" i="79" s="1"/>
  <c r="S55" i="79" s="1"/>
  <c r="J121" i="79"/>
  <c r="K121" i="79"/>
  <c r="L121" i="79"/>
  <c r="M121" i="79"/>
  <c r="J105" i="79"/>
  <c r="K105" i="79"/>
  <c r="L105" i="79"/>
  <c r="M105" i="79"/>
  <c r="O195" i="79"/>
  <c r="D195" i="79"/>
  <c r="O255" i="46"/>
  <c r="D127" i="46"/>
  <c r="P51" i="46"/>
  <c r="P54" i="46"/>
  <c r="P60" i="46"/>
  <c r="P63" i="46"/>
  <c r="P106" i="46"/>
  <c r="P119" i="46"/>
  <c r="P50" i="46"/>
  <c r="P53" i="46"/>
  <c r="P59" i="46"/>
  <c r="P62" i="46"/>
  <c r="P71" i="46"/>
  <c r="P84" i="46"/>
  <c r="P87" i="46"/>
  <c r="P102" i="46"/>
  <c r="P105" i="46"/>
  <c r="P111" i="46"/>
  <c r="P114" i="46"/>
  <c r="P178" i="46"/>
  <c r="P179" i="46"/>
  <c r="P181" i="46"/>
  <c r="P182" i="46"/>
  <c r="P190" i="46"/>
  <c r="P191" i="46"/>
  <c r="P199" i="46"/>
  <c r="P215" i="46"/>
  <c r="P233" i="46"/>
  <c r="P247" i="46"/>
  <c r="Q51" i="46"/>
  <c r="Q54" i="46"/>
  <c r="Q60" i="46"/>
  <c r="Q63" i="46"/>
  <c r="Q106" i="46"/>
  <c r="Q119" i="46"/>
  <c r="Q50" i="46"/>
  <c r="Q53" i="46"/>
  <c r="Q59" i="46"/>
  <c r="Q62" i="46"/>
  <c r="Q71" i="46"/>
  <c r="Q84" i="46"/>
  <c r="Q87" i="46"/>
  <c r="Q102" i="46"/>
  <c r="Q105" i="46"/>
  <c r="Q111" i="46"/>
  <c r="Q114" i="46"/>
  <c r="Q436" i="46"/>
  <c r="Q439" i="46"/>
  <c r="Q442" i="46"/>
  <c r="Q445" i="46"/>
  <c r="Q448" i="46"/>
  <c r="Q467" i="46"/>
  <c r="Q477" i="46"/>
  <c r="Q504" i="46"/>
  <c r="R310" i="46"/>
  <c r="R436" i="46"/>
  <c r="R439" i="46"/>
  <c r="R442" i="46"/>
  <c r="R445" i="46"/>
  <c r="R448" i="46"/>
  <c r="R467" i="46"/>
  <c r="R477" i="46"/>
  <c r="R504" i="46"/>
  <c r="S178" i="46"/>
  <c r="S179" i="46"/>
  <c r="S181" i="46"/>
  <c r="S182" i="46"/>
  <c r="S190" i="46"/>
  <c r="S191" i="46"/>
  <c r="S199" i="46"/>
  <c r="S215" i="46"/>
  <c r="S233" i="46"/>
  <c r="S247" i="46"/>
  <c r="S310" i="46"/>
  <c r="S319" i="46"/>
  <c r="S436" i="46"/>
  <c r="S439" i="46"/>
  <c r="S442" i="46"/>
  <c r="S445" i="46"/>
  <c r="S448" i="46"/>
  <c r="S467" i="46"/>
  <c r="S477" i="46"/>
  <c r="S504" i="46"/>
  <c r="T51" i="46"/>
  <c r="T54" i="46"/>
  <c r="T60" i="46"/>
  <c r="T63" i="46"/>
  <c r="T106" i="46"/>
  <c r="T119" i="46"/>
  <c r="T50" i="46"/>
  <c r="T53" i="46"/>
  <c r="T59" i="46"/>
  <c r="T62" i="46"/>
  <c r="T71" i="46"/>
  <c r="T84" i="46"/>
  <c r="T87" i="46"/>
  <c r="T102" i="46"/>
  <c r="T105" i="46"/>
  <c r="T111" i="46"/>
  <c r="T114" i="46"/>
  <c r="T178" i="46"/>
  <c r="T179" i="46"/>
  <c r="T181" i="46"/>
  <c r="T182" i="46"/>
  <c r="T190" i="46"/>
  <c r="T191" i="46"/>
  <c r="T199" i="46"/>
  <c r="T215" i="46"/>
  <c r="T233" i="46"/>
  <c r="T247" i="46"/>
  <c r="T310" i="46"/>
  <c r="T319" i="46"/>
  <c r="T436" i="46"/>
  <c r="T439" i="46"/>
  <c r="T442" i="46"/>
  <c r="T445" i="46"/>
  <c r="T448" i="46"/>
  <c r="T467" i="46"/>
  <c r="T477" i="46"/>
  <c r="T504" i="46"/>
  <c r="U51" i="46"/>
  <c r="U54" i="46"/>
  <c r="U60" i="46"/>
  <c r="U63" i="46"/>
  <c r="U106" i="46"/>
  <c r="U119" i="46"/>
  <c r="U50" i="46"/>
  <c r="U53" i="46"/>
  <c r="U59" i="46"/>
  <c r="U62" i="46"/>
  <c r="U71" i="46"/>
  <c r="U84" i="46"/>
  <c r="U87" i="46"/>
  <c r="U102" i="46"/>
  <c r="U105" i="46"/>
  <c r="U111" i="46"/>
  <c r="U114" i="46"/>
  <c r="U178" i="46"/>
  <c r="U179" i="46"/>
  <c r="U181" i="46"/>
  <c r="U182" i="46"/>
  <c r="U190" i="46"/>
  <c r="U191" i="46"/>
  <c r="U199" i="46"/>
  <c r="U215" i="46"/>
  <c r="U233" i="46"/>
  <c r="U247" i="46"/>
  <c r="U310" i="46"/>
  <c r="U319" i="46"/>
  <c r="U375" i="46"/>
  <c r="U436" i="46"/>
  <c r="U439" i="46"/>
  <c r="U442" i="46"/>
  <c r="U445" i="46"/>
  <c r="U448" i="46"/>
  <c r="U467" i="46"/>
  <c r="U477" i="46"/>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AC111" i="47" s="1"/>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I56" i="84"/>
  <c r="H56" i="84"/>
  <c r="L56" i="84" s="1"/>
  <c r="H55" i="84"/>
  <c r="L54" i="84"/>
  <c r="I54" i="84"/>
  <c r="H54" i="84"/>
  <c r="L53" i="84"/>
  <c r="I53" i="84"/>
  <c r="H53" i="84"/>
  <c r="I52" i="84"/>
  <c r="H52" i="84"/>
  <c r="L52" i="84" s="1"/>
  <c r="H51" i="84"/>
  <c r="L50" i="84"/>
  <c r="I50" i="84"/>
  <c r="H50" i="84"/>
  <c r="L49" i="84"/>
  <c r="I49" i="84"/>
  <c r="H49" i="84"/>
  <c r="H48" i="84"/>
  <c r="H47" i="84"/>
  <c r="M47" i="84" s="1"/>
  <c r="L46" i="84"/>
  <c r="I46" i="84"/>
  <c r="H46" i="84"/>
  <c r="L45" i="84"/>
  <c r="I45" i="84"/>
  <c r="H45" i="84"/>
  <c r="N41" i="84"/>
  <c r="M41" i="84"/>
  <c r="I41" i="84"/>
  <c r="H41" i="84"/>
  <c r="M40" i="84"/>
  <c r="K40" i="84"/>
  <c r="H40" i="84"/>
  <c r="O39" i="84"/>
  <c r="N39" i="84"/>
  <c r="K39" i="84"/>
  <c r="J39" i="84"/>
  <c r="I39" i="84"/>
  <c r="H39" i="84"/>
  <c r="M39" i="84" s="1"/>
  <c r="O38" i="84"/>
  <c r="J38" i="84"/>
  <c r="I38" i="84"/>
  <c r="H38" i="84"/>
  <c r="K38" i="84" s="1"/>
  <c r="M37" i="84"/>
  <c r="K37" i="84"/>
  <c r="I37" i="84"/>
  <c r="H37" i="84"/>
  <c r="O36" i="84"/>
  <c r="I36" i="84"/>
  <c r="H36" i="84"/>
  <c r="N36" i="84" s="1"/>
  <c r="H35" i="84"/>
  <c r="O34" i="84"/>
  <c r="N34" i="84"/>
  <c r="K34" i="84"/>
  <c r="J34" i="84"/>
  <c r="I34" i="84"/>
  <c r="H34" i="84"/>
  <c r="M34" i="84" s="1"/>
  <c r="O33" i="84"/>
  <c r="N33" i="84"/>
  <c r="J33" i="84"/>
  <c r="I33" i="84"/>
  <c r="H33" i="84"/>
  <c r="M33" i="84" s="1"/>
  <c r="N32" i="84"/>
  <c r="I32" i="84"/>
  <c r="H32" i="84"/>
  <c r="M32" i="84" s="1"/>
  <c r="H31" i="84"/>
  <c r="O30" i="84"/>
  <c r="N30" i="84"/>
  <c r="K30" i="84"/>
  <c r="J30" i="84"/>
  <c r="I30" i="84"/>
  <c r="H30" i="84"/>
  <c r="M30" i="84" s="1"/>
  <c r="M26" i="84"/>
  <c r="H26" i="84"/>
  <c r="O26" i="84" s="1"/>
  <c r="M25" i="84"/>
  <c r="H25" i="84"/>
  <c r="M24" i="84"/>
  <c r="H24" i="84"/>
  <c r="I24" i="84" s="1"/>
  <c r="M23" i="84"/>
  <c r="H23" i="84"/>
  <c r="H22" i="84"/>
  <c r="K22" i="84" s="1"/>
  <c r="H21" i="84"/>
  <c r="M21" i="84" s="1"/>
  <c r="H20" i="84"/>
  <c r="J20" i="84" s="1"/>
  <c r="H19" i="84"/>
  <c r="H18" i="84"/>
  <c r="J18" i="84" s="1"/>
  <c r="H17" i="84"/>
  <c r="N17" i="84" s="1"/>
  <c r="H16" i="84"/>
  <c r="O16" i="84" s="1"/>
  <c r="H15" i="84"/>
  <c r="W14" i="84"/>
  <c r="S14" i="84"/>
  <c r="O14" i="84"/>
  <c r="K14" i="84"/>
  <c r="M15" i="84"/>
  <c r="N16" i="84"/>
  <c r="J16" i="84"/>
  <c r="N19" i="84"/>
  <c r="J19" i="84"/>
  <c r="M20" i="84"/>
  <c r="N22" i="84"/>
  <c r="I15" i="84"/>
  <c r="O17" i="84"/>
  <c r="O20" i="84"/>
  <c r="I22" i="84"/>
  <c r="K15" i="84"/>
  <c r="K16" i="84"/>
  <c r="K19" i="84"/>
  <c r="K20" i="84"/>
  <c r="I23" i="84"/>
  <c r="I25" i="84"/>
  <c r="I26" i="84"/>
  <c r="M45" i="84"/>
  <c r="M46" i="84"/>
  <c r="M48" i="84"/>
  <c r="M49" i="84"/>
  <c r="M50" i="84"/>
  <c r="M52" i="84"/>
  <c r="M53" i="84"/>
  <c r="M54" i="84"/>
  <c r="M55" i="84"/>
  <c r="M56" i="84"/>
  <c r="N15" i="84"/>
  <c r="J15" i="84"/>
  <c r="M16" i="84"/>
  <c r="M17" i="84"/>
  <c r="M19" i="84"/>
  <c r="N20" i="84"/>
  <c r="N21" i="84"/>
  <c r="J21" i="84"/>
  <c r="O15" i="84"/>
  <c r="I16" i="84"/>
  <c r="I17" i="84"/>
  <c r="I19" i="84"/>
  <c r="O19" i="84"/>
  <c r="I20" i="84"/>
  <c r="O21" i="84"/>
  <c r="O23" i="84"/>
  <c r="K23" i="84"/>
  <c r="N23" i="84"/>
  <c r="J23" i="84"/>
  <c r="K24" i="84"/>
  <c r="N24" i="84"/>
  <c r="J24" i="84"/>
  <c r="O25" i="84"/>
  <c r="K25" i="84"/>
  <c r="N25" i="84"/>
  <c r="J25" i="84"/>
  <c r="K26" i="84"/>
  <c r="N26" i="84"/>
  <c r="J26" i="84"/>
  <c r="L15" i="84"/>
  <c r="L16" i="84"/>
  <c r="L17" i="84"/>
  <c r="L19" i="84"/>
  <c r="L20" i="84"/>
  <c r="L21" i="84"/>
  <c r="L23" i="84"/>
  <c r="L24" i="84"/>
  <c r="L25" i="84"/>
  <c r="L26" i="84"/>
  <c r="O45" i="84"/>
  <c r="K45" i="84"/>
  <c r="N45" i="84"/>
  <c r="J45" i="84"/>
  <c r="O46" i="84"/>
  <c r="K46" i="84"/>
  <c r="N46" i="84"/>
  <c r="J46" i="84"/>
  <c r="K47" i="84"/>
  <c r="N47" i="84"/>
  <c r="J47" i="84"/>
  <c r="K48" i="84"/>
  <c r="O49" i="84"/>
  <c r="K49" i="84"/>
  <c r="N49" i="84"/>
  <c r="J49" i="84"/>
  <c r="O50" i="84"/>
  <c r="K50" i="84"/>
  <c r="N50" i="84"/>
  <c r="J50" i="84"/>
  <c r="O52" i="84"/>
  <c r="K52" i="84"/>
  <c r="N52" i="84"/>
  <c r="J52" i="84"/>
  <c r="O53" i="84"/>
  <c r="K53" i="84"/>
  <c r="N53" i="84"/>
  <c r="J53" i="84"/>
  <c r="O54" i="84"/>
  <c r="K54" i="84"/>
  <c r="N54" i="84"/>
  <c r="J54" i="84"/>
  <c r="O55" i="84"/>
  <c r="K55" i="84"/>
  <c r="N55" i="84"/>
  <c r="J55" i="84"/>
  <c r="K56" i="84"/>
  <c r="N56" i="84"/>
  <c r="J56" i="84"/>
  <c r="L30" i="84"/>
  <c r="L32" i="84"/>
  <c r="L33" i="84"/>
  <c r="L34" i="84"/>
  <c r="L36" i="84"/>
  <c r="L37" i="84"/>
  <c r="L39" i="84"/>
  <c r="L40" i="84"/>
  <c r="L41"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X338" i="46"/>
  <c r="V375" i="46"/>
  <c r="V310" i="46"/>
  <c r="M375" i="46"/>
  <c r="L297" i="46"/>
  <c r="V59" i="46"/>
  <c r="W59" i="46"/>
  <c r="X59" i="46"/>
  <c r="X233" i="46"/>
  <c r="W190" i="46"/>
  <c r="X191" i="46"/>
  <c r="M179" i="46"/>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K477" i="46"/>
  <c r="L477" i="46"/>
  <c r="M477" i="46"/>
  <c r="K504" i="46"/>
  <c r="L504" i="46"/>
  <c r="M504" i="46"/>
  <c r="W436" i="46"/>
  <c r="X436" i="46"/>
  <c r="V439" i="46"/>
  <c r="W439" i="46"/>
  <c r="X439" i="46"/>
  <c r="W442" i="46"/>
  <c r="X442" i="46"/>
  <c r="V445" i="46"/>
  <c r="W445" i="46"/>
  <c r="X445" i="46"/>
  <c r="W448" i="46"/>
  <c r="X448" i="46"/>
  <c r="V467" i="46"/>
  <c r="X467" i="46"/>
  <c r="V477" i="46"/>
  <c r="W477" i="46"/>
  <c r="X477" i="46"/>
  <c r="V504" i="46"/>
  <c r="W504" i="46"/>
  <c r="X504" i="46"/>
  <c r="M191" i="46"/>
  <c r="L319" i="46"/>
  <c r="M319" i="46"/>
  <c r="M297" i="46"/>
  <c r="M182" i="46"/>
  <c r="L310" i="46"/>
  <c r="M310" i="46"/>
  <c r="L338" i="46"/>
  <c r="M338" i="46"/>
  <c r="M247" i="46"/>
  <c r="L375" i="46"/>
  <c r="V319" i="46"/>
  <c r="W319" i="46"/>
  <c r="X319" i="46"/>
  <c r="V179" i="46"/>
  <c r="W179" i="46"/>
  <c r="X179" i="46"/>
  <c r="V182" i="46"/>
  <c r="W182" i="46"/>
  <c r="X182" i="46"/>
  <c r="W310" i="46"/>
  <c r="X310" i="46"/>
  <c r="V119" i="46"/>
  <c r="W119" i="46"/>
  <c r="X119" i="46"/>
  <c r="V247" i="46"/>
  <c r="W247" i="46"/>
  <c r="X247" i="46"/>
  <c r="W375" i="46"/>
  <c r="X375" i="46"/>
  <c r="V191" i="46"/>
  <c r="W191" i="46"/>
  <c r="M181" i="46"/>
  <c r="M190" i="46"/>
  <c r="M215" i="46"/>
  <c r="M233" i="46"/>
  <c r="M199" i="46"/>
  <c r="V181" i="46"/>
  <c r="W181" i="46"/>
  <c r="X181" i="46"/>
  <c r="V178" i="46"/>
  <c r="W178" i="46"/>
  <c r="V190" i="46"/>
  <c r="X190" i="46"/>
  <c r="V215" i="46"/>
  <c r="W215" i="46"/>
  <c r="X215" i="46"/>
  <c r="V233" i="46"/>
  <c r="W233" i="46"/>
  <c r="V199" i="46"/>
  <c r="W199" i="46"/>
  <c r="X199" i="46"/>
  <c r="V51" i="46"/>
  <c r="W51" i="46"/>
  <c r="X51" i="46"/>
  <c r="V54" i="46"/>
  <c r="W54" i="46"/>
  <c r="X54" i="46"/>
  <c r="V63" i="46"/>
  <c r="W63" i="46"/>
  <c r="X63" i="46"/>
  <c r="V60" i="46"/>
  <c r="W60" i="46"/>
  <c r="X60" i="46"/>
  <c r="V106" i="46"/>
  <c r="W106" i="46"/>
  <c r="D44" i="44"/>
  <c r="D124" i="45"/>
  <c r="N629" i="79"/>
  <c r="N446" i="79"/>
  <c r="N254" i="79"/>
  <c r="Q51" i="43"/>
  <c r="AL277" i="46" s="1"/>
  <c r="N1117" i="79"/>
  <c r="N1114" i="79"/>
  <c r="N1111" i="79"/>
  <c r="N1108" i="79"/>
  <c r="N1105" i="79"/>
  <c r="N1102" i="79"/>
  <c r="N1099" i="79"/>
  <c r="N1093" i="79"/>
  <c r="N1090" i="79"/>
  <c r="N1087" i="79"/>
  <c r="N1084" i="79"/>
  <c r="N1081" i="79"/>
  <c r="N1078" i="79"/>
  <c r="N1074" i="79"/>
  <c r="N1071" i="79"/>
  <c r="N1068" i="79"/>
  <c r="N1064" i="79"/>
  <c r="N1061" i="79"/>
  <c r="N1058" i="79"/>
  <c r="N1055" i="79"/>
  <c r="N1052" i="79"/>
  <c r="N1049" i="79"/>
  <c r="N1046"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42" i="79"/>
  <c r="N839" i="79"/>
  <c r="N836" i="79"/>
  <c r="N833" i="79"/>
  <c r="N829" i="79"/>
  <c r="N826" i="79"/>
  <c r="N822" i="79"/>
  <c r="N818" i="79"/>
  <c r="N815" i="79"/>
  <c r="N812" i="79"/>
  <c r="N808" i="79"/>
  <c r="N805" i="79"/>
  <c r="N802" i="79"/>
  <c r="N799" i="79"/>
  <c r="N796" i="79"/>
  <c r="N751" i="79"/>
  <c r="N748" i="79"/>
  <c r="N745" i="79"/>
  <c r="N742" i="79"/>
  <c r="N739" i="79"/>
  <c r="N736" i="79"/>
  <c r="N733" i="79"/>
  <c r="N727" i="79"/>
  <c r="N724" i="79"/>
  <c r="N721" i="79"/>
  <c r="N718" i="79"/>
  <c r="N715" i="79"/>
  <c r="N712" i="79"/>
  <c r="N708" i="79"/>
  <c r="N705" i="79"/>
  <c r="N702" i="79"/>
  <c r="N698" i="79"/>
  <c r="N695" i="79"/>
  <c r="N692" i="79"/>
  <c r="N689" i="79"/>
  <c r="N686" i="79"/>
  <c r="N683" i="79"/>
  <c r="N680"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5" i="79"/>
  <c r="N522" i="79"/>
  <c r="N519" i="79"/>
  <c r="N515" i="79"/>
  <c r="N512" i="79"/>
  <c r="N509" i="79"/>
  <c r="N506" i="79"/>
  <c r="N503" i="79"/>
  <c r="N500" i="79"/>
  <c r="N497" i="79"/>
  <c r="N494"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3" i="79"/>
  <c r="AM1116" i="79"/>
  <c r="AE1052" i="79"/>
  <c r="Z1052" i="79"/>
  <c r="Y1039" i="79"/>
  <c r="Y1036" i="79"/>
  <c r="AD1009" i="79"/>
  <c r="Z1009" i="79"/>
  <c r="Y1009" i="79"/>
  <c r="AM1015" i="79"/>
  <c r="Y1016" i="79"/>
  <c r="AL1012" i="79"/>
  <c r="AM1011"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AM1008" i="79"/>
  <c r="Y1005" i="79"/>
  <c r="Y998" i="79"/>
  <c r="Y995" i="79"/>
  <c r="Y991" i="79"/>
  <c r="Y982" i="79"/>
  <c r="Y979" i="79"/>
  <c r="Y975" i="79"/>
  <c r="Y885" i="79"/>
  <c r="AL881" i="79"/>
  <c r="Y860" i="79"/>
  <c r="Y842" i="79"/>
  <c r="Y829" i="79"/>
  <c r="AL829" i="79"/>
  <c r="AK829" i="79"/>
  <c r="AJ829" i="79"/>
  <c r="AI829" i="79"/>
  <c r="AH829" i="79"/>
  <c r="AG829" i="79"/>
  <c r="AF829" i="79"/>
  <c r="AE829" i="79"/>
  <c r="AD829" i="79"/>
  <c r="AC829" i="79"/>
  <c r="AB829" i="79"/>
  <c r="AA829" i="79"/>
  <c r="Z829" i="79"/>
  <c r="AM828" i="79"/>
  <c r="AL826" i="79"/>
  <c r="AK826" i="79"/>
  <c r="AJ826" i="79"/>
  <c r="AI826" i="79"/>
  <c r="AH826" i="79"/>
  <c r="AG826" i="79"/>
  <c r="AF826" i="79"/>
  <c r="AE826" i="79"/>
  <c r="AD826" i="79"/>
  <c r="AC826" i="79"/>
  <c r="AB826" i="79"/>
  <c r="AA826" i="79"/>
  <c r="Z826" i="79"/>
  <c r="Y826" i="79"/>
  <c r="AM825" i="79"/>
  <c r="Y822" i="79"/>
  <c r="Y708" i="79"/>
  <c r="Y702" i="79"/>
  <c r="Y686"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4" i="79"/>
  <c r="Y529"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07" i="79"/>
  <c r="AM1110" i="79"/>
  <c r="AM1104" i="79"/>
  <c r="AM1101" i="79"/>
  <c r="AM1098" i="79"/>
  <c r="AM1095" i="79"/>
  <c r="AM1092" i="79"/>
  <c r="AM1089" i="79"/>
  <c r="AM1086" i="79"/>
  <c r="AM1083" i="79"/>
  <c r="AM1080" i="79"/>
  <c r="AM1077" i="79"/>
  <c r="AM1073" i="79"/>
  <c r="AM1070" i="79"/>
  <c r="AM1067" i="79"/>
  <c r="AM1063" i="79"/>
  <c r="AM1060" i="79"/>
  <c r="AM1057" i="79"/>
  <c r="AM1054" i="79"/>
  <c r="AM1051" i="79"/>
  <c r="AM1048" i="79"/>
  <c r="AM1045" i="79"/>
  <c r="AM1042" i="79"/>
  <c r="AM1038" i="79"/>
  <c r="AM1035" i="79"/>
  <c r="AM1032" i="79"/>
  <c r="AM1029" i="79"/>
  <c r="AM1024" i="79"/>
  <c r="AM1021" i="79"/>
  <c r="AM1018" i="79"/>
  <c r="AM1004" i="79"/>
  <c r="AM1000" i="79"/>
  <c r="AM997" i="79"/>
  <c r="AM994" i="79"/>
  <c r="AM990" i="79"/>
  <c r="AM987" i="79"/>
  <c r="AM984" i="79"/>
  <c r="AM981" i="79"/>
  <c r="AM978" i="79"/>
  <c r="AM974" i="79"/>
  <c r="AM971" i="79"/>
  <c r="AM968" i="79"/>
  <c r="AM965" i="79"/>
  <c r="AM962"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5" i="79"/>
  <c r="AM852" i="79"/>
  <c r="AM849" i="79"/>
  <c r="AM846" i="79"/>
  <c r="AM841" i="79"/>
  <c r="AM838" i="79"/>
  <c r="AM835" i="79"/>
  <c r="AM832" i="79"/>
  <c r="AM821" i="79"/>
  <c r="AM817" i="79"/>
  <c r="AM814" i="79"/>
  <c r="AM811" i="79"/>
  <c r="AM807" i="79"/>
  <c r="AM804" i="79"/>
  <c r="AM801" i="79"/>
  <c r="AM798" i="79"/>
  <c r="AM795" i="79"/>
  <c r="AM791" i="79"/>
  <c r="AM788" i="79"/>
  <c r="AM785" i="79"/>
  <c r="AM782" i="79"/>
  <c r="AM779" i="79"/>
  <c r="AM750" i="79"/>
  <c r="AM747" i="79"/>
  <c r="AM744" i="79"/>
  <c r="AM741" i="79"/>
  <c r="AM738" i="79"/>
  <c r="AM735" i="79"/>
  <c r="AM732" i="79"/>
  <c r="AM729" i="79"/>
  <c r="AM726" i="79"/>
  <c r="AM723" i="79"/>
  <c r="AM720" i="79"/>
  <c r="AM717" i="79"/>
  <c r="AM714" i="79"/>
  <c r="AM711" i="79"/>
  <c r="AM707" i="79"/>
  <c r="AM704" i="79"/>
  <c r="AM701" i="79"/>
  <c r="AM697" i="79"/>
  <c r="AM694" i="79"/>
  <c r="AM691" i="79"/>
  <c r="AM688" i="79"/>
  <c r="AM685" i="79"/>
  <c r="AM682" i="79"/>
  <c r="AM679"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21" i="79"/>
  <c r="AM518" i="79"/>
  <c r="AM514" i="79"/>
  <c r="AM511" i="79"/>
  <c r="AM508" i="79"/>
  <c r="AM505" i="79"/>
  <c r="AM502" i="79"/>
  <c r="AM499" i="79"/>
  <c r="AM496" i="79"/>
  <c r="AM493" i="79"/>
  <c r="AM489"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42" i="79"/>
  <c r="AK842" i="79"/>
  <c r="AJ842" i="79"/>
  <c r="AI842" i="79"/>
  <c r="AH842" i="79"/>
  <c r="AG842" i="79"/>
  <c r="AF842" i="79"/>
  <c r="AE842" i="79"/>
  <c r="AD842" i="79"/>
  <c r="AC842" i="79"/>
  <c r="AB842" i="79"/>
  <c r="AA842" i="79"/>
  <c r="Z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D1052" i="79"/>
  <c r="AC1052" i="79"/>
  <c r="AB1052" i="79"/>
  <c r="AA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22" i="79"/>
  <c r="AK822" i="79"/>
  <c r="AJ822" i="79"/>
  <c r="AI822" i="79"/>
  <c r="AH822" i="79"/>
  <c r="AG822" i="79"/>
  <c r="AF822" i="79"/>
  <c r="AE822" i="79"/>
  <c r="AD822" i="79"/>
  <c r="AC822" i="79"/>
  <c r="AB822" i="79"/>
  <c r="AA822" i="79"/>
  <c r="Z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8" i="79"/>
  <c r="AK708" i="79"/>
  <c r="AJ708" i="79"/>
  <c r="AI708" i="79"/>
  <c r="AH708" i="79"/>
  <c r="AG708" i="79"/>
  <c r="AF708" i="79"/>
  <c r="AE708" i="79"/>
  <c r="AD708" i="79"/>
  <c r="AC708" i="79"/>
  <c r="AB708" i="79"/>
  <c r="AA708" i="79"/>
  <c r="Z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L769" i="79" s="1"/>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P28" i="44" s="1"/>
  <c r="O51" i="43"/>
  <c r="AJ593" i="79" s="1"/>
  <c r="N51" i="43"/>
  <c r="M51" i="43"/>
  <c r="L51" i="43"/>
  <c r="AG218" i="79" s="1"/>
  <c r="K51" i="43"/>
  <c r="AF776" i="79" s="1"/>
  <c r="J51" i="43"/>
  <c r="I51" i="43"/>
  <c r="H51" i="43"/>
  <c r="AC148" i="46" s="1"/>
  <c r="G51" i="43"/>
  <c r="F51" i="43"/>
  <c r="E51" i="43"/>
  <c r="Z410" i="79" s="1"/>
  <c r="D51" i="43"/>
  <c r="D40" i="43"/>
  <c r="D41" i="43"/>
  <c r="D39" i="43"/>
  <c r="D29" i="43"/>
  <c r="E52" i="43" s="1"/>
  <c r="E29" i="44" s="1"/>
  <c r="E33" i="44" s="1"/>
  <c r="D30" i="43"/>
  <c r="D31" i="43"/>
  <c r="D32" i="43"/>
  <c r="H52" i="43" s="1"/>
  <c r="D33" i="43"/>
  <c r="D34" i="43"/>
  <c r="D35" i="43"/>
  <c r="D36" i="43"/>
  <c r="L52" i="43" s="1"/>
  <c r="AG411" i="79" s="1"/>
  <c r="D37" i="43"/>
  <c r="D38" i="43"/>
  <c r="AM959" i="79"/>
  <c r="AM776" i="79"/>
  <c r="AM593" i="79"/>
  <c r="AM410" i="79"/>
  <c r="AM218" i="79"/>
  <c r="AM35" i="79"/>
  <c r="AM406" i="46"/>
  <c r="AM277" i="46"/>
  <c r="AM148" i="46"/>
  <c r="AM20" i="46"/>
  <c r="G113" i="45"/>
  <c r="G114" i="45" s="1"/>
  <c r="P126" i="45" s="1"/>
  <c r="E113" i="45"/>
  <c r="B109" i="45"/>
  <c r="N113" i="45"/>
  <c r="N114" i="45"/>
  <c r="P133" i="45" s="1"/>
  <c r="M113" i="45"/>
  <c r="L113" i="45"/>
  <c r="K113" i="45"/>
  <c r="J113" i="45"/>
  <c r="I113" i="45"/>
  <c r="J114" i="45" s="1"/>
  <c r="P129" i="45" s="1"/>
  <c r="H113" i="45"/>
  <c r="F113" i="45"/>
  <c r="D113" i="45"/>
  <c r="E114" i="45"/>
  <c r="P124" i="45" s="1"/>
  <c r="F106" i="45"/>
  <c r="E106" i="45"/>
  <c r="B102" i="45"/>
  <c r="N106" i="45"/>
  <c r="M106" i="45"/>
  <c r="L106" i="45"/>
  <c r="L107" i="45" s="1"/>
  <c r="O131" i="45" s="1"/>
  <c r="K106" i="45"/>
  <c r="J106" i="45"/>
  <c r="I106" i="45"/>
  <c r="H106" i="45"/>
  <c r="G106" i="45"/>
  <c r="G107" i="45"/>
  <c r="O126" i="45" s="1"/>
  <c r="D106" i="45"/>
  <c r="E99" i="45"/>
  <c r="B95" i="45"/>
  <c r="N99" i="45"/>
  <c r="M99" i="45"/>
  <c r="L99" i="45"/>
  <c r="K99" i="45"/>
  <c r="L100" i="45" s="1"/>
  <c r="N131" i="45" s="1"/>
  <c r="J99" i="45"/>
  <c r="I99" i="45"/>
  <c r="H99" i="45"/>
  <c r="G99" i="45"/>
  <c r="F99" i="45"/>
  <c r="F100" i="45"/>
  <c r="N125" i="45" s="1"/>
  <c r="D99" i="45"/>
  <c r="E100" i="45" s="1"/>
  <c r="N124" i="45" s="1"/>
  <c r="E92" i="45"/>
  <c r="B88" i="45"/>
  <c r="N92" i="45"/>
  <c r="M92" i="45"/>
  <c r="L92" i="45"/>
  <c r="K92" i="45"/>
  <c r="J92" i="45"/>
  <c r="I92" i="45"/>
  <c r="J93" i="45" s="1"/>
  <c r="M129" i="45" s="1"/>
  <c r="H92" i="45"/>
  <c r="G92" i="45"/>
  <c r="G93" i="45" s="1"/>
  <c r="F92" i="45"/>
  <c r="F93" i="45" s="1"/>
  <c r="M125" i="45" s="1"/>
  <c r="D92" i="45"/>
  <c r="E93" i="45"/>
  <c r="M124" i="45" s="1"/>
  <c r="H143" i="47"/>
  <c r="H139" i="47"/>
  <c r="B81" i="45"/>
  <c r="N85" i="45"/>
  <c r="M85" i="45"/>
  <c r="L85" i="45"/>
  <c r="K85" i="45"/>
  <c r="J85" i="45"/>
  <c r="J86" i="45"/>
  <c r="L129" i="45" s="1"/>
  <c r="I85" i="45"/>
  <c r="H85" i="45"/>
  <c r="G85" i="45"/>
  <c r="H86" i="45" s="1"/>
  <c r="L127" i="45" s="1"/>
  <c r="F85" i="45"/>
  <c r="F86" i="45"/>
  <c r="L125" i="45"/>
  <c r="E85" i="45"/>
  <c r="D85" i="45"/>
  <c r="E78" i="45"/>
  <c r="E79" i="45"/>
  <c r="K124" i="45" s="1"/>
  <c r="F71" i="45"/>
  <c r="D78" i="45"/>
  <c r="B74" i="45"/>
  <c r="B67" i="45"/>
  <c r="N78" i="45"/>
  <c r="M78" i="45"/>
  <c r="N79" i="45" s="1"/>
  <c r="K133" i="45" s="1"/>
  <c r="L78" i="45"/>
  <c r="K78" i="45"/>
  <c r="J78" i="45"/>
  <c r="I78" i="45"/>
  <c r="J79" i="45" s="1"/>
  <c r="K129" i="45" s="1"/>
  <c r="H78" i="45"/>
  <c r="G78" i="45"/>
  <c r="F78" i="45"/>
  <c r="G79" i="45"/>
  <c r="K126" i="45" s="1"/>
  <c r="N71" i="45"/>
  <c r="M71" i="45"/>
  <c r="L71" i="45"/>
  <c r="K71" i="45"/>
  <c r="L72" i="45"/>
  <c r="J131" i="45" s="1"/>
  <c r="J71" i="45"/>
  <c r="I71" i="45"/>
  <c r="H71" i="45"/>
  <c r="I72" i="45" s="1"/>
  <c r="J128" i="45" s="1"/>
  <c r="G71" i="45"/>
  <c r="E71" i="45"/>
  <c r="D71" i="45"/>
  <c r="C28" i="44"/>
  <c r="C13" i="44"/>
  <c r="Q52" i="43"/>
  <c r="P123" i="45"/>
  <c r="P52" i="43"/>
  <c r="O123" i="45" s="1"/>
  <c r="O52" i="43"/>
  <c r="N52" i="43"/>
  <c r="N43" i="44" s="1"/>
  <c r="M52" i="43"/>
  <c r="AH411" i="79" s="1"/>
  <c r="M14" i="44"/>
  <c r="M18" i="44" s="1"/>
  <c r="K52" i="43"/>
  <c r="AF960" i="79" s="1"/>
  <c r="Q13" i="44"/>
  <c r="P42" i="44"/>
  <c r="O42" i="44"/>
  <c r="N42" i="44"/>
  <c r="L122" i="45"/>
  <c r="L28" i="44"/>
  <c r="K42" i="44"/>
  <c r="M123" i="45"/>
  <c r="Q14" i="44"/>
  <c r="Q43" i="44"/>
  <c r="AF219" i="79"/>
  <c r="AF594" i="79"/>
  <c r="AJ777" i="79"/>
  <c r="AJ960" i="79"/>
  <c r="K14" i="44"/>
  <c r="K18" i="44" s="1"/>
  <c r="O14" i="44"/>
  <c r="O29" i="44"/>
  <c r="O33" i="44" s="1"/>
  <c r="AI36" i="79"/>
  <c r="AI219" i="79"/>
  <c r="AI594" i="79"/>
  <c r="AI777" i="79"/>
  <c r="AI960" i="79"/>
  <c r="AL36" i="79"/>
  <c r="AL219" i="79"/>
  <c r="AL411" i="79"/>
  <c r="AL594" i="79"/>
  <c r="AL777" i="79"/>
  <c r="AH777" i="79"/>
  <c r="AL960" i="79"/>
  <c r="N29" i="44"/>
  <c r="N33" i="44"/>
  <c r="K43" i="44"/>
  <c r="K49" i="44" s="1"/>
  <c r="K53" i="44"/>
  <c r="AK36" i="79"/>
  <c r="AK195" i="79" s="1"/>
  <c r="AG36" i="79"/>
  <c r="AK219" i="79"/>
  <c r="AK411" i="79"/>
  <c r="AK594" i="79"/>
  <c r="AK777" i="79"/>
  <c r="AG777" i="79"/>
  <c r="AK960" i="79"/>
  <c r="AG593" i="79"/>
  <c r="L13" i="44"/>
  <c r="S14" i="47"/>
  <c r="AF35" i="79"/>
  <c r="AI410" i="79"/>
  <c r="AJ959" i="79"/>
  <c r="N28" i="44"/>
  <c r="AJ218" i="79"/>
  <c r="AG410" i="79"/>
  <c r="AJ776" i="79"/>
  <c r="AJ35" i="79"/>
  <c r="V14" i="47"/>
  <c r="AL593" i="79"/>
  <c r="AH593" i="79"/>
  <c r="N13" i="44"/>
  <c r="M122" i="45"/>
  <c r="Q42" i="44"/>
  <c r="R14" i="47"/>
  <c r="AI218" i="79"/>
  <c r="AL410" i="79"/>
  <c r="AH410" i="79"/>
  <c r="AI959" i="79"/>
  <c r="Q28" i="44"/>
  <c r="AI35" i="79"/>
  <c r="AL218" i="79"/>
  <c r="AH218" i="79"/>
  <c r="AF593" i="79"/>
  <c r="AI776" i="79"/>
  <c r="AL959" i="79"/>
  <c r="T14" i="47"/>
  <c r="P14" i="47"/>
  <c r="AL35" i="79"/>
  <c r="AK218" i="79"/>
  <c r="AJ410" i="79"/>
  <c r="AI593" i="79"/>
  <c r="AL776" i="79"/>
  <c r="AH776" i="79"/>
  <c r="K13" i="44"/>
  <c r="L123" i="45"/>
  <c r="J122" i="45"/>
  <c r="N14" i="44"/>
  <c r="M13" i="44"/>
  <c r="J123" i="45"/>
  <c r="P122" i="45"/>
  <c r="P14" i="44"/>
  <c r="P29" i="44"/>
  <c r="P33" i="44" s="1"/>
  <c r="P43" i="44"/>
  <c r="C102" i="45" s="1"/>
  <c r="L43" i="44"/>
  <c r="L53" i="44"/>
  <c r="O28" i="44"/>
  <c r="H130" i="47"/>
  <c r="H131" i="47"/>
  <c r="H129" i="47"/>
  <c r="P53" i="44"/>
  <c r="O53" i="44"/>
  <c r="M53" i="44"/>
  <c r="N53" i="44"/>
  <c r="M52" i="44"/>
  <c r="M51" i="44"/>
  <c r="N45" i="44"/>
  <c r="N51" i="44"/>
  <c r="N52" i="44"/>
  <c r="L51" i="44"/>
  <c r="L52" i="44"/>
  <c r="P51" i="44"/>
  <c r="P52" i="44"/>
  <c r="K51" i="44"/>
  <c r="K52" i="44"/>
  <c r="O51" i="44"/>
  <c r="O52" i="44"/>
  <c r="Q52" i="44"/>
  <c r="Q53" i="44"/>
  <c r="Q51" i="44"/>
  <c r="K44" i="44"/>
  <c r="K45" i="44"/>
  <c r="O45" i="44"/>
  <c r="O44" i="44"/>
  <c r="C74" i="45"/>
  <c r="L44" i="44"/>
  <c r="L45" i="44"/>
  <c r="M44" i="44"/>
  <c r="M45" i="44"/>
  <c r="N44" i="44"/>
  <c r="Q44" i="44"/>
  <c r="Q45" i="44"/>
  <c r="P45" i="44"/>
  <c r="P44" i="44"/>
  <c r="H85" i="47"/>
  <c r="H86" i="47"/>
  <c r="H82" i="47"/>
  <c r="H83" i="47"/>
  <c r="H84" i="47"/>
  <c r="H81" i="47"/>
  <c r="H79" i="47"/>
  <c r="H80" i="47"/>
  <c r="H76" i="47"/>
  <c r="H77" i="47"/>
  <c r="L64" i="45"/>
  <c r="M64" i="45"/>
  <c r="N64" i="45"/>
  <c r="L57" i="45"/>
  <c r="M57" i="45"/>
  <c r="N58" i="45" s="1"/>
  <c r="N57" i="45"/>
  <c r="L50" i="45"/>
  <c r="M50" i="45"/>
  <c r="N50" i="45"/>
  <c r="L43" i="45"/>
  <c r="M43" i="45"/>
  <c r="N43" i="45"/>
  <c r="N36" i="45"/>
  <c r="L36" i="45"/>
  <c r="M37" i="45" s="1"/>
  <c r="E132" i="45" s="1"/>
  <c r="M36" i="45"/>
  <c r="L29" i="45"/>
  <c r="M29" i="45"/>
  <c r="N30" i="45"/>
  <c r="D133" i="45" s="1"/>
  <c r="N29" i="45"/>
  <c r="L22" i="45"/>
  <c r="M22" i="45"/>
  <c r="N22" i="45"/>
  <c r="O1119" i="79"/>
  <c r="D1119" i="79"/>
  <c r="O936" i="79"/>
  <c r="D936" i="79"/>
  <c r="O753" i="79"/>
  <c r="D753" i="79"/>
  <c r="O570" i="79"/>
  <c r="D570" i="79"/>
  <c r="B60" i="45"/>
  <c r="B53" i="45"/>
  <c r="B46" i="45"/>
  <c r="B39" i="45"/>
  <c r="B32" i="45"/>
  <c r="B25" i="45"/>
  <c r="B18" i="45"/>
  <c r="J52" i="43"/>
  <c r="I52" i="43"/>
  <c r="G52" i="43"/>
  <c r="F52" i="43"/>
  <c r="D52" i="43"/>
  <c r="Y407" i="46" s="1"/>
  <c r="Y960" i="79"/>
  <c r="J28" i="44"/>
  <c r="I28" i="44"/>
  <c r="G28" i="44"/>
  <c r="F29" i="44"/>
  <c r="F33" i="44" s="1"/>
  <c r="G29" i="44"/>
  <c r="G33" i="44" s="1"/>
  <c r="Z277" i="46"/>
  <c r="E13" i="44"/>
  <c r="Z218" i="79"/>
  <c r="Z959" i="79"/>
  <c r="Z593" i="79"/>
  <c r="Z411" i="79"/>
  <c r="J13" i="44"/>
  <c r="AE959" i="79"/>
  <c r="AE410" i="79"/>
  <c r="AE776" i="79"/>
  <c r="AE593" i="79"/>
  <c r="AE218" i="79"/>
  <c r="AE35" i="79"/>
  <c r="J43" i="44"/>
  <c r="J53" i="44"/>
  <c r="J14" i="44"/>
  <c r="AE594" i="79"/>
  <c r="AE960" i="79"/>
  <c r="AE777" i="79"/>
  <c r="AE953" i="79" s="1"/>
  <c r="AE36" i="79"/>
  <c r="Y593" i="79"/>
  <c r="Y35" i="79"/>
  <c r="AC593" i="79"/>
  <c r="D14" i="44"/>
  <c r="Y411" i="79"/>
  <c r="Y594" i="79"/>
  <c r="Y36" i="79"/>
  <c r="AC777" i="79"/>
  <c r="AC936" i="79" s="1"/>
  <c r="AC219" i="79"/>
  <c r="AD148" i="46"/>
  <c r="I45" i="44"/>
  <c r="I13" i="44"/>
  <c r="AD593" i="79"/>
  <c r="AD959" i="79"/>
  <c r="AD776" i="79"/>
  <c r="AD35" i="79"/>
  <c r="AD594" i="79"/>
  <c r="F13" i="44"/>
  <c r="AA959" i="79"/>
  <c r="AA776" i="79"/>
  <c r="AA593" i="79"/>
  <c r="AA218" i="79"/>
  <c r="AA410" i="79"/>
  <c r="AA35" i="79"/>
  <c r="F43" i="44"/>
  <c r="F53" i="44"/>
  <c r="F14" i="44"/>
  <c r="AA411" i="79"/>
  <c r="AA777" i="79"/>
  <c r="AA219" i="79"/>
  <c r="AA960" i="79"/>
  <c r="AA594" i="79"/>
  <c r="AA36" i="79"/>
  <c r="G13" i="44"/>
  <c r="AB776" i="79"/>
  <c r="AB593" i="79"/>
  <c r="AB218" i="79"/>
  <c r="AB959" i="79"/>
  <c r="AB410" i="79"/>
  <c r="AB35" i="79"/>
  <c r="G14" i="44"/>
  <c r="AB960" i="79"/>
  <c r="AB777" i="79"/>
  <c r="AB594" i="79"/>
  <c r="AB219" i="79"/>
  <c r="AB411" i="79"/>
  <c r="AB36" i="79"/>
  <c r="AB148" i="46"/>
  <c r="I43" i="44"/>
  <c r="I53" i="44"/>
  <c r="E53" i="44"/>
  <c r="AE148" i="46"/>
  <c r="AA148" i="46"/>
  <c r="H53" i="44"/>
  <c r="C123" i="45"/>
  <c r="F123" i="45"/>
  <c r="AD277" i="46"/>
  <c r="Z148" i="46"/>
  <c r="D43" i="44"/>
  <c r="G43" i="44"/>
  <c r="G53" i="44"/>
  <c r="I123" i="45"/>
  <c r="E123" i="45"/>
  <c r="AB277" i="46"/>
  <c r="Y148" i="46"/>
  <c r="AE277" i="46"/>
  <c r="AA277" i="46"/>
  <c r="D53" i="44"/>
  <c r="G50" i="44"/>
  <c r="G52" i="44"/>
  <c r="G51" i="44"/>
  <c r="H51" i="44"/>
  <c r="H52" i="44"/>
  <c r="E52" i="44"/>
  <c r="E51" i="44"/>
  <c r="F52" i="44"/>
  <c r="F51" i="44"/>
  <c r="J52" i="44"/>
  <c r="J51" i="44"/>
  <c r="D52" i="44"/>
  <c r="D51" i="44"/>
  <c r="I52" i="44"/>
  <c r="I51" i="44"/>
  <c r="J45" i="44"/>
  <c r="J44" i="44"/>
  <c r="D45" i="44"/>
  <c r="G45" i="44"/>
  <c r="G44" i="44"/>
  <c r="H45" i="44"/>
  <c r="H44" i="44"/>
  <c r="E44" i="44"/>
  <c r="E45" i="44"/>
  <c r="F45" i="44"/>
  <c r="F44" i="44"/>
  <c r="I44" i="44"/>
  <c r="D122" i="45"/>
  <c r="E122" i="45"/>
  <c r="F122" i="45"/>
  <c r="H122" i="45"/>
  <c r="I122" i="45"/>
  <c r="O17" i="45"/>
  <c r="N17" i="45"/>
  <c r="M17" i="45"/>
  <c r="L17" i="45"/>
  <c r="L44" i="45" s="1"/>
  <c r="F131" i="45" s="1"/>
  <c r="M107" i="45"/>
  <c r="O132" i="45" s="1"/>
  <c r="L93" i="45"/>
  <c r="M131" i="45" s="1"/>
  <c r="L86" i="45"/>
  <c r="L131" i="45"/>
  <c r="L114" i="45"/>
  <c r="P131" i="45" s="1"/>
  <c r="L79" i="45"/>
  <c r="K131" i="45"/>
  <c r="N93" i="45"/>
  <c r="M133" i="45" s="1"/>
  <c r="N51" i="45"/>
  <c r="G133" i="45" s="1"/>
  <c r="N37" i="45"/>
  <c r="E133" i="45" s="1"/>
  <c r="H133" i="45"/>
  <c r="H100" i="47"/>
  <c r="H101" i="47"/>
  <c r="H99" i="47"/>
  <c r="H78" i="47"/>
  <c r="H75" i="47"/>
  <c r="H69" i="47"/>
  <c r="H66" i="47"/>
  <c r="H63" i="47"/>
  <c r="H71" i="47"/>
  <c r="H70" i="47"/>
  <c r="H68" i="47"/>
  <c r="H67" i="47"/>
  <c r="H65" i="47"/>
  <c r="H64" i="47"/>
  <c r="H62" i="47"/>
  <c r="H61" i="47"/>
  <c r="H45" i="47"/>
  <c r="H54" i="47"/>
  <c r="H51" i="47"/>
  <c r="M51" i="47" s="1"/>
  <c r="H48" i="47"/>
  <c r="H56" i="47"/>
  <c r="H55" i="47"/>
  <c r="H53" i="47"/>
  <c r="K53" i="47" s="1"/>
  <c r="H52" i="47"/>
  <c r="H50" i="47"/>
  <c r="H49" i="47"/>
  <c r="H47" i="47"/>
  <c r="I47" i="47" s="1"/>
  <c r="H46" i="47"/>
  <c r="H41" i="47"/>
  <c r="H40" i="47"/>
  <c r="K40" i="47" s="1"/>
  <c r="H39" i="47"/>
  <c r="L39" i="47" s="1"/>
  <c r="H38" i="47"/>
  <c r="H37" i="47"/>
  <c r="H36" i="47"/>
  <c r="H35" i="47"/>
  <c r="L35" i="47" s="1"/>
  <c r="H34" i="47"/>
  <c r="H33" i="47"/>
  <c r="H25" i="47"/>
  <c r="H26" i="47"/>
  <c r="K26" i="47" s="1"/>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J16" i="47" s="1"/>
  <c r="H17" i="47"/>
  <c r="H15" i="47"/>
  <c r="K17" i="45"/>
  <c r="I17" i="45"/>
  <c r="E17" i="45"/>
  <c r="E86" i="45" s="1"/>
  <c r="L124" i="45" s="1"/>
  <c r="E72" i="45"/>
  <c r="J124" i="45" s="1"/>
  <c r="G100" i="45"/>
  <c r="N126" i="45"/>
  <c r="M126" i="45"/>
  <c r="H93" i="45"/>
  <c r="M127" i="45" s="1"/>
  <c r="H79" i="45"/>
  <c r="H100" i="45"/>
  <c r="F107" i="45"/>
  <c r="O125" i="45" s="1"/>
  <c r="F72" i="45"/>
  <c r="J125" i="45"/>
  <c r="F114" i="45"/>
  <c r="P125" i="45" s="1"/>
  <c r="J72" i="45"/>
  <c r="J129" i="45"/>
  <c r="K72" i="45"/>
  <c r="J130" i="45" s="1"/>
  <c r="K107" i="45"/>
  <c r="O130" i="45" s="1"/>
  <c r="W14" i="47"/>
  <c r="J14" i="47"/>
  <c r="K14" i="47"/>
  <c r="L14" i="47"/>
  <c r="M14" i="47"/>
  <c r="N14" i="47"/>
  <c r="O14" i="47"/>
  <c r="C60" i="45"/>
  <c r="C39" i="45"/>
  <c r="C32" i="45"/>
  <c r="E42" i="44"/>
  <c r="F42" i="44"/>
  <c r="G42" i="44"/>
  <c r="I42" i="44"/>
  <c r="J42" i="44"/>
  <c r="N127" i="45"/>
  <c r="K127" i="45"/>
  <c r="K17" i="47"/>
  <c r="K37" i="47"/>
  <c r="K20" i="47"/>
  <c r="K24" i="47"/>
  <c r="K15" i="47"/>
  <c r="K22" i="47"/>
  <c r="K19" i="47"/>
  <c r="K55" i="47"/>
  <c r="K31" i="47"/>
  <c r="K56" i="47"/>
  <c r="K33" i="47"/>
  <c r="J21" i="47"/>
  <c r="J23" i="47"/>
  <c r="J24" i="47"/>
  <c r="J22" i="47"/>
  <c r="J15" i="47"/>
  <c r="J19" i="47"/>
  <c r="J20" i="47"/>
  <c r="J26" i="47"/>
  <c r="J17" i="47"/>
  <c r="K50" i="47"/>
  <c r="K51" i="47"/>
  <c r="K38" i="47"/>
  <c r="K41" i="47"/>
  <c r="M22" i="47"/>
  <c r="M17" i="47"/>
  <c r="M31" i="47"/>
  <c r="M34" i="47"/>
  <c r="M33" i="47"/>
  <c r="M20" i="47"/>
  <c r="M37" i="47"/>
  <c r="M38" i="47"/>
  <c r="M15" i="47"/>
  <c r="M19" i="47"/>
  <c r="M41" i="47"/>
  <c r="M24" i="47"/>
  <c r="M32" i="47"/>
  <c r="M40" i="47"/>
  <c r="M45" i="47"/>
  <c r="M46" i="47"/>
  <c r="M49" i="47"/>
  <c r="M56" i="47"/>
  <c r="M50" i="47"/>
  <c r="M48" i="47"/>
  <c r="M54" i="47"/>
  <c r="M52" i="47"/>
  <c r="N19" i="47"/>
  <c r="N38" i="47"/>
  <c r="N39" i="47"/>
  <c r="N37" i="47"/>
  <c r="N41" i="47"/>
  <c r="N24" i="47"/>
  <c r="N33" i="47"/>
  <c r="N36" i="47"/>
  <c r="N31" i="47"/>
  <c r="N22" i="47"/>
  <c r="N20" i="47"/>
  <c r="N32" i="47"/>
  <c r="N40" i="47"/>
  <c r="N34" i="47"/>
  <c r="N15" i="47"/>
  <c r="N17" i="47"/>
  <c r="N54" i="47"/>
  <c r="N45" i="47"/>
  <c r="N49" i="47"/>
  <c r="N48" i="47"/>
  <c r="N50" i="47"/>
  <c r="N56" i="47"/>
  <c r="N46" i="47"/>
  <c r="N52" i="47"/>
  <c r="K46" i="47"/>
  <c r="K54" i="47"/>
  <c r="K34" i="47"/>
  <c r="K32" i="47"/>
  <c r="K45" i="47"/>
  <c r="O22" i="47"/>
  <c r="O45" i="47"/>
  <c r="O40" i="47"/>
  <c r="O50" i="47"/>
  <c r="O33" i="47"/>
  <c r="O47" i="47"/>
  <c r="O46" i="47"/>
  <c r="O52" i="47"/>
  <c r="O26" i="47"/>
  <c r="O56" i="47"/>
  <c r="O23" i="47"/>
  <c r="O25" i="47"/>
  <c r="O37" i="47"/>
  <c r="O34" i="47"/>
  <c r="O19" i="47"/>
  <c r="O41" i="47"/>
  <c r="O49" i="47"/>
  <c r="O32" i="47"/>
  <c r="O24" i="47"/>
  <c r="O31" i="47"/>
  <c r="O15" i="47"/>
  <c r="O51" i="47"/>
  <c r="O38" i="47"/>
  <c r="O36" i="47"/>
  <c r="O48" i="47"/>
  <c r="O17" i="47"/>
  <c r="O20" i="47"/>
  <c r="O54" i="47"/>
  <c r="O30" i="47"/>
  <c r="O21" i="47"/>
  <c r="L15" i="47"/>
  <c r="L27" i="47" s="1"/>
  <c r="L29" i="47" s="1"/>
  <c r="L42" i="47" s="1"/>
  <c r="L44" i="47" s="1"/>
  <c r="L18" i="47"/>
  <c r="L25" i="47"/>
  <c r="L36" i="47"/>
  <c r="L23" i="47"/>
  <c r="L22" i="47"/>
  <c r="L32" i="47"/>
  <c r="L26" i="47"/>
  <c r="L38" i="47"/>
  <c r="L16" i="47"/>
  <c r="L19" i="47"/>
  <c r="L33" i="47"/>
  <c r="L37" i="47"/>
  <c r="L21" i="47"/>
  <c r="L30" i="47"/>
  <c r="L24" i="47"/>
  <c r="L34" i="47"/>
  <c r="L17" i="47"/>
  <c r="L41" i="47"/>
  <c r="L40" i="47"/>
  <c r="L20" i="47"/>
  <c r="L31" i="47"/>
  <c r="L54" i="47"/>
  <c r="L48" i="47"/>
  <c r="L46" i="47"/>
  <c r="L47" i="47"/>
  <c r="L56" i="47"/>
  <c r="L49" i="47"/>
  <c r="L50" i="47"/>
  <c r="L52" i="47"/>
  <c r="L55" i="47"/>
  <c r="L45" i="47"/>
  <c r="K52" i="47"/>
  <c r="K49" i="47"/>
  <c r="K48" i="47"/>
  <c r="K30" i="47"/>
  <c r="J37" i="47"/>
  <c r="J54" i="47"/>
  <c r="J33" i="47"/>
  <c r="J56" i="47"/>
  <c r="J48" i="47"/>
  <c r="J45" i="47"/>
  <c r="J49" i="47"/>
  <c r="J34" i="47"/>
  <c r="J38" i="47"/>
  <c r="J31" i="47"/>
  <c r="I39" i="47"/>
  <c r="I32" i="47"/>
  <c r="I33" i="47"/>
  <c r="I23" i="47"/>
  <c r="I24" i="47"/>
  <c r="I30" i="47"/>
  <c r="I38" i="47"/>
  <c r="I21" i="47"/>
  <c r="I19" i="47"/>
  <c r="I36" i="47"/>
  <c r="I37" i="47"/>
  <c r="I25" i="47"/>
  <c r="I31" i="47"/>
  <c r="I41" i="47"/>
  <c r="I35" i="47"/>
  <c r="I22" i="47"/>
  <c r="I20" i="47"/>
  <c r="I34" i="47"/>
  <c r="I26" i="47"/>
  <c r="I15" i="47"/>
  <c r="I40" i="47"/>
  <c r="I18" i="47"/>
  <c r="I17" i="47"/>
  <c r="I54" i="47"/>
  <c r="I56" i="47"/>
  <c r="I51" i="47"/>
  <c r="I45" i="47"/>
  <c r="I55" i="47"/>
  <c r="I49" i="47"/>
  <c r="I48" i="47"/>
  <c r="I46" i="47"/>
  <c r="I52" i="47"/>
  <c r="I50" i="47"/>
  <c r="J30" i="47"/>
  <c r="J55" i="47"/>
  <c r="J46" i="47"/>
  <c r="J32" i="47"/>
  <c r="J50" i="47"/>
  <c r="J36" i="47"/>
  <c r="J35" i="47"/>
  <c r="J40" i="47"/>
  <c r="J41" i="47"/>
  <c r="J47" i="47"/>
  <c r="J52" i="47"/>
  <c r="AA1119" i="79"/>
  <c r="AI1119" i="79"/>
  <c r="K86" i="45"/>
  <c r="L130" i="45" s="1"/>
  <c r="K114" i="45"/>
  <c r="P130" i="45" s="1"/>
  <c r="H107" i="45"/>
  <c r="O127" i="45"/>
  <c r="G86" i="45"/>
  <c r="L126" i="45" s="1"/>
  <c r="N100" i="45"/>
  <c r="N133" i="45" s="1"/>
  <c r="L58" i="45"/>
  <c r="H131" i="45" s="1"/>
  <c r="F79" i="45"/>
  <c r="K125" i="45"/>
  <c r="O18" i="44"/>
  <c r="K47" i="44"/>
  <c r="K46" i="44"/>
  <c r="C109" i="45"/>
  <c r="AK127" i="46"/>
  <c r="C18" i="45"/>
  <c r="Y149" i="46"/>
  <c r="D29" i="44"/>
  <c r="Y21" i="46"/>
  <c r="Y127" i="46" s="1"/>
  <c r="Y278" i="46"/>
  <c r="Y219" i="79"/>
  <c r="Y387" i="79" s="1"/>
  <c r="C55" i="87" s="1"/>
  <c r="Y777" i="79"/>
  <c r="F48" i="79"/>
  <c r="G48" i="79" s="1"/>
  <c r="H48" i="79" s="1"/>
  <c r="I48" i="79" s="1"/>
  <c r="J48" i="79" s="1"/>
  <c r="K48" i="79" s="1"/>
  <c r="L48" i="79" s="1"/>
  <c r="M48" i="79" s="1"/>
  <c r="L65" i="45"/>
  <c r="I131" i="45" s="1"/>
  <c r="AD21" i="46" l="1"/>
  <c r="AD127" i="46" s="1"/>
  <c r="AD149" i="46"/>
  <c r="AD255" i="46" s="1"/>
  <c r="AD407" i="46"/>
  <c r="AD278" i="46"/>
  <c r="AD960" i="79"/>
  <c r="AD1119" i="79" s="1"/>
  <c r="AD36" i="79"/>
  <c r="AD777" i="79"/>
  <c r="AD936" i="79" s="1"/>
  <c r="AD219" i="79"/>
  <c r="AD387" i="79" s="1"/>
  <c r="H55" i="87" s="1"/>
  <c r="I93" i="45"/>
  <c r="M128" i="45" s="1"/>
  <c r="I100" i="45"/>
  <c r="N128" i="45" s="1"/>
  <c r="I107" i="45"/>
  <c r="O128" i="45" s="1"/>
  <c r="J51" i="47"/>
  <c r="I16" i="47"/>
  <c r="I27" i="47" s="1"/>
  <c r="I29" i="47" s="1"/>
  <c r="I42" i="47" s="1"/>
  <c r="I44" i="47" s="1"/>
  <c r="I57" i="47" s="1"/>
  <c r="I59" i="47" s="1"/>
  <c r="J39" i="47"/>
  <c r="L53" i="47"/>
  <c r="N51" i="47"/>
  <c r="M53" i="47"/>
  <c r="M26" i="47"/>
  <c r="I79" i="45"/>
  <c r="K128" i="45" s="1"/>
  <c r="I86" i="45"/>
  <c r="L128" i="45" s="1"/>
  <c r="H114" i="45"/>
  <c r="P127" i="45" s="1"/>
  <c r="M79" i="45"/>
  <c r="K132" i="45" s="1"/>
  <c r="H123" i="45"/>
  <c r="I29" i="44"/>
  <c r="I33" i="44" s="1"/>
  <c r="I50" i="44" s="1"/>
  <c r="M23" i="45"/>
  <c r="C132" i="45" s="1"/>
  <c r="AJ1119" i="79"/>
  <c r="AJ21" i="46"/>
  <c r="AJ127" i="46" s="1"/>
  <c r="AJ149" i="46"/>
  <c r="AJ407" i="46"/>
  <c r="AJ513" i="46" s="1"/>
  <c r="AJ278" i="46"/>
  <c r="AJ36" i="79"/>
  <c r="O43" i="44"/>
  <c r="AJ219" i="79"/>
  <c r="AJ401" i="79" s="1"/>
  <c r="N123" i="45"/>
  <c r="AJ594" i="79"/>
  <c r="AJ770" i="79" s="1"/>
  <c r="H72" i="45"/>
  <c r="J127" i="45" s="1"/>
  <c r="G72" i="45"/>
  <c r="J126" i="45" s="1"/>
  <c r="K100" i="45"/>
  <c r="N130" i="45" s="1"/>
  <c r="J100" i="45"/>
  <c r="N129" i="45" s="1"/>
  <c r="K31" i="84"/>
  <c r="O31" i="84"/>
  <c r="J31" i="84"/>
  <c r="N31" i="84"/>
  <c r="I31" i="84"/>
  <c r="L31" i="84"/>
  <c r="M31" i="84"/>
  <c r="I114" i="45"/>
  <c r="P128" i="45" s="1"/>
  <c r="M65" i="45"/>
  <c r="I132" i="45" s="1"/>
  <c r="M114" i="45"/>
  <c r="P132" i="45" s="1"/>
  <c r="Z407" i="46"/>
  <c r="Z21" i="46"/>
  <c r="Z149" i="46"/>
  <c r="Z278" i="46"/>
  <c r="Z219" i="79"/>
  <c r="Z36" i="79"/>
  <c r="E14" i="44"/>
  <c r="Z960" i="79"/>
  <c r="D123" i="45"/>
  <c r="Z777" i="79"/>
  <c r="E43" i="44"/>
  <c r="C25" i="45" s="1"/>
  <c r="AG277" i="46"/>
  <c r="Q14" i="84"/>
  <c r="AG406" i="46"/>
  <c r="AG20" i="46"/>
  <c r="K122" i="45"/>
  <c r="AG35" i="79"/>
  <c r="AG148" i="46"/>
  <c r="Q14" i="47"/>
  <c r="AG776" i="79"/>
  <c r="AG959" i="79"/>
  <c r="L42" i="44"/>
  <c r="K48" i="44"/>
  <c r="C67" i="45"/>
  <c r="K16" i="47"/>
  <c r="K27" i="47" s="1"/>
  <c r="K29" i="47" s="1"/>
  <c r="K42" i="47" s="1"/>
  <c r="K44" i="47" s="1"/>
  <c r="K57" i="47" s="1"/>
  <c r="K59" i="47" s="1"/>
  <c r="M16" i="47"/>
  <c r="M27" i="47" s="1"/>
  <c r="M29" i="47" s="1"/>
  <c r="M42" i="47" s="1"/>
  <c r="M44" i="47" s="1"/>
  <c r="M57" i="47" s="1"/>
  <c r="M59" i="47" s="1"/>
  <c r="O16" i="47"/>
  <c r="O27" i="47" s="1"/>
  <c r="O29" i="47" s="1"/>
  <c r="O42" i="47" s="1"/>
  <c r="O44" i="47" s="1"/>
  <c r="N16" i="47"/>
  <c r="M21" i="47"/>
  <c r="N21" i="47"/>
  <c r="N35" i="47"/>
  <c r="O35" i="47"/>
  <c r="K35" i="47"/>
  <c r="M39" i="47"/>
  <c r="K39" i="47"/>
  <c r="K47" i="47"/>
  <c r="M47" i="47"/>
  <c r="N53" i="47"/>
  <c r="O53" i="47"/>
  <c r="AD411" i="79"/>
  <c r="AH21" i="46"/>
  <c r="AH127" i="46" s="1"/>
  <c r="AH407" i="46"/>
  <c r="AH278" i="46"/>
  <c r="M43" i="44"/>
  <c r="AH219" i="79"/>
  <c r="AH594" i="79"/>
  <c r="AH753" i="79" s="1"/>
  <c r="AH960" i="79"/>
  <c r="AH149" i="46"/>
  <c r="AH255" i="46" s="1"/>
  <c r="AH36" i="79"/>
  <c r="M29" i="44"/>
  <c r="M33" i="44" s="1"/>
  <c r="Y406" i="46"/>
  <c r="Y20" i="46"/>
  <c r="Y128" i="46" s="1"/>
  <c r="I14" i="84"/>
  <c r="Y776" i="79"/>
  <c r="Y410" i="79"/>
  <c r="Y754" i="79" s="1"/>
  <c r="Y277" i="46"/>
  <c r="Y959" i="79"/>
  <c r="Y218" i="79"/>
  <c r="C122" i="45"/>
  <c r="AL390" i="79" s="1"/>
  <c r="D42" i="44"/>
  <c r="AB571" i="79" s="1"/>
  <c r="F82" i="87" s="1"/>
  <c r="AC406" i="46"/>
  <c r="M14" i="84"/>
  <c r="H28" i="44"/>
  <c r="AC776" i="79"/>
  <c r="AC1120" i="79" s="1"/>
  <c r="AC1134" i="79" s="1"/>
  <c r="H81" i="43" s="1"/>
  <c r="AC218" i="79"/>
  <c r="AC959" i="79"/>
  <c r="AC277" i="46"/>
  <c r="G122" i="45"/>
  <c r="AK516" i="46" s="1"/>
  <c r="H42" i="44"/>
  <c r="H13" i="44"/>
  <c r="AC35" i="79"/>
  <c r="AC1122" i="79" s="1"/>
  <c r="AK277" i="46"/>
  <c r="AK385" i="46" s="1"/>
  <c r="AK406" i="46"/>
  <c r="U14" i="84"/>
  <c r="AK20" i="46"/>
  <c r="AK148" i="46"/>
  <c r="AK256" i="46" s="1"/>
  <c r="P13" i="44"/>
  <c r="AK776" i="79"/>
  <c r="AK35" i="79"/>
  <c r="AK959" i="79"/>
  <c r="U14" i="47"/>
  <c r="O122" i="45"/>
  <c r="C53" i="45"/>
  <c r="AD756" i="79"/>
  <c r="M30" i="45"/>
  <c r="D132" i="45" s="1"/>
  <c r="J53" i="47"/>
  <c r="I53" i="47"/>
  <c r="L51" i="47"/>
  <c r="L57" i="47" s="1"/>
  <c r="L59" i="47" s="1"/>
  <c r="O39" i="47"/>
  <c r="N47" i="47"/>
  <c r="N26" i="47"/>
  <c r="M35" i="47"/>
  <c r="K21" i="47"/>
  <c r="I14" i="47"/>
  <c r="H130" i="45"/>
  <c r="AD573" i="79" s="1"/>
  <c r="H84" i="87" s="1"/>
  <c r="K93" i="45"/>
  <c r="M130" i="45" s="1"/>
  <c r="M30" i="47"/>
  <c r="N30" i="47"/>
  <c r="J18" i="47"/>
  <c r="J27" i="47" s="1"/>
  <c r="J29" i="47" s="1"/>
  <c r="J42" i="47" s="1"/>
  <c r="J44" i="47" s="1"/>
  <c r="J57" i="47" s="1"/>
  <c r="J59" i="47" s="1"/>
  <c r="O18" i="47"/>
  <c r="K18" i="47"/>
  <c r="M18" i="47"/>
  <c r="N18" i="47"/>
  <c r="N23" i="47"/>
  <c r="K23" i="47"/>
  <c r="M23" i="47"/>
  <c r="K25" i="47"/>
  <c r="J25" i="47"/>
  <c r="M25" i="47"/>
  <c r="N25" i="47"/>
  <c r="K36" i="47"/>
  <c r="M36" i="47"/>
  <c r="M55" i="47"/>
  <c r="N55" i="47"/>
  <c r="O55" i="47"/>
  <c r="M93" i="45"/>
  <c r="M132" i="45" s="1"/>
  <c r="N72" i="45"/>
  <c r="J133" i="45" s="1"/>
  <c r="N65" i="45"/>
  <c r="I133" i="45" s="1"/>
  <c r="N44" i="45"/>
  <c r="F133" i="45" s="1"/>
  <c r="AB1122" i="79" s="1"/>
  <c r="I14" i="44"/>
  <c r="AC410" i="79"/>
  <c r="D13" i="44"/>
  <c r="Z594" i="79"/>
  <c r="Z753" i="79" s="1"/>
  <c r="N23" i="45"/>
  <c r="C133" i="45" s="1"/>
  <c r="Y1122" i="79" s="1"/>
  <c r="M44" i="45"/>
  <c r="F132" i="45" s="1"/>
  <c r="M58" i="45"/>
  <c r="H132" i="45" s="1"/>
  <c r="L50" i="44"/>
  <c r="P18" i="44"/>
  <c r="N47" i="44"/>
  <c r="N18" i="44"/>
  <c r="N46" i="44" s="1"/>
  <c r="AK593" i="79"/>
  <c r="AK410" i="79"/>
  <c r="AJ411" i="79"/>
  <c r="AJ570" i="79" s="1"/>
  <c r="Q18" i="44"/>
  <c r="M72" i="45"/>
  <c r="J132" i="45" s="1"/>
  <c r="N86" i="45"/>
  <c r="L133" i="45" s="1"/>
  <c r="M86" i="45"/>
  <c r="L132" i="45" s="1"/>
  <c r="M100" i="45"/>
  <c r="N132" i="45" s="1"/>
  <c r="AC278" i="46"/>
  <c r="AC149" i="46"/>
  <c r="AC407" i="46"/>
  <c r="AC21" i="46"/>
  <c r="AC127" i="46" s="1"/>
  <c r="AC594" i="79"/>
  <c r="AC753" i="79" s="1"/>
  <c r="AC764" i="79" s="1"/>
  <c r="AC36" i="79"/>
  <c r="AC195" i="79" s="1"/>
  <c r="G31" i="87" s="1"/>
  <c r="H29" i="44"/>
  <c r="H33" i="44" s="1"/>
  <c r="H14" i="44"/>
  <c r="AC411" i="79"/>
  <c r="AC587" i="79" s="1"/>
  <c r="G123" i="45"/>
  <c r="AC960" i="79"/>
  <c r="H43" i="44"/>
  <c r="AC20" i="46"/>
  <c r="AC128" i="46" s="1"/>
  <c r="AE937" i="79"/>
  <c r="AB769" i="79"/>
  <c r="AA769" i="79"/>
  <c r="F50" i="44"/>
  <c r="AA278" i="46"/>
  <c r="AA149" i="46"/>
  <c r="AA407" i="46"/>
  <c r="AA21" i="46"/>
  <c r="AE149" i="46"/>
  <c r="AE255" i="46" s="1"/>
  <c r="AE407" i="46"/>
  <c r="AE21" i="46"/>
  <c r="AE278" i="46"/>
  <c r="J29" i="44"/>
  <c r="J33" i="44" s="1"/>
  <c r="AE411" i="79"/>
  <c r="AE219" i="79"/>
  <c r="P50" i="44"/>
  <c r="L14" i="44"/>
  <c r="AI753" i="79"/>
  <c r="AL278" i="46"/>
  <c r="AL21" i="46"/>
  <c r="AL127" i="46" s="1"/>
  <c r="AL149" i="46"/>
  <c r="AL407" i="46"/>
  <c r="Q29" i="44"/>
  <c r="K35" i="84"/>
  <c r="O35" i="84"/>
  <c r="J35" i="84"/>
  <c r="N35" i="84"/>
  <c r="I35" i="84"/>
  <c r="L35" i="84"/>
  <c r="M35" i="84"/>
  <c r="AD128" i="46"/>
  <c r="L51" i="45"/>
  <c r="G131" i="45" s="1"/>
  <c r="AC756" i="79" s="1"/>
  <c r="M51" i="45"/>
  <c r="G132" i="45" s="1"/>
  <c r="AF21" i="46"/>
  <c r="AF139" i="46" s="1"/>
  <c r="AF149" i="46"/>
  <c r="AF278" i="46"/>
  <c r="K29" i="44"/>
  <c r="K33" i="44" s="1"/>
  <c r="AF36" i="79"/>
  <c r="AF208" i="79" s="1"/>
  <c r="AF411" i="79"/>
  <c r="AF777" i="79"/>
  <c r="AF407" i="46"/>
  <c r="C88" i="45"/>
  <c r="N49" i="44"/>
  <c r="N50" i="44"/>
  <c r="AG149" i="46"/>
  <c r="AG407" i="46"/>
  <c r="AG513" i="46" s="1"/>
  <c r="AG278" i="46"/>
  <c r="AG21" i="46"/>
  <c r="L29" i="44"/>
  <c r="L33" i="44" s="1"/>
  <c r="AG219" i="79"/>
  <c r="AG404" i="79" s="1"/>
  <c r="AG594" i="79"/>
  <c r="AG960" i="79"/>
  <c r="K123" i="45"/>
  <c r="Z406" i="46"/>
  <c r="Z20" i="46"/>
  <c r="Z128" i="46" s="1"/>
  <c r="Z132" i="46" s="1"/>
  <c r="J14" i="84"/>
  <c r="Z776" i="79"/>
  <c r="Z35" i="79"/>
  <c r="Z198" i="79" s="1"/>
  <c r="D35" i="87" s="1"/>
  <c r="AD406" i="46"/>
  <c r="AD20" i="46"/>
  <c r="N14" i="84"/>
  <c r="AD410" i="79"/>
  <c r="AD218" i="79"/>
  <c r="AH406" i="46"/>
  <c r="AH148" i="46"/>
  <c r="AH277" i="46"/>
  <c r="AH385" i="46" s="1"/>
  <c r="R14" i="84"/>
  <c r="AH20" i="46"/>
  <c r="M28" i="44"/>
  <c r="M42" i="44"/>
  <c r="AH959" i="79"/>
  <c r="AH35" i="79"/>
  <c r="I51" i="84"/>
  <c r="L51" i="84"/>
  <c r="N51" i="84"/>
  <c r="J51" i="84"/>
  <c r="M51" i="84"/>
  <c r="O51" i="84"/>
  <c r="K51" i="84"/>
  <c r="AJ406" i="46"/>
  <c r="AF195" i="79"/>
  <c r="R5" i="86"/>
  <c r="P5" i="86"/>
  <c r="Q5" i="86"/>
  <c r="AB21" i="46"/>
  <c r="AB278" i="46"/>
  <c r="AB407" i="46"/>
  <c r="AB149" i="46"/>
  <c r="AB255" i="46" s="1"/>
  <c r="K28" i="44"/>
  <c r="O13" i="44"/>
  <c r="N122" i="45"/>
  <c r="AF410" i="79"/>
  <c r="AF754" i="79" s="1"/>
  <c r="AF218" i="79"/>
  <c r="AF959" i="79"/>
  <c r="AI411" i="79"/>
  <c r="AI570" i="79" s="1"/>
  <c r="E107" i="45"/>
  <c r="O124" i="45" s="1"/>
  <c r="N107" i="45"/>
  <c r="O133" i="45" s="1"/>
  <c r="I18" i="84"/>
  <c r="O18" i="84"/>
  <c r="L18" i="84"/>
  <c r="N18" i="84"/>
  <c r="N27" i="84" s="1"/>
  <c r="N29" i="84" s="1"/>
  <c r="N42" i="84" s="1"/>
  <c r="N44" i="84" s="1"/>
  <c r="N57" i="84" s="1"/>
  <c r="N59" i="84" s="1"/>
  <c r="J22" i="84"/>
  <c r="M22" i="84"/>
  <c r="L22" i="84"/>
  <c r="O22" i="84"/>
  <c r="L48" i="84"/>
  <c r="N48" i="84"/>
  <c r="J48" i="84"/>
  <c r="I48" i="84"/>
  <c r="O48" i="84"/>
  <c r="AI278" i="46"/>
  <c r="AI384" i="46" s="1"/>
  <c r="AI21" i="46"/>
  <c r="AI149" i="46"/>
  <c r="AK149" i="46"/>
  <c r="AK407" i="46"/>
  <c r="AK278" i="46"/>
  <c r="J107" i="45"/>
  <c r="O129" i="45" s="1"/>
  <c r="AB20" i="46"/>
  <c r="AB128" i="46" s="1"/>
  <c r="AB406" i="46"/>
  <c r="L14" i="84"/>
  <c r="AF20" i="46"/>
  <c r="AF277" i="46"/>
  <c r="AF148" i="46"/>
  <c r="AF256" i="46" s="1"/>
  <c r="AF406" i="46"/>
  <c r="P14" i="84"/>
  <c r="AJ277" i="46"/>
  <c r="AJ20" i="46"/>
  <c r="AJ128" i="46" s="1"/>
  <c r="AJ148" i="46"/>
  <c r="T14" i="84"/>
  <c r="K18" i="84"/>
  <c r="M18" i="84"/>
  <c r="M27" i="84" s="1"/>
  <c r="M29" i="84" s="1"/>
  <c r="M42" i="84" s="1"/>
  <c r="M44" i="84" s="1"/>
  <c r="M57" i="84" s="1"/>
  <c r="M59" i="84" s="1"/>
  <c r="N114" i="85"/>
  <c r="C136" i="85" s="1"/>
  <c r="AA406" i="46"/>
  <c r="AA20" i="46"/>
  <c r="AA128" i="46" s="1"/>
  <c r="AE406" i="46"/>
  <c r="AE20" i="46"/>
  <c r="AE128" i="46" s="1"/>
  <c r="AI148" i="46"/>
  <c r="AI406" i="46"/>
  <c r="AH387" i="79"/>
  <c r="AF770" i="79"/>
  <c r="Z769" i="79"/>
  <c r="AH770" i="79"/>
  <c r="Z953" i="79"/>
  <c r="AH1119" i="79"/>
  <c r="AG1119" i="79"/>
  <c r="L38" i="84"/>
  <c r="O56" i="84"/>
  <c r="O47" i="84"/>
  <c r="O24" i="84"/>
  <c r="K21" i="84"/>
  <c r="K17" i="84"/>
  <c r="K27" i="84" s="1"/>
  <c r="K29" i="84" s="1"/>
  <c r="I21" i="84"/>
  <c r="J17" i="84"/>
  <c r="J27" i="84" s="1"/>
  <c r="J29" i="84" s="1"/>
  <c r="J42" i="84" s="1"/>
  <c r="J44" i="84" s="1"/>
  <c r="J57" i="84" s="1"/>
  <c r="J59" i="84" s="1"/>
  <c r="J32" i="84"/>
  <c r="O32" i="84"/>
  <c r="K33" i="84"/>
  <c r="J36" i="84"/>
  <c r="O37" i="84"/>
  <c r="J37" i="84"/>
  <c r="N37" i="84"/>
  <c r="M38" i="84"/>
  <c r="O41" i="84"/>
  <c r="J41" i="84"/>
  <c r="K41" i="84"/>
  <c r="I55" i="84"/>
  <c r="L55" i="84"/>
  <c r="AI127" i="46"/>
  <c r="D136" i="85"/>
  <c r="F78" i="85"/>
  <c r="F16" i="86"/>
  <c r="G14" i="86" s="1"/>
  <c r="Y769" i="79"/>
  <c r="Y1119" i="79"/>
  <c r="AE753" i="79"/>
  <c r="K32" i="84"/>
  <c r="K36" i="84"/>
  <c r="N38" i="84"/>
  <c r="N40" i="84"/>
  <c r="I40" i="84"/>
  <c r="O40" i="84"/>
  <c r="J40" i="84"/>
  <c r="AI277" i="46"/>
  <c r="H58" i="79"/>
  <c r="I58" i="79" s="1"/>
  <c r="J58" i="79" s="1"/>
  <c r="K58" i="79" s="1"/>
  <c r="L58" i="79" s="1"/>
  <c r="M58" i="79" s="1"/>
  <c r="E28" i="85"/>
  <c r="F28" i="85" s="1"/>
  <c r="G28" i="85" s="1"/>
  <c r="H28" i="85" s="1"/>
  <c r="I28" i="85" s="1"/>
  <c r="J28" i="85" s="1"/>
  <c r="K28" i="85" s="1"/>
  <c r="L28" i="85" s="1"/>
  <c r="M28" i="85" s="1"/>
  <c r="B48" i="85" s="1"/>
  <c r="N27" i="85"/>
  <c r="B67" i="85" s="1"/>
  <c r="N47" i="85"/>
  <c r="C67" i="85" s="1"/>
  <c r="D67" i="85" s="1"/>
  <c r="N83" i="85"/>
  <c r="AL148" i="46"/>
  <c r="AL406" i="46"/>
  <c r="Z130" i="46"/>
  <c r="V14" i="84"/>
  <c r="M36" i="84"/>
  <c r="I47" i="84"/>
  <c r="L47" i="84"/>
  <c r="AL20" i="46"/>
  <c r="AI20" i="46"/>
  <c r="AI130" i="46" s="1"/>
  <c r="AI131" i="46" s="1"/>
  <c r="N53" i="43" s="1"/>
  <c r="I18" i="44"/>
  <c r="E18" i="44"/>
  <c r="E33" i="85"/>
  <c r="F33" i="85" s="1"/>
  <c r="G33" i="85" s="1"/>
  <c r="H33" i="85" s="1"/>
  <c r="I33" i="85" s="1"/>
  <c r="J33" i="85" s="1"/>
  <c r="K33" i="85" s="1"/>
  <c r="L33" i="85" s="1"/>
  <c r="M33" i="85" s="1"/>
  <c r="D35" i="85"/>
  <c r="D36" i="85" s="1"/>
  <c r="Z401" i="79"/>
  <c r="D79" i="87" s="1"/>
  <c r="AG402" i="79"/>
  <c r="AK404" i="79"/>
  <c r="AE111" i="47"/>
  <c r="AC112" i="47"/>
  <c r="AG127" i="46"/>
  <c r="G150" i="46"/>
  <c r="J18" i="44"/>
  <c r="J46" i="44" s="1"/>
  <c r="AE385" i="46" s="1"/>
  <c r="H18" i="44"/>
  <c r="H47" i="44" s="1"/>
  <c r="F18" i="44"/>
  <c r="F48" i="44" s="1"/>
  <c r="Y195" i="79"/>
  <c r="E14" i="86"/>
  <c r="X178" i="46"/>
  <c r="I130" i="45"/>
  <c r="C78" i="85"/>
  <c r="H159" i="46"/>
  <c r="J29" i="46"/>
  <c r="AC140" i="46" s="1"/>
  <c r="E328" i="46"/>
  <c r="G129" i="45"/>
  <c r="AI587" i="79"/>
  <c r="AF587" i="79"/>
  <c r="AH570" i="79"/>
  <c r="AB570" i="79"/>
  <c r="F80" i="87" s="1"/>
  <c r="AA587" i="79"/>
  <c r="Z570" i="79"/>
  <c r="D80" i="87" s="1"/>
  <c r="AI585" i="79"/>
  <c r="AK587" i="79"/>
  <c r="AL255" i="46"/>
  <c r="AE127" i="46"/>
  <c r="F49" i="44"/>
  <c r="F47" i="44"/>
  <c r="AM105" i="46"/>
  <c r="AM233" i="46"/>
  <c r="L159" i="46"/>
  <c r="F127" i="45"/>
  <c r="AB516" i="46" s="1"/>
  <c r="F12" i="87" s="1"/>
  <c r="F308" i="46"/>
  <c r="G308" i="46" s="1"/>
  <c r="H308" i="46" s="1"/>
  <c r="I308" i="46" s="1"/>
  <c r="J308" i="46" s="1"/>
  <c r="K308" i="46" s="1"/>
  <c r="L308" i="46" s="1"/>
  <c r="M308" i="46" s="1"/>
  <c r="K288" i="46"/>
  <c r="AD513" i="46"/>
  <c r="Z384" i="46"/>
  <c r="AB140" i="46"/>
  <c r="AE530" i="46"/>
  <c r="AI255" i="46"/>
  <c r="Q220" i="46"/>
  <c r="R220" i="46" s="1"/>
  <c r="S220" i="46" s="1"/>
  <c r="T220" i="46" s="1"/>
  <c r="U220" i="46" s="1"/>
  <c r="V220" i="46" s="1"/>
  <c r="W220" i="46" s="1"/>
  <c r="X220" i="46" s="1"/>
  <c r="AM102" i="46"/>
  <c r="F339" i="46"/>
  <c r="G339" i="46" s="1"/>
  <c r="H339" i="46" s="1"/>
  <c r="I339" i="46" s="1"/>
  <c r="J339" i="46" s="1"/>
  <c r="K339" i="46" s="1"/>
  <c r="I126" i="45"/>
  <c r="AM50" i="46"/>
  <c r="J408" i="46"/>
  <c r="E29" i="46"/>
  <c r="Y135" i="46" s="1"/>
  <c r="AO135" i="46" s="1"/>
  <c r="J279" i="46"/>
  <c r="F29" i="46"/>
  <c r="H127" i="45"/>
  <c r="AD516" i="46" s="1"/>
  <c r="H12" i="87" s="1"/>
  <c r="P320" i="46"/>
  <c r="Q320" i="46" s="1"/>
  <c r="R320" i="46" s="1"/>
  <c r="F363" i="46"/>
  <c r="AK384" i="46"/>
  <c r="AL384" i="46"/>
  <c r="G126" i="45"/>
  <c r="I29" i="46"/>
  <c r="AC139" i="46" s="1"/>
  <c r="AB137" i="46"/>
  <c r="F5" i="87" s="1"/>
  <c r="AC384" i="46"/>
  <c r="E210" i="46"/>
  <c r="F210" i="46" s="1"/>
  <c r="G210" i="46" s="1"/>
  <c r="H210" i="46" s="1"/>
  <c r="I210" i="46" s="1"/>
  <c r="J210" i="46" s="1"/>
  <c r="AG384" i="46"/>
  <c r="I297" i="46"/>
  <c r="F126" i="45"/>
  <c r="AB387" i="46" s="1"/>
  <c r="AJ255" i="46"/>
  <c r="H288" i="46"/>
  <c r="I127" i="45"/>
  <c r="D127" i="45"/>
  <c r="Z516" i="46" s="1"/>
  <c r="D12" i="87" s="1"/>
  <c r="C127" i="45"/>
  <c r="AM111" i="46"/>
  <c r="AM325" i="46"/>
  <c r="H124" i="45"/>
  <c r="AD130" i="46" s="1"/>
  <c r="AD132" i="46" s="1"/>
  <c r="L279" i="46"/>
  <c r="AD384" i="46"/>
  <c r="AE526" i="46"/>
  <c r="G157" i="46"/>
  <c r="G127" i="45"/>
  <c r="E127" i="45"/>
  <c r="AA516" i="46" s="1"/>
  <c r="E12" i="87" s="1"/>
  <c r="P376" i="46"/>
  <c r="Q376" i="46" s="1"/>
  <c r="R376" i="46" s="1"/>
  <c r="S376" i="46" s="1"/>
  <c r="T376" i="46" s="1"/>
  <c r="P308" i="46"/>
  <c r="Q308" i="46" s="1"/>
  <c r="R308" i="46" s="1"/>
  <c r="S308" i="46" s="1"/>
  <c r="Q157" i="46"/>
  <c r="Q210" i="46"/>
  <c r="G29" i="46"/>
  <c r="AI137" i="46" s="1"/>
  <c r="F317" i="46"/>
  <c r="G317" i="46" s="1"/>
  <c r="H317" i="46" s="1"/>
  <c r="I317" i="46" s="1"/>
  <c r="J317" i="46" s="1"/>
  <c r="K317" i="46" s="1"/>
  <c r="L317" i="46" s="1"/>
  <c r="M317" i="46" s="1"/>
  <c r="F320" i="46"/>
  <c r="G320" i="46" s="1"/>
  <c r="J48" i="44"/>
  <c r="AE196" i="79" s="1"/>
  <c r="I33" i="87" s="1"/>
  <c r="H46" i="44"/>
  <c r="L30" i="45"/>
  <c r="D131" i="45" s="1"/>
  <c r="F279" i="46"/>
  <c r="AN436" i="46"/>
  <c r="Y513" i="46"/>
  <c r="C8" i="87" s="1"/>
  <c r="C30" i="44"/>
  <c r="F46" i="44"/>
  <c r="X157" i="46"/>
  <c r="L408" i="46"/>
  <c r="W157" i="46"/>
  <c r="U157" i="46"/>
  <c r="J417" i="46"/>
  <c r="J157" i="46"/>
  <c r="K29" i="46"/>
  <c r="Y141" i="46" s="1"/>
  <c r="G417" i="46"/>
  <c r="G408" i="46"/>
  <c r="AC528" i="46" s="1"/>
  <c r="I159" i="46"/>
  <c r="E157" i="46"/>
  <c r="J288" i="46"/>
  <c r="AA526" i="46"/>
  <c r="E30" i="87" s="1"/>
  <c r="F288" i="46"/>
  <c r="AE513" i="46"/>
  <c r="E220" i="46"/>
  <c r="F220" i="46" s="1"/>
  <c r="G220" i="46" s="1"/>
  <c r="H220" i="46" s="1"/>
  <c r="I220" i="46" s="1"/>
  <c r="J220" i="46" s="1"/>
  <c r="K220" i="46" s="1"/>
  <c r="L220" i="46" s="1"/>
  <c r="M220" i="46" s="1"/>
  <c r="Y255" i="46"/>
  <c r="AE140" i="46"/>
  <c r="AB530" i="46"/>
  <c r="C129" i="45"/>
  <c r="Y390" i="79" s="1"/>
  <c r="AA127" i="46"/>
  <c r="L23" i="45"/>
  <c r="C131" i="45" s="1"/>
  <c r="Y756" i="79" s="1"/>
  <c r="E126" i="45"/>
  <c r="AA387" i="46" s="1"/>
  <c r="M328" i="46"/>
  <c r="M159" i="46"/>
  <c r="M157" i="46"/>
  <c r="L328" i="46"/>
  <c r="AD530" i="46"/>
  <c r="AE384" i="46"/>
  <c r="H417" i="46"/>
  <c r="J159" i="46"/>
  <c r="J150" i="46"/>
  <c r="H279" i="46"/>
  <c r="F417" i="46"/>
  <c r="G279" i="46"/>
  <c r="H150" i="46"/>
  <c r="E150" i="46"/>
  <c r="M288" i="46"/>
  <c r="E129" i="45"/>
  <c r="AA390" i="79" s="1"/>
  <c r="E59" i="87" s="1"/>
  <c r="E288" i="46"/>
  <c r="E289" i="46" s="1"/>
  <c r="AG258" i="46"/>
  <c r="AF137" i="46"/>
  <c r="G124" i="45"/>
  <c r="AA179" i="46"/>
  <c r="Z437" i="46"/>
  <c r="Z513" i="46" s="1"/>
  <c r="AM436" i="46"/>
  <c r="AF255" i="46"/>
  <c r="AA530" i="46"/>
  <c r="AI139" i="46"/>
  <c r="G125" i="45"/>
  <c r="AA939" i="79"/>
  <c r="F376" i="46"/>
  <c r="G376" i="46" s="1"/>
  <c r="H376" i="46" s="1"/>
  <c r="I376" i="46" s="1"/>
  <c r="D33" i="44"/>
  <c r="D50" i="44" s="1"/>
  <c r="Y571" i="79" s="1"/>
  <c r="C82" i="87" s="1"/>
  <c r="AF384" i="46"/>
  <c r="AB513" i="46"/>
  <c r="F8" i="87" s="1"/>
  <c r="AG255" i="46"/>
  <c r="AF513" i="46"/>
  <c r="AC513" i="46"/>
  <c r="G8" i="87" s="1"/>
  <c r="D513" i="46"/>
  <c r="AB127" i="46"/>
  <c r="AB142" i="46"/>
  <c r="I129" i="45"/>
  <c r="I128" i="45"/>
  <c r="AE198" i="79" s="1"/>
  <c r="AE138" i="46"/>
  <c r="I27" i="87" s="1"/>
  <c r="AB138" i="46"/>
  <c r="F27" i="87" s="1"/>
  <c r="AD526" i="46"/>
  <c r="H30" i="87" s="1"/>
  <c r="G128" i="45"/>
  <c r="AC198" i="79" s="1"/>
  <c r="G35" i="87" s="1"/>
  <c r="P363" i="46"/>
  <c r="Q363" i="46" s="1"/>
  <c r="R363" i="46" s="1"/>
  <c r="S363" i="46" s="1"/>
  <c r="T363" i="46" s="1"/>
  <c r="U363" i="46" s="1"/>
  <c r="V363" i="46" s="1"/>
  <c r="W363" i="46" s="1"/>
  <c r="X363" i="46" s="1"/>
  <c r="P317" i="46"/>
  <c r="Q317" i="46" s="1"/>
  <c r="R317" i="46" s="1"/>
  <c r="S317" i="46" s="1"/>
  <c r="T317" i="46" s="1"/>
  <c r="U317" i="46" s="1"/>
  <c r="V317" i="46" s="1"/>
  <c r="W317" i="46" s="1"/>
  <c r="X317" i="46" s="1"/>
  <c r="Z103" i="46"/>
  <c r="Z179" i="46"/>
  <c r="AM178" i="46"/>
  <c r="AM307" i="46"/>
  <c r="AA308" i="46"/>
  <c r="AK513" i="46"/>
  <c r="AL513" i="46"/>
  <c r="AJ139" i="46"/>
  <c r="AK255" i="46"/>
  <c r="AH513" i="46"/>
  <c r="AC255" i="46"/>
  <c r="AI513" i="46"/>
  <c r="J47" i="44"/>
  <c r="AE514" i="46" s="1"/>
  <c r="I10" i="87" s="1"/>
  <c r="D129" i="45"/>
  <c r="AA141" i="46"/>
  <c r="AA528" i="46"/>
  <c r="AB527" i="46"/>
  <c r="F328" i="46"/>
  <c r="AA140" i="46"/>
  <c r="AA363" i="46"/>
  <c r="AM362" i="46"/>
  <c r="E279" i="46"/>
  <c r="G363" i="46"/>
  <c r="H363" i="46" s="1"/>
  <c r="I363" i="46" s="1"/>
  <c r="J363" i="46" s="1"/>
  <c r="K363" i="46" s="1"/>
  <c r="L363" i="46" s="1"/>
  <c r="M363" i="46" s="1"/>
  <c r="G130" i="45"/>
  <c r="AC573" i="79" s="1"/>
  <c r="G84" i="87" s="1"/>
  <c r="C126" i="45"/>
  <c r="M29" i="46"/>
  <c r="AI143" i="46" s="1"/>
  <c r="I279" i="46"/>
  <c r="R157" i="46"/>
  <c r="H29" i="46"/>
  <c r="F128" i="45"/>
  <c r="AB198" i="79" s="1"/>
  <c r="F35" i="87" s="1"/>
  <c r="E128" i="45"/>
  <c r="AA198" i="79" s="1"/>
  <c r="F159" i="46"/>
  <c r="C124" i="45"/>
  <c r="Y1132" i="79"/>
  <c r="D125" i="45"/>
  <c r="Z258" i="46" s="1"/>
  <c r="F125" i="45"/>
  <c r="AB258" i="46" s="1"/>
  <c r="H126" i="45"/>
  <c r="I125" i="45"/>
  <c r="K279" i="46"/>
  <c r="L150" i="46"/>
  <c r="I408" i="46"/>
  <c r="E417" i="46"/>
  <c r="E408" i="46"/>
  <c r="F157" i="46"/>
  <c r="O513" i="46"/>
  <c r="AJ384" i="46"/>
  <c r="AH384" i="46"/>
  <c r="D384" i="46"/>
  <c r="E46" i="44"/>
  <c r="Z385" i="46" s="1"/>
  <c r="AK139" i="46"/>
  <c r="Y139" i="46"/>
  <c r="AG139" i="46"/>
  <c r="AH139" i="46"/>
  <c r="AD528" i="46"/>
  <c r="AA513" i="46"/>
  <c r="E47" i="44"/>
  <c r="Z514" i="46" s="1"/>
  <c r="D126" i="45"/>
  <c r="Z387" i="46" s="1"/>
  <c r="Z390" i="46" s="1"/>
  <c r="D130" i="45"/>
  <c r="Y384" i="46"/>
  <c r="H125" i="45"/>
  <c r="H48" i="44"/>
  <c r="H49" i="44"/>
  <c r="AC388" i="79" s="1"/>
  <c r="G57" i="87" s="1"/>
  <c r="AE528" i="46"/>
  <c r="AB528" i="46"/>
  <c r="AA138" i="46"/>
  <c r="AB526" i="46"/>
  <c r="F30" i="87" s="1"/>
  <c r="H128" i="45"/>
  <c r="AA137" i="46"/>
  <c r="AE137" i="46"/>
  <c r="AD137" i="46"/>
  <c r="AH130" i="46"/>
  <c r="AE527" i="46"/>
  <c r="AD527" i="46"/>
  <c r="AA527" i="46"/>
  <c r="H8" i="87"/>
  <c r="AL139" i="46"/>
  <c r="AB937" i="79"/>
  <c r="F124" i="45"/>
  <c r="AB130" i="46" s="1"/>
  <c r="E124" i="45"/>
  <c r="AA130" i="46" s="1"/>
  <c r="E125" i="45"/>
  <c r="AA258" i="46" s="1"/>
  <c r="I124" i="45"/>
  <c r="K328" i="46"/>
  <c r="K297" i="46"/>
  <c r="AB384" i="46"/>
  <c r="E349" i="46"/>
  <c r="F349" i="46" s="1"/>
  <c r="G349" i="46" s="1"/>
  <c r="H349" i="46" s="1"/>
  <c r="I349" i="46" s="1"/>
  <c r="J349" i="46" s="1"/>
  <c r="K349" i="46" s="1"/>
  <c r="L349" i="46" s="1"/>
  <c r="M349" i="46" s="1"/>
  <c r="AD754" i="79"/>
  <c r="AD766" i="79" s="1"/>
  <c r="I75" i="43" s="1"/>
  <c r="AH939" i="79"/>
  <c r="AH947" i="79" s="1"/>
  <c r="V157" i="46"/>
  <c r="M417" i="46"/>
  <c r="G328" i="46"/>
  <c r="G297" i="46"/>
  <c r="F286" i="46"/>
  <c r="G286" i="46" s="1"/>
  <c r="H286" i="46" s="1"/>
  <c r="I286" i="46" s="1"/>
  <c r="J286" i="46" s="1"/>
  <c r="K286" i="46" s="1"/>
  <c r="L286" i="46" s="1"/>
  <c r="M286" i="46" s="1"/>
  <c r="AF1122" i="79"/>
  <c r="M150" i="46"/>
  <c r="J297" i="46"/>
  <c r="J328" i="46"/>
  <c r="H408" i="46"/>
  <c r="L157" i="46"/>
  <c r="I417" i="46"/>
  <c r="K159" i="46"/>
  <c r="L29" i="46"/>
  <c r="I157" i="46"/>
  <c r="F408" i="46"/>
  <c r="H157" i="46"/>
  <c r="I288" i="46"/>
  <c r="G288" i="46"/>
  <c r="P349" i="46"/>
  <c r="Q349" i="46" s="1"/>
  <c r="R349" i="46" s="1"/>
  <c r="S349" i="46" s="1"/>
  <c r="T349" i="46" s="1"/>
  <c r="U349" i="46" s="1"/>
  <c r="V349" i="46" s="1"/>
  <c r="W349" i="46" s="1"/>
  <c r="X349" i="46" s="1"/>
  <c r="P339" i="46"/>
  <c r="K417" i="46"/>
  <c r="M408" i="46"/>
  <c r="K408" i="46"/>
  <c r="T157" i="46"/>
  <c r="S157" i="46"/>
  <c r="K157" i="46"/>
  <c r="K150" i="46"/>
  <c r="I150" i="46"/>
  <c r="E159" i="46"/>
  <c r="L288" i="46"/>
  <c r="Z564" i="46"/>
  <c r="C31" i="87"/>
  <c r="Y770" i="79"/>
  <c r="AH769" i="79"/>
  <c r="AE769" i="79"/>
  <c r="AK401" i="79"/>
  <c r="AG953" i="79"/>
  <c r="AG585" i="79"/>
  <c r="AH585" i="79"/>
  <c r="AH195" i="79"/>
  <c r="AI953" i="79"/>
  <c r="AF1119" i="79"/>
  <c r="AF753" i="79"/>
  <c r="Y402" i="79"/>
  <c r="R109" i="79"/>
  <c r="AE387" i="79"/>
  <c r="AD587" i="79"/>
  <c r="AB585" i="79"/>
  <c r="Z1119" i="79"/>
  <c r="F64" i="79"/>
  <c r="G64" i="79" s="1"/>
  <c r="H64" i="79" s="1"/>
  <c r="I64" i="79" s="1"/>
  <c r="J64" i="79" s="1"/>
  <c r="K64" i="79" s="1"/>
  <c r="L64" i="79" s="1"/>
  <c r="M64" i="79" s="1"/>
  <c r="Y401" i="79"/>
  <c r="C79" i="87" s="1"/>
  <c r="Z402" i="79"/>
  <c r="Y404" i="79"/>
  <c r="AD403" i="79"/>
  <c r="AK769" i="79"/>
  <c r="AL770" i="79"/>
  <c r="AL402" i="79"/>
  <c r="AI404" i="79"/>
  <c r="AJ953" i="79"/>
  <c r="AB387" i="79"/>
  <c r="F55" i="87" s="1"/>
  <c r="AF402" i="79"/>
  <c r="J310" i="79"/>
  <c r="I307" i="79"/>
  <c r="Z585" i="79"/>
  <c r="AI939" i="79"/>
  <c r="AL401" i="79"/>
  <c r="S109" i="79"/>
  <c r="T109" i="79" s="1"/>
  <c r="U109" i="79" s="1"/>
  <c r="V109" i="79" s="1"/>
  <c r="W109" i="79" s="1"/>
  <c r="X109" i="79" s="1"/>
  <c r="AJ195" i="79"/>
  <c r="AJ1122" i="79"/>
  <c r="AJ1132" i="79" s="1"/>
  <c r="AK402" i="79"/>
  <c r="Z404" i="79"/>
  <c r="AF387" i="79"/>
  <c r="AI402" i="79"/>
  <c r="AG586" i="79"/>
  <c r="AH402" i="79"/>
  <c r="AA403" i="79"/>
  <c r="AA401" i="79"/>
  <c r="E79" i="87" s="1"/>
  <c r="AA387" i="79"/>
  <c r="AG195" i="79"/>
  <c r="AC403" i="79"/>
  <c r="Y564" i="46"/>
  <c r="Z403" i="79"/>
  <c r="AF404" i="79"/>
  <c r="AH401" i="79"/>
  <c r="AL387" i="79"/>
  <c r="AI387" i="79"/>
  <c r="AF585" i="79"/>
  <c r="AH586" i="79"/>
  <c r="AI586" i="79"/>
  <c r="AF769" i="79"/>
  <c r="AL753" i="79"/>
  <c r="AG770" i="79"/>
  <c r="AK770" i="79"/>
  <c r="AF936" i="79"/>
  <c r="AJ936" i="79"/>
  <c r="AI936" i="79"/>
  <c r="AH936" i="79"/>
  <c r="AL1119" i="79"/>
  <c r="AC1119" i="79"/>
  <c r="AK1119" i="79"/>
  <c r="AG570" i="79"/>
  <c r="Y936" i="79"/>
  <c r="AC953" i="79"/>
  <c r="AC1131" i="79" s="1"/>
  <c r="AG936" i="79"/>
  <c r="Y570" i="79"/>
  <c r="C80" i="87" s="1"/>
  <c r="AB403" i="79"/>
  <c r="AE770" i="79"/>
  <c r="AA953" i="79"/>
  <c r="AB1119" i="79"/>
  <c r="F106" i="79"/>
  <c r="G106" i="79" s="1"/>
  <c r="H106" i="79" s="1"/>
  <c r="I106" i="79" s="1"/>
  <c r="J106" i="79" s="1"/>
  <c r="K106" i="79" s="1"/>
  <c r="AH196" i="79"/>
  <c r="AI195" i="79"/>
  <c r="Y939" i="79"/>
  <c r="Y947" i="79" s="1"/>
  <c r="Q64" i="79"/>
  <c r="R64" i="79" s="1"/>
  <c r="S64" i="79" s="1"/>
  <c r="T64" i="79" s="1"/>
  <c r="U64" i="79" s="1"/>
  <c r="V64" i="79" s="1"/>
  <c r="W64" i="79" s="1"/>
  <c r="X64" i="79" s="1"/>
  <c r="AC208" i="79"/>
  <c r="G54" i="87" s="1"/>
  <c r="AH208" i="79"/>
  <c r="AH953" i="79"/>
  <c r="AB586" i="79"/>
  <c r="AD586" i="79"/>
  <c r="AD570" i="79"/>
  <c r="AE195" i="79"/>
  <c r="AA570" i="79"/>
  <c r="E80" i="87" s="1"/>
  <c r="Z936" i="79"/>
  <c r="AE586" i="79"/>
  <c r="AG587" i="79"/>
  <c r="AI401" i="79"/>
  <c r="AB770" i="79"/>
  <c r="AE570" i="79"/>
  <c r="AC769" i="79"/>
  <c r="AG769" i="79"/>
  <c r="Z770" i="79"/>
  <c r="AE585" i="79"/>
  <c r="AK586" i="79"/>
  <c r="AF586" i="79"/>
  <c r="AA586" i="79"/>
  <c r="AK387" i="79"/>
  <c r="Y753" i="79"/>
  <c r="AE403" i="79"/>
  <c r="AG753" i="79"/>
  <c r="AF570" i="79"/>
  <c r="AL404" i="79"/>
  <c r="Y587" i="79"/>
  <c r="Y1129" i="79" s="1"/>
  <c r="AK753" i="79"/>
  <c r="Y953" i="79"/>
  <c r="Y1131" i="79" s="1"/>
  <c r="L106" i="79"/>
  <c r="M106" i="79" s="1"/>
  <c r="AK208" i="79"/>
  <c r="Y585" i="79"/>
  <c r="AG208" i="79"/>
  <c r="AD585" i="79"/>
  <c r="AD763" i="79" s="1"/>
  <c r="AF953" i="79"/>
  <c r="AH404" i="79"/>
  <c r="AE936" i="79"/>
  <c r="AA585" i="79"/>
  <c r="AD195" i="79"/>
  <c r="AE587" i="79"/>
  <c r="AA936" i="79"/>
  <c r="Z587" i="79"/>
  <c r="AD953" i="79"/>
  <c r="Y586" i="79"/>
  <c r="AB587" i="79"/>
  <c r="Z586" i="79"/>
  <c r="AB753" i="79"/>
  <c r="AA753" i="79"/>
  <c r="AA770" i="79"/>
  <c r="Z387" i="79"/>
  <c r="D55" i="87" s="1"/>
  <c r="Q122" i="79"/>
  <c r="R122" i="79" s="1"/>
  <c r="S122" i="79" s="1"/>
  <c r="T122" i="79" s="1"/>
  <c r="U122" i="79" s="1"/>
  <c r="V122" i="79" s="1"/>
  <c r="W122" i="79" s="1"/>
  <c r="X122" i="79" s="1"/>
  <c r="AE1119" i="79"/>
  <c r="Q106" i="79"/>
  <c r="R106" i="79" s="1"/>
  <c r="S106" i="79" s="1"/>
  <c r="T106" i="79" s="1"/>
  <c r="U106" i="79" s="1"/>
  <c r="V106" i="79" s="1"/>
  <c r="W106" i="79" s="1"/>
  <c r="X106" i="79" s="1"/>
  <c r="AH587" i="79"/>
  <c r="AB756" i="79"/>
  <c r="AB763" i="79" s="1"/>
  <c r="AF401" i="79"/>
  <c r="AA1122" i="79"/>
  <c r="AA1132" i="79" s="1"/>
  <c r="Z1122" i="79"/>
  <c r="Z1131" i="79" s="1"/>
  <c r="AB195" i="79"/>
  <c r="AB936" i="79"/>
  <c r="AB953" i="79"/>
  <c r="AD770" i="79"/>
  <c r="AD753" i="79"/>
  <c r="AD769" i="79"/>
  <c r="AC401" i="79"/>
  <c r="AC387" i="79"/>
  <c r="G55" i="87" s="1"/>
  <c r="AC404" i="79"/>
  <c r="AC402" i="79"/>
  <c r="F122" i="79"/>
  <c r="G122" i="79" s="1"/>
  <c r="H122" i="79" s="1"/>
  <c r="I122" i="79" s="1"/>
  <c r="J122" i="79" s="1"/>
  <c r="K122" i="79" s="1"/>
  <c r="L122" i="79" s="1"/>
  <c r="M122" i="79" s="1"/>
  <c r="AL403" i="79"/>
  <c r="AK403" i="79"/>
  <c r="AF403" i="79"/>
  <c r="AI403" i="79"/>
  <c r="AH403" i="79"/>
  <c r="O387" i="79"/>
  <c r="AE404" i="79"/>
  <c r="AB404" i="79"/>
  <c r="AA404" i="79"/>
  <c r="AB401" i="79"/>
  <c r="F79" i="87" s="1"/>
  <c r="AE401" i="79"/>
  <c r="AD401" i="79"/>
  <c r="AA402" i="79"/>
  <c r="AE402" i="79"/>
  <c r="AB402" i="79"/>
  <c r="AD402" i="79"/>
  <c r="AD762" i="79" s="1"/>
  <c r="AD404" i="79"/>
  <c r="AM121" i="79"/>
  <c r="Y403" i="79"/>
  <c r="P58" i="79"/>
  <c r="AE208" i="79" s="1"/>
  <c r="F39" i="79"/>
  <c r="AL209" i="79" s="1"/>
  <c r="AI208" i="79"/>
  <c r="AJ208" i="79"/>
  <c r="Y208" i="79"/>
  <c r="C54" i="87" s="1"/>
  <c r="C56" i="87" s="1"/>
  <c r="AK936" i="79"/>
  <c r="AK953" i="79"/>
  <c r="AK585" i="79"/>
  <c r="AK570" i="79"/>
  <c r="AL936" i="79"/>
  <c r="AL953" i="79"/>
  <c r="AL586" i="79"/>
  <c r="AL570" i="79"/>
  <c r="AL587" i="79"/>
  <c r="AL585" i="79"/>
  <c r="AL195" i="79"/>
  <c r="AL208" i="79"/>
  <c r="AI769" i="79"/>
  <c r="AI770" i="79"/>
  <c r="AJ753" i="79"/>
  <c r="AJ769" i="79"/>
  <c r="AJ402" i="79"/>
  <c r="AJ387" i="79"/>
  <c r="AB939" i="79"/>
  <c r="AE754" i="79"/>
  <c r="AB754" i="79"/>
  <c r="AC939" i="79"/>
  <c r="AB143" i="46"/>
  <c r="AD142" i="46"/>
  <c r="AE142" i="46"/>
  <c r="AB141" i="46"/>
  <c r="AE141" i="46"/>
  <c r="AB531" i="46"/>
  <c r="AE531" i="46"/>
  <c r="AD531" i="46"/>
  <c r="AE139" i="46"/>
  <c r="AA139" i="46"/>
  <c r="AB139" i="46"/>
  <c r="AA529" i="46"/>
  <c r="AB136" i="46"/>
  <c r="AE136" i="46"/>
  <c r="AB135" i="46"/>
  <c r="AA135" i="46"/>
  <c r="H297" i="46"/>
  <c r="H328" i="46"/>
  <c r="AF140" i="46"/>
  <c r="I49" i="44"/>
  <c r="AD388" i="79" s="1"/>
  <c r="I47" i="44"/>
  <c r="I46" i="44"/>
  <c r="C16" i="44"/>
  <c r="G18" i="44"/>
  <c r="D18" i="44"/>
  <c r="C15" i="44"/>
  <c r="AA58" i="79"/>
  <c r="AA195" i="79" s="1"/>
  <c r="E31" i="87" s="1"/>
  <c r="Z58" i="79"/>
  <c r="Z195" i="79" s="1"/>
  <c r="D31" i="87" s="1"/>
  <c r="AM57" i="79"/>
  <c r="AD529" i="46"/>
  <c r="AG143" i="46"/>
  <c r="AA143" i="46"/>
  <c r="AE135" i="46"/>
  <c r="F129" i="45"/>
  <c r="AB390" i="79" s="1"/>
  <c r="F59" i="87" s="1"/>
  <c r="F130" i="45"/>
  <c r="AB573" i="79" s="1"/>
  <c r="F84" i="87" s="1"/>
  <c r="AA531" i="46"/>
  <c r="AE529" i="46"/>
  <c r="AB529" i="46"/>
  <c r="AA136" i="46"/>
  <c r="AE143" i="46"/>
  <c r="AA142" i="46"/>
  <c r="I48" i="44"/>
  <c r="AD196" i="79" s="1"/>
  <c r="AF756" i="79"/>
  <c r="AG756" i="79"/>
  <c r="AJ756" i="79"/>
  <c r="AG387" i="46"/>
  <c r="L37" i="45"/>
  <c r="E131" i="45" s="1"/>
  <c r="AA756" i="79" s="1"/>
  <c r="E130" i="45"/>
  <c r="AA573" i="79" s="1"/>
  <c r="E84" i="87" s="1"/>
  <c r="C125" i="45"/>
  <c r="AD140" i="46"/>
  <c r="M279" i="46"/>
  <c r="L417" i="46"/>
  <c r="AH1122" i="79"/>
  <c r="AH1130" i="79" s="1"/>
  <c r="P157" i="46"/>
  <c r="O384" i="46"/>
  <c r="C128" i="45"/>
  <c r="Y198" i="79" s="1"/>
  <c r="F150" i="46"/>
  <c r="D255" i="46"/>
  <c r="AK198" i="79"/>
  <c r="AL198" i="79"/>
  <c r="AH198" i="79"/>
  <c r="AJ198" i="79"/>
  <c r="Y1128" i="79"/>
  <c r="Y1130" i="79"/>
  <c r="AG573" i="79"/>
  <c r="AK573" i="79"/>
  <c r="AI573" i="79"/>
  <c r="AH573" i="79"/>
  <c r="AG516" i="46"/>
  <c r="AG390" i="79"/>
  <c r="AI390" i="79"/>
  <c r="AF390" i="79"/>
  <c r="AK258" i="46"/>
  <c r="AH387" i="46"/>
  <c r="AI387" i="46"/>
  <c r="AH516" i="46"/>
  <c r="K79" i="45"/>
  <c r="K130" i="45" s="1"/>
  <c r="N48" i="85" l="1"/>
  <c r="C48" i="85"/>
  <c r="D48" i="85" s="1"/>
  <c r="E48" i="85" s="1"/>
  <c r="F48" i="85" s="1"/>
  <c r="G48" i="85" s="1"/>
  <c r="H48" i="85" s="1"/>
  <c r="I48" i="85" s="1"/>
  <c r="J48" i="85" s="1"/>
  <c r="K48" i="85" s="1"/>
  <c r="L48" i="85" s="1"/>
  <c r="M48" i="85" s="1"/>
  <c r="B88" i="85" s="1"/>
  <c r="C88" i="85" s="1"/>
  <c r="D88" i="85" s="1"/>
  <c r="E88" i="85" s="1"/>
  <c r="F88" i="85" s="1"/>
  <c r="G88" i="85" s="1"/>
  <c r="H88" i="85" s="1"/>
  <c r="I88" i="85" s="1"/>
  <c r="J88" i="85" s="1"/>
  <c r="K88" i="85" s="1"/>
  <c r="L88" i="85" s="1"/>
  <c r="M88" i="85" s="1"/>
  <c r="B115" i="85" s="1"/>
  <c r="C115" i="85" s="1"/>
  <c r="D115" i="85" s="1"/>
  <c r="E115" i="85" s="1"/>
  <c r="F115" i="85" s="1"/>
  <c r="G115" i="85" s="1"/>
  <c r="H115" i="85" s="1"/>
  <c r="I115" i="85" s="1"/>
  <c r="J115" i="85" s="1"/>
  <c r="K115" i="85" s="1"/>
  <c r="L115" i="85" s="1"/>
  <c r="M115" i="85" s="1"/>
  <c r="AE947" i="79"/>
  <c r="AC1132" i="79"/>
  <c r="AC1129" i="79"/>
  <c r="AK522" i="46"/>
  <c r="P63" i="43" s="1"/>
  <c r="AE940" i="79"/>
  <c r="AL395" i="79"/>
  <c r="AD1128" i="79"/>
  <c r="AC1128" i="79"/>
  <c r="AD764" i="79"/>
  <c r="AG387" i="79"/>
  <c r="AC770" i="79"/>
  <c r="AC1130" i="79" s="1"/>
  <c r="AC585" i="79"/>
  <c r="AC763" i="79" s="1"/>
  <c r="AL1122" i="79"/>
  <c r="AL1134" i="79" s="1"/>
  <c r="Q81" i="43" s="1"/>
  <c r="AG1122" i="79"/>
  <c r="AG1132" i="79" s="1"/>
  <c r="AF573" i="79"/>
  <c r="AC586" i="79"/>
  <c r="AK388" i="79"/>
  <c r="Z939" i="79"/>
  <c r="Z948" i="79" s="1"/>
  <c r="AC754" i="79"/>
  <c r="AC766" i="79" s="1"/>
  <c r="H75" i="43" s="1"/>
  <c r="AE130" i="46"/>
  <c r="AE132" i="46" s="1"/>
  <c r="AA1120" i="79"/>
  <c r="AL391" i="79"/>
  <c r="AJ130" i="46"/>
  <c r="AJ132" i="46" s="1"/>
  <c r="O54" i="43" s="1"/>
  <c r="AD198" i="79"/>
  <c r="AD136" i="46"/>
  <c r="AD388" i="46" s="1"/>
  <c r="AC937" i="79"/>
  <c r="AL939" i="79"/>
  <c r="AL950" i="79" s="1"/>
  <c r="Q78" i="43" s="1"/>
  <c r="E48" i="44"/>
  <c r="Z196" i="79" s="1"/>
  <c r="AK939" i="79"/>
  <c r="AK947" i="79" s="1"/>
  <c r="AD387" i="46"/>
  <c r="Y130" i="46"/>
  <c r="Y132" i="46" s="1"/>
  <c r="Y387" i="46"/>
  <c r="Z390" i="79"/>
  <c r="D59" i="87" s="1"/>
  <c r="J49" i="44"/>
  <c r="AE388" i="79" s="1"/>
  <c r="AC258" i="46"/>
  <c r="AC130" i="46"/>
  <c r="AC132" i="46" s="1"/>
  <c r="AI756" i="79"/>
  <c r="AI764" i="79" s="1"/>
  <c r="Y766" i="79"/>
  <c r="D75" i="43" s="1"/>
  <c r="AC385" i="46"/>
  <c r="Y516" i="46"/>
  <c r="C12" i="87" s="1"/>
  <c r="AC387" i="46"/>
  <c r="AC392" i="46" s="1"/>
  <c r="AA388" i="79"/>
  <c r="AA398" i="79" s="1"/>
  <c r="F69" i="43" s="1"/>
  <c r="E61" i="87" s="1"/>
  <c r="AC514" i="46"/>
  <c r="G10" i="87" s="1"/>
  <c r="AD390" i="79"/>
  <c r="AD398" i="79" s="1"/>
  <c r="I69" i="43" s="1"/>
  <c r="H61" i="87" s="1"/>
  <c r="AL128" i="46"/>
  <c r="AF127" i="46"/>
  <c r="AJ256" i="46"/>
  <c r="AF514" i="46"/>
  <c r="AF522" i="46" s="1"/>
  <c r="K63" i="43" s="1"/>
  <c r="I27" i="84"/>
  <c r="I29" i="84" s="1"/>
  <c r="I42" i="84" s="1"/>
  <c r="I44" i="84" s="1"/>
  <c r="I57" i="84" s="1"/>
  <c r="I59" i="84" s="1"/>
  <c r="AL754" i="79"/>
  <c r="AF937" i="79"/>
  <c r="Q46" i="44"/>
  <c r="Q48" i="44"/>
  <c r="P49" i="44"/>
  <c r="P47" i="44"/>
  <c r="P48" i="44"/>
  <c r="AK514" i="46"/>
  <c r="N27" i="47"/>
  <c r="N29" i="47" s="1"/>
  <c r="N42" i="47" s="1"/>
  <c r="N44" i="47" s="1"/>
  <c r="N57" i="47" s="1"/>
  <c r="N59" i="47" s="1"/>
  <c r="K50" i="44"/>
  <c r="AA937" i="79"/>
  <c r="AA950" i="79" s="1"/>
  <c r="F78" i="43" s="1"/>
  <c r="AD1122" i="79"/>
  <c r="AD1132" i="79" s="1"/>
  <c r="AG1120" i="79"/>
  <c r="AG385" i="46"/>
  <c r="AG937" i="79"/>
  <c r="AD1120" i="79"/>
  <c r="AD1134" i="79" s="1"/>
  <c r="I81" i="43" s="1"/>
  <c r="AC256" i="46"/>
  <c r="N115" i="85"/>
  <c r="C137" i="85" s="1"/>
  <c r="I80" i="87" s="1"/>
  <c r="N88" i="85"/>
  <c r="B137" i="85" s="1"/>
  <c r="Q50" i="44"/>
  <c r="Q33" i="44"/>
  <c r="L18" i="44"/>
  <c r="L48" i="44" s="1"/>
  <c r="O57" i="47"/>
  <c r="O59" i="47" s="1"/>
  <c r="Y937" i="79"/>
  <c r="AJ937" i="79"/>
  <c r="AJ196" i="79"/>
  <c r="AE756" i="79"/>
  <c r="AE762" i="79" s="1"/>
  <c r="AL1120" i="79"/>
  <c r="AL756" i="79"/>
  <c r="AL762" i="79" s="1"/>
  <c r="AF258" i="46"/>
  <c r="AD385" i="46"/>
  <c r="AD392" i="46" s="1"/>
  <c r="AD135" i="46"/>
  <c r="AD571" i="79"/>
  <c r="AJ403" i="79"/>
  <c r="AD937" i="79"/>
  <c r="AD950" i="79" s="1"/>
  <c r="I78" i="43" s="1"/>
  <c r="AA196" i="79"/>
  <c r="AI1122" i="79"/>
  <c r="AI1129" i="79" s="1"/>
  <c r="AJ585" i="79"/>
  <c r="AC570" i="79"/>
  <c r="AH390" i="79"/>
  <c r="AH396" i="79" s="1"/>
  <c r="AL396" i="79"/>
  <c r="AJ586" i="79"/>
  <c r="AJ946" i="79" s="1"/>
  <c r="AG401" i="79"/>
  <c r="Z571" i="79"/>
  <c r="D82" i="87" s="1"/>
  <c r="Z754" i="79"/>
  <c r="AA754" i="79"/>
  <c r="AK130" i="46"/>
  <c r="AD138" i="46"/>
  <c r="H27" i="87" s="1"/>
  <c r="AC196" i="79"/>
  <c r="AF130" i="46"/>
  <c r="AE1120" i="79"/>
  <c r="AE390" i="79"/>
  <c r="I59" i="87" s="1"/>
  <c r="AH258" i="46"/>
  <c r="AD943" i="79"/>
  <c r="AA385" i="46"/>
  <c r="AE516" i="46"/>
  <c r="AE522" i="46" s="1"/>
  <c r="J63" i="43" s="1"/>
  <c r="I14" i="87" s="1"/>
  <c r="AF136" i="46"/>
  <c r="AJ516" i="46"/>
  <c r="AE573" i="79"/>
  <c r="I84" i="87" s="1"/>
  <c r="AC113" i="47"/>
  <c r="AE113" i="47" s="1"/>
  <c r="AE112" i="47"/>
  <c r="AL514" i="46"/>
  <c r="AL522" i="46" s="1"/>
  <c r="Q63" i="43" s="1"/>
  <c r="N28" i="85"/>
  <c r="AI514" i="46"/>
  <c r="AJ385" i="46"/>
  <c r="AF385" i="46"/>
  <c r="L27" i="84"/>
  <c r="L29" i="84" s="1"/>
  <c r="L42" i="84" s="1"/>
  <c r="L44" i="84" s="1"/>
  <c r="L57" i="84" s="1"/>
  <c r="L59" i="84" s="1"/>
  <c r="AF571" i="79"/>
  <c r="AF388" i="79"/>
  <c r="AJ514" i="46"/>
  <c r="AJ522" i="46" s="1"/>
  <c r="O63" i="43" s="1"/>
  <c r="AH256" i="46"/>
  <c r="AJ388" i="79"/>
  <c r="AJ398" i="79" s="1"/>
  <c r="O69" i="43" s="1"/>
  <c r="Y1120" i="79"/>
  <c r="Y1134" i="79" s="1"/>
  <c r="AA571" i="79"/>
  <c r="E82" i="87" s="1"/>
  <c r="E93" i="87" s="1"/>
  <c r="Y256" i="46"/>
  <c r="C46" i="45"/>
  <c r="H50" i="44"/>
  <c r="AC571" i="79" s="1"/>
  <c r="G82" i="87" s="1"/>
  <c r="Q49" i="44"/>
  <c r="AK754" i="79"/>
  <c r="N48" i="44"/>
  <c r="AD939" i="79"/>
  <c r="AD948" i="79" s="1"/>
  <c r="AE1122" i="79"/>
  <c r="AE1131" i="79" s="1"/>
  <c r="AK196" i="79"/>
  <c r="AK128" i="46"/>
  <c r="J50" i="44"/>
  <c r="AE571" i="79" s="1"/>
  <c r="I82" i="87" s="1"/>
  <c r="AF1120" i="79"/>
  <c r="AL388" i="79"/>
  <c r="AL398" i="79" s="1"/>
  <c r="Q69" i="43" s="1"/>
  <c r="AE256" i="46"/>
  <c r="AG256" i="46"/>
  <c r="AG514" i="46"/>
  <c r="AE939" i="79"/>
  <c r="AE948" i="79" s="1"/>
  <c r="AK571" i="79"/>
  <c r="AL516" i="46"/>
  <c r="C95" i="45"/>
  <c r="O50" i="44"/>
  <c r="O47" i="44"/>
  <c r="O49" i="44"/>
  <c r="O46" i="44"/>
  <c r="O48" i="44"/>
  <c r="AH937" i="79"/>
  <c r="E50" i="44"/>
  <c r="AD940" i="79"/>
  <c r="AD1130" i="79"/>
  <c r="AD946" i="79"/>
  <c r="AF1134" i="79"/>
  <c r="K81" i="43" s="1"/>
  <c r="AF517" i="46"/>
  <c r="B135" i="85"/>
  <c r="D135" i="85" s="1"/>
  <c r="N110" i="85"/>
  <c r="K42" i="84"/>
  <c r="K44" i="84" s="1"/>
  <c r="K57" i="84" s="1"/>
  <c r="K59" i="84" s="1"/>
  <c r="AH388" i="79"/>
  <c r="AJ571" i="79"/>
  <c r="AI937" i="79"/>
  <c r="AI950" i="79" s="1"/>
  <c r="N78" i="43" s="1"/>
  <c r="AL196" i="79"/>
  <c r="AJ754" i="79"/>
  <c r="AI571" i="79"/>
  <c r="AH571" i="79"/>
  <c r="AH582" i="79" s="1"/>
  <c r="M72" i="43" s="1"/>
  <c r="AL385" i="46"/>
  <c r="AI754" i="79"/>
  <c r="AI766" i="79" s="1"/>
  <c r="N75" i="43" s="1"/>
  <c r="AH754" i="79"/>
  <c r="M50" i="44"/>
  <c r="C81" i="45"/>
  <c r="M48" i="44"/>
  <c r="M49" i="44"/>
  <c r="M47" i="44"/>
  <c r="M46" i="44"/>
  <c r="AG754" i="79"/>
  <c r="AJ1120" i="79"/>
  <c r="AI258" i="46"/>
  <c r="AI260" i="46" s="1"/>
  <c r="AG128" i="46"/>
  <c r="AA256" i="46"/>
  <c r="AA262" i="46" s="1"/>
  <c r="AG388" i="79"/>
  <c r="AF387" i="46"/>
  <c r="AF388" i="46" s="1"/>
  <c r="AK390" i="79"/>
  <c r="AJ573" i="79"/>
  <c r="AF198" i="79"/>
  <c r="AI198" i="79"/>
  <c r="AI205" i="79" s="1"/>
  <c r="N66" i="43" s="1"/>
  <c r="Y258" i="46"/>
  <c r="Y262" i="46" s="1"/>
  <c r="AK387" i="46"/>
  <c r="AH756" i="79"/>
  <c r="AD760" i="79"/>
  <c r="AD1126" i="79"/>
  <c r="AD141" i="46"/>
  <c r="AD757" i="79" s="1"/>
  <c r="AE1128" i="79"/>
  <c r="AG403" i="79"/>
  <c r="AE945" i="79"/>
  <c r="AI516" i="46"/>
  <c r="AJ387" i="46"/>
  <c r="AJ392" i="46" s="1"/>
  <c r="O60" i="43" s="1"/>
  <c r="AL258" i="46"/>
  <c r="AJ390" i="79"/>
  <c r="AL573" i="79"/>
  <c r="AG198" i="79"/>
  <c r="AG203" i="79" s="1"/>
  <c r="AL387" i="46"/>
  <c r="AK756" i="79"/>
  <c r="AK766" i="79" s="1"/>
  <c r="P75" i="43" s="1"/>
  <c r="AD514" i="46"/>
  <c r="AD522" i="46" s="1"/>
  <c r="I63" i="43" s="1"/>
  <c r="H14" i="87" s="1"/>
  <c r="AD139" i="46"/>
  <c r="AE1126" i="79"/>
  <c r="AD143" i="46"/>
  <c r="AD1123" i="79" s="1"/>
  <c r="AJ939" i="79"/>
  <c r="AJ948" i="79" s="1"/>
  <c r="AJ404" i="79"/>
  <c r="AC762" i="79"/>
  <c r="AD947" i="79"/>
  <c r="Z1120" i="79"/>
  <c r="AG939" i="79"/>
  <c r="AG946" i="79" s="1"/>
  <c r="AI196" i="79"/>
  <c r="AE1129" i="79"/>
  <c r="AE580" i="79"/>
  <c r="AE946" i="79"/>
  <c r="AF196" i="79"/>
  <c r="AL764" i="79"/>
  <c r="AJ587" i="79"/>
  <c r="AA564" i="46"/>
  <c r="Z937" i="79"/>
  <c r="AB1120" i="79"/>
  <c r="AB1134" i="79" s="1"/>
  <c r="G81" i="43" s="1"/>
  <c r="AL130" i="46"/>
  <c r="AL131" i="46" s="1"/>
  <c r="Q53" i="43" s="1"/>
  <c r="AG130" i="46"/>
  <c r="AG132" i="46" s="1"/>
  <c r="L54" i="43" s="1"/>
  <c r="AD258" i="46"/>
  <c r="AD260" i="46" s="1"/>
  <c r="Z573" i="79"/>
  <c r="E49" i="44"/>
  <c r="Z388" i="79" s="1"/>
  <c r="D57" i="87" s="1"/>
  <c r="D68" i="87" s="1"/>
  <c r="AF939" i="79"/>
  <c r="AF950" i="79" s="1"/>
  <c r="K78" i="43" s="1"/>
  <c r="AE258" i="46"/>
  <c r="AE262" i="46" s="1"/>
  <c r="AJ258" i="46"/>
  <c r="Z756" i="79"/>
  <c r="Z764" i="79" s="1"/>
  <c r="AC516" i="46"/>
  <c r="G12" i="87" s="1"/>
  <c r="G21" i="87" s="1"/>
  <c r="AE387" i="46"/>
  <c r="AE388" i="46" s="1"/>
  <c r="AA514" i="46"/>
  <c r="E10" i="87" s="1"/>
  <c r="AC390" i="79"/>
  <c r="G59" i="87" s="1"/>
  <c r="AI128" i="46"/>
  <c r="AI132" i="46" s="1"/>
  <c r="N54" i="43" s="1"/>
  <c r="S22" i="47" s="1"/>
  <c r="AL256" i="46"/>
  <c r="AI385" i="46"/>
  <c r="AI256" i="46"/>
  <c r="AF128" i="46"/>
  <c r="AF132" i="46" s="1"/>
  <c r="K54" i="43" s="1"/>
  <c r="AF516" i="46"/>
  <c r="O27" i="84"/>
  <c r="O29" i="84" s="1"/>
  <c r="O42" i="84" s="1"/>
  <c r="O44" i="84" s="1"/>
  <c r="O57" i="84" s="1"/>
  <c r="O59" i="84" s="1"/>
  <c r="AL937" i="79"/>
  <c r="AH128" i="46"/>
  <c r="AH132" i="46" s="1"/>
  <c r="M54" i="43" s="1"/>
  <c r="AH514" i="46"/>
  <c r="AI1120" i="79"/>
  <c r="AI1134" i="79" s="1"/>
  <c r="N81" i="43" s="1"/>
  <c r="AB256" i="46"/>
  <c r="AI388" i="79"/>
  <c r="AI398" i="79" s="1"/>
  <c r="N69" i="43" s="1"/>
  <c r="Q47" i="44"/>
  <c r="AK937" i="79"/>
  <c r="AK950" i="79" s="1"/>
  <c r="P78" i="43" s="1"/>
  <c r="P46" i="44"/>
  <c r="AK1122" i="79"/>
  <c r="AK1128" i="79" s="1"/>
  <c r="AK1120" i="79"/>
  <c r="AD256" i="46"/>
  <c r="Z256" i="46"/>
  <c r="AG196" i="79"/>
  <c r="AG205" i="79" s="1"/>
  <c r="L66" i="43" s="1"/>
  <c r="AH1120" i="79"/>
  <c r="AI140" i="46"/>
  <c r="Z135" i="46"/>
  <c r="Z259" i="46" s="1"/>
  <c r="AF135" i="46"/>
  <c r="AF259" i="46" s="1"/>
  <c r="AG140" i="46"/>
  <c r="AK530" i="46"/>
  <c r="AK943" i="79" s="1"/>
  <c r="AA391" i="79"/>
  <c r="AC522" i="46"/>
  <c r="H63" i="43" s="1"/>
  <c r="G14" i="87" s="1"/>
  <c r="G22" i="87" s="1"/>
  <c r="AA394" i="79"/>
  <c r="AE392" i="46"/>
  <c r="AJ391" i="79"/>
  <c r="F116" i="85"/>
  <c r="J116" i="85"/>
  <c r="B116" i="85"/>
  <c r="C116" i="85"/>
  <c r="G116" i="85"/>
  <c r="K116" i="85"/>
  <c r="D116" i="85"/>
  <c r="H116" i="85"/>
  <c r="L116" i="85"/>
  <c r="E116" i="85"/>
  <c r="I116" i="85"/>
  <c r="M116" i="85"/>
  <c r="AF391" i="79"/>
  <c r="AH528" i="46"/>
  <c r="AB391" i="79"/>
  <c r="AC143" i="46"/>
  <c r="AC1123" i="79" s="1"/>
  <c r="AB390" i="46"/>
  <c r="AA392" i="46"/>
  <c r="AH137" i="46"/>
  <c r="AI391" i="79"/>
  <c r="AJ135" i="46"/>
  <c r="AJ259" i="46" s="1"/>
  <c r="AH143" i="46"/>
  <c r="Y143" i="46"/>
  <c r="Y1123" i="79" s="1"/>
  <c r="AH140" i="46"/>
  <c r="Y140" i="46"/>
  <c r="AO140" i="46" s="1"/>
  <c r="AL143" i="46"/>
  <c r="AK391" i="79"/>
  <c r="AB394" i="79"/>
  <c r="AD266" i="46"/>
  <c r="H6" i="87" s="1"/>
  <c r="AI135" i="46"/>
  <c r="AF143" i="46"/>
  <c r="AF1123" i="79" s="1"/>
  <c r="AJ143" i="46"/>
  <c r="AJ1123" i="79" s="1"/>
  <c r="AK135" i="46"/>
  <c r="AK259" i="46" s="1"/>
  <c r="AL135" i="46"/>
  <c r="AL259" i="46" s="1"/>
  <c r="AJ140" i="46"/>
  <c r="AK143" i="46"/>
  <c r="AH135" i="46"/>
  <c r="AH259" i="46" s="1"/>
  <c r="AC135" i="46"/>
  <c r="AK140" i="46"/>
  <c r="AL140" i="46"/>
  <c r="AF528" i="46"/>
  <c r="AJ527" i="46"/>
  <c r="AJ394" i="79" s="1"/>
  <c r="AG135" i="46"/>
  <c r="AG259" i="46" s="1"/>
  <c r="AG391" i="79"/>
  <c r="AK526" i="46"/>
  <c r="AK202" i="79" s="1"/>
  <c r="AC391" i="79"/>
  <c r="Y267" i="46"/>
  <c r="C28" i="87" s="1"/>
  <c r="AO139" i="46"/>
  <c r="Y391" i="79"/>
  <c r="BF135" i="46"/>
  <c r="AH267" i="46"/>
  <c r="AH200" i="79" s="1"/>
  <c r="AB556" i="46"/>
  <c r="AC267" i="46"/>
  <c r="AC200" i="79" s="1"/>
  <c r="Z267" i="46"/>
  <c r="D28" i="87" s="1"/>
  <c r="AJ260" i="46"/>
  <c r="AA388" i="46"/>
  <c r="AB943" i="79"/>
  <c r="AA517" i="46"/>
  <c r="AA384" i="46"/>
  <c r="AA390" i="46" s="1"/>
  <c r="AC136" i="46"/>
  <c r="AI136" i="46"/>
  <c r="AI388" i="46" s="1"/>
  <c r="AG136" i="46"/>
  <c r="AF531" i="46"/>
  <c r="AF1126" i="79" s="1"/>
  <c r="Y764" i="79"/>
  <c r="Y762" i="79"/>
  <c r="AD520" i="46"/>
  <c r="E21" i="87"/>
  <c r="AB520" i="46"/>
  <c r="AI763" i="79"/>
  <c r="Y520" i="46"/>
  <c r="Z528" i="46"/>
  <c r="BE137" i="46" s="1"/>
  <c r="AL531" i="46"/>
  <c r="AG529" i="46"/>
  <c r="AG760" i="79" s="1"/>
  <c r="AH136" i="46"/>
  <c r="AH388" i="46" s="1"/>
  <c r="AB131" i="46"/>
  <c r="AA266" i="46"/>
  <c r="E6" i="87" s="1"/>
  <c r="Y556" i="46"/>
  <c r="Z556" i="46" s="1"/>
  <c r="AA556" i="46" s="1"/>
  <c r="F289" i="46"/>
  <c r="AJ396" i="46" s="1"/>
  <c r="AJ201" i="79" s="1"/>
  <c r="AJ531" i="46"/>
  <c r="AJ1126" i="79" s="1"/>
  <c r="Y763" i="79"/>
  <c r="Y757" i="79"/>
  <c r="AE266" i="46"/>
  <c r="I6" i="87" s="1"/>
  <c r="AB517" i="46"/>
  <c r="AG388" i="46"/>
  <c r="BF140" i="46"/>
  <c r="AG141" i="46"/>
  <c r="AG757" i="79" s="1"/>
  <c r="AC395" i="46"/>
  <c r="G7" i="87" s="1"/>
  <c r="R210" i="46"/>
  <c r="AE267" i="46" s="1"/>
  <c r="AE200" i="79" s="1"/>
  <c r="AL136" i="46"/>
  <c r="AL388" i="46" s="1"/>
  <c r="AD390" i="46"/>
  <c r="AL395" i="46"/>
  <c r="AL519" i="46" s="1"/>
  <c r="AK136" i="46"/>
  <c r="Y136" i="46"/>
  <c r="AO136" i="46" s="1"/>
  <c r="Y530" i="46"/>
  <c r="BD139" i="46" s="1"/>
  <c r="AH530" i="46"/>
  <c r="AH943" i="79" s="1"/>
  <c r="Z395" i="46"/>
  <c r="D7" i="87" s="1"/>
  <c r="AF267" i="46"/>
  <c r="AF200" i="79" s="1"/>
  <c r="AI395" i="46"/>
  <c r="AI519" i="46" s="1"/>
  <c r="AI267" i="46"/>
  <c r="AI200" i="79" s="1"/>
  <c r="AD131" i="46"/>
  <c r="AC137" i="46"/>
  <c r="G5" i="87" s="1"/>
  <c r="AJ395" i="46"/>
  <c r="Y527" i="46"/>
  <c r="AH141" i="46"/>
  <c r="AH757" i="79" s="1"/>
  <c r="Z143" i="46"/>
  <c r="Z1123" i="79" s="1"/>
  <c r="AF395" i="46"/>
  <c r="AF519" i="46" s="1"/>
  <c r="AK137" i="46"/>
  <c r="AK517" i="46" s="1"/>
  <c r="Z136" i="46"/>
  <c r="Z388" i="46" s="1"/>
  <c r="AA522" i="46"/>
  <c r="F63" i="43" s="1"/>
  <c r="E14" i="87" s="1"/>
  <c r="Y137" i="46"/>
  <c r="Y517" i="46" s="1"/>
  <c r="AB266" i="46"/>
  <c r="AH270" i="46"/>
  <c r="AL267" i="46"/>
  <c r="AL200" i="79" s="1"/>
  <c r="AH527" i="46"/>
  <c r="AH394" i="79" s="1"/>
  <c r="AC141" i="46"/>
  <c r="AC757" i="79" s="1"/>
  <c r="AH395" i="46"/>
  <c r="AH519" i="46" s="1"/>
  <c r="AJ137" i="46"/>
  <c r="AC527" i="46"/>
  <c r="AC394" i="79" s="1"/>
  <c r="Z140" i="46"/>
  <c r="AK267" i="46"/>
  <c r="AK200" i="79" s="1"/>
  <c r="AB558" i="46"/>
  <c r="AQ136" i="46"/>
  <c r="AL141" i="46"/>
  <c r="AJ267" i="46"/>
  <c r="AJ200" i="79" s="1"/>
  <c r="AG267" i="46"/>
  <c r="AK141" i="46"/>
  <c r="AK757" i="79" s="1"/>
  <c r="AB388" i="46"/>
  <c r="AB557" i="46"/>
  <c r="AA395" i="46"/>
  <c r="AA519" i="46" s="1"/>
  <c r="Z268" i="46"/>
  <c r="Z392" i="79" s="1"/>
  <c r="AG137" i="46"/>
  <c r="AG517" i="46" s="1"/>
  <c r="AH526" i="46"/>
  <c r="AH202" i="79" s="1"/>
  <c r="B78" i="85"/>
  <c r="N89" i="85" s="1"/>
  <c r="B138" i="85" s="1"/>
  <c r="J68" i="43" s="1"/>
  <c r="I60" i="87" s="1"/>
  <c r="Y390" i="46"/>
  <c r="AQ140" i="46"/>
  <c r="AA943" i="79"/>
  <c r="AJ136" i="46"/>
  <c r="AL137" i="46"/>
  <c r="AL517" i="46" s="1"/>
  <c r="G93" i="87"/>
  <c r="F93" i="87"/>
  <c r="D8" i="87"/>
  <c r="Z520" i="46"/>
  <c r="AH268" i="46"/>
  <c r="Y528" i="46"/>
  <c r="BD137" i="46" s="1"/>
  <c r="AJ528" i="46"/>
  <c r="AI528" i="46"/>
  <c r="AJ141" i="46"/>
  <c r="AJ757" i="79" s="1"/>
  <c r="AQ135" i="46"/>
  <c r="AQ139" i="46"/>
  <c r="AC531" i="46"/>
  <c r="AC1126" i="79" s="1"/>
  <c r="BF136" i="46"/>
  <c r="AL526" i="46"/>
  <c r="AL202" i="79" s="1"/>
  <c r="AC526" i="46"/>
  <c r="G30" i="87" s="1"/>
  <c r="Z255" i="46"/>
  <c r="AC260" i="46"/>
  <c r="AA255" i="46"/>
  <c r="AA260" i="46" s="1"/>
  <c r="AI531" i="46"/>
  <c r="AI1126" i="79" s="1"/>
  <c r="Y270" i="46"/>
  <c r="Y758" i="79" s="1"/>
  <c r="AK531" i="46"/>
  <c r="AK268" i="46"/>
  <c r="AK392" i="79" s="1"/>
  <c r="Z531" i="46"/>
  <c r="Z1126" i="79" s="1"/>
  <c r="AI270" i="46"/>
  <c r="AC268" i="46"/>
  <c r="AC392" i="79" s="1"/>
  <c r="AG1123" i="79"/>
  <c r="AL528" i="46"/>
  <c r="AK528" i="46"/>
  <c r="AG531" i="46"/>
  <c r="AG1126" i="79" s="1"/>
  <c r="G68" i="87"/>
  <c r="AJ526" i="46"/>
  <c r="AJ202" i="79" s="1"/>
  <c r="AI526" i="46"/>
  <c r="AG260" i="46"/>
  <c r="AE582" i="79"/>
  <c r="J72" i="43" s="1"/>
  <c r="I86" i="87" s="1"/>
  <c r="Y531" i="46"/>
  <c r="Y1126" i="79" s="1"/>
  <c r="AF141" i="46"/>
  <c r="AF757" i="79" s="1"/>
  <c r="AG528" i="46"/>
  <c r="AI141" i="46"/>
  <c r="AH531" i="46"/>
  <c r="AH1126" i="79" s="1"/>
  <c r="AB1126" i="79"/>
  <c r="AB259" i="46"/>
  <c r="Y395" i="46"/>
  <c r="C7" i="87" s="1"/>
  <c r="C130" i="45"/>
  <c r="Y573" i="79" s="1"/>
  <c r="C84" i="87" s="1"/>
  <c r="AB565" i="46"/>
  <c r="AC131" i="46"/>
  <c r="Y131" i="46"/>
  <c r="AG392" i="46"/>
  <c r="L60" i="43" s="1"/>
  <c r="Z392" i="46"/>
  <c r="AC203" i="79"/>
  <c r="AG262" i="46"/>
  <c r="L57" i="43" s="1"/>
  <c r="Z262" i="46"/>
  <c r="AH946" i="79"/>
  <c r="AA948" i="79"/>
  <c r="AH945" i="79"/>
  <c r="Z766" i="79"/>
  <c r="E75" i="43" s="1"/>
  <c r="AH950" i="79"/>
  <c r="M78" i="43" s="1"/>
  <c r="AB1132" i="79"/>
  <c r="AA940" i="79"/>
  <c r="AG1134" i="79"/>
  <c r="L81" i="43" s="1"/>
  <c r="AF947" i="79"/>
  <c r="AJ262" i="46"/>
  <c r="O57" i="43" s="1"/>
  <c r="AF948" i="79"/>
  <c r="AB1129" i="79"/>
  <c r="AB260" i="46"/>
  <c r="AF946" i="79"/>
  <c r="AB262" i="46"/>
  <c r="AB1131" i="79"/>
  <c r="AF945" i="79"/>
  <c r="AH948" i="79"/>
  <c r="AK131" i="46"/>
  <c r="P53" i="43" s="1"/>
  <c r="AC262" i="46"/>
  <c r="AB1128" i="79"/>
  <c r="AL945" i="79"/>
  <c r="AC582" i="79"/>
  <c r="H72" i="43" s="1"/>
  <c r="G86" i="87" s="1"/>
  <c r="I35" i="87"/>
  <c r="I44" i="87" s="1"/>
  <c r="AE199" i="79"/>
  <c r="AA947" i="79"/>
  <c r="AA945" i="79"/>
  <c r="AH260" i="46"/>
  <c r="AB1123" i="79"/>
  <c r="AB199" i="79"/>
  <c r="AA946" i="79"/>
  <c r="AG1129" i="79"/>
  <c r="AG131" i="46"/>
  <c r="L53" i="43" s="1"/>
  <c r="Q16" i="84" s="1"/>
  <c r="AG1131" i="79"/>
  <c r="AA259" i="46"/>
  <c r="AG1128" i="79"/>
  <c r="AK269" i="46"/>
  <c r="AC269" i="46"/>
  <c r="Y269" i="46"/>
  <c r="AT139" i="46" s="1"/>
  <c r="AF269" i="46"/>
  <c r="AL269" i="46"/>
  <c r="Z142" i="46"/>
  <c r="AF142" i="46"/>
  <c r="AF940" i="79" s="1"/>
  <c r="AC142" i="46"/>
  <c r="AC940" i="79" s="1"/>
  <c r="AJ142" i="46"/>
  <c r="AL142" i="46"/>
  <c r="AL940" i="79" s="1"/>
  <c r="AI142" i="46"/>
  <c r="AI940" i="79" s="1"/>
  <c r="AH529" i="46"/>
  <c r="AH760" i="79" s="1"/>
  <c r="Z529" i="46"/>
  <c r="AI529" i="46"/>
  <c r="AL529" i="46"/>
  <c r="AF138" i="46"/>
  <c r="AF199" i="79" s="1"/>
  <c r="AH138" i="46"/>
  <c r="AH199" i="79" s="1"/>
  <c r="AL138" i="46"/>
  <c r="AL199" i="79" s="1"/>
  <c r="Z138" i="46"/>
  <c r="Y138" i="46"/>
  <c r="Y199" i="79" s="1"/>
  <c r="AG138" i="46"/>
  <c r="AJ138" i="46"/>
  <c r="AJ199" i="79" s="1"/>
  <c r="AK138" i="46"/>
  <c r="AK199" i="79" s="1"/>
  <c r="AI138" i="46"/>
  <c r="AI199" i="79" s="1"/>
  <c r="AC138" i="46"/>
  <c r="Y142" i="46"/>
  <c r="Y940" i="79" s="1"/>
  <c r="AH269" i="46"/>
  <c r="AF1129" i="79"/>
  <c r="AJ269" i="46"/>
  <c r="AC529" i="46"/>
  <c r="AC760" i="79" s="1"/>
  <c r="AH142" i="46"/>
  <c r="AH940" i="79" s="1"/>
  <c r="AI269" i="46"/>
  <c r="I5" i="87"/>
  <c r="AE517" i="46"/>
  <c r="AG269" i="46"/>
  <c r="AF529" i="46"/>
  <c r="AF760" i="79" s="1"/>
  <c r="AG142" i="46"/>
  <c r="AG940" i="79" s="1"/>
  <c r="Z269" i="46"/>
  <c r="AH131" i="46"/>
  <c r="M53" i="43" s="1"/>
  <c r="AF1132" i="79"/>
  <c r="AF1130" i="79"/>
  <c r="AB947" i="79"/>
  <c r="AK529" i="46"/>
  <c r="AK760" i="79" s="1"/>
  <c r="Y529" i="46"/>
  <c r="BD138" i="46" s="1"/>
  <c r="AJ529" i="46"/>
  <c r="AJ760" i="79" s="1"/>
  <c r="AK142" i="46"/>
  <c r="S18" i="47"/>
  <c r="D10" i="87"/>
  <c r="D21" i="87" s="1"/>
  <c r="Z522" i="46"/>
  <c r="E63" i="43" s="1"/>
  <c r="D14" i="87" s="1"/>
  <c r="Z127" i="46"/>
  <c r="Z131" i="46" s="1"/>
  <c r="Z139" i="46"/>
  <c r="Z391" i="79" s="1"/>
  <c r="Z141" i="46"/>
  <c r="Z137" i="46"/>
  <c r="I57" i="87"/>
  <c r="I68" i="87" s="1"/>
  <c r="AF1131" i="79"/>
  <c r="AF1128" i="79"/>
  <c r="AE396" i="79"/>
  <c r="BF139" i="46"/>
  <c r="Q339" i="46"/>
  <c r="R339" i="46" s="1"/>
  <c r="AI268" i="46"/>
  <c r="AI392" i="79" s="1"/>
  <c r="AG395" i="46"/>
  <c r="AG519" i="46" s="1"/>
  <c r="AG268" i="46"/>
  <c r="AG392" i="79" s="1"/>
  <c r="AK395" i="46"/>
  <c r="AK519" i="46" s="1"/>
  <c r="AJ268" i="46"/>
  <c r="AJ392" i="79" s="1"/>
  <c r="AC520" i="46"/>
  <c r="Z946" i="79"/>
  <c r="AB1130" i="79"/>
  <c r="AC530" i="46"/>
  <c r="AC943" i="79" s="1"/>
  <c r="AD202" i="79"/>
  <c r="Z526" i="46"/>
  <c r="Y526" i="46"/>
  <c r="AG526" i="46"/>
  <c r="AF526" i="46"/>
  <c r="AF202" i="79" s="1"/>
  <c r="AD259" i="46"/>
  <c r="AD261" i="46" s="1"/>
  <c r="AA1134" i="79"/>
  <c r="F81" i="43" s="1"/>
  <c r="Y557" i="46"/>
  <c r="Z557" i="46" s="1"/>
  <c r="AA557" i="46" s="1"/>
  <c r="Z580" i="79"/>
  <c r="Z579" i="79"/>
  <c r="Z398" i="79"/>
  <c r="E69" i="43" s="1"/>
  <c r="D61" i="87" s="1"/>
  <c r="AJ131" i="46"/>
  <c r="O53" i="43" s="1"/>
  <c r="AE202" i="79"/>
  <c r="AG530" i="46"/>
  <c r="AG943" i="79" s="1"/>
  <c r="AI527" i="46"/>
  <c r="AI394" i="79" s="1"/>
  <c r="AJ530" i="46"/>
  <c r="AF530" i="46"/>
  <c r="AF943" i="79" s="1"/>
  <c r="AB766" i="79"/>
  <c r="G75" i="43" s="1"/>
  <c r="AJ1128" i="79"/>
  <c r="AL1129" i="79"/>
  <c r="AH395" i="79"/>
  <c r="AG265" i="46"/>
  <c r="AG389" i="46" s="1"/>
  <c r="AF265" i="46"/>
  <c r="Z265" i="46"/>
  <c r="Z389" i="46" s="1"/>
  <c r="AI265" i="46"/>
  <c r="AI389" i="46" s="1"/>
  <c r="AJ265" i="46"/>
  <c r="AL265" i="46"/>
  <c r="AL389" i="46" s="1"/>
  <c r="AK265" i="46"/>
  <c r="AK389" i="46" s="1"/>
  <c r="F29" i="85"/>
  <c r="J29" i="85"/>
  <c r="D29" i="85"/>
  <c r="D30" i="85" s="1"/>
  <c r="E32" i="85" s="1"/>
  <c r="E35" i="85" s="1"/>
  <c r="E36" i="85" s="1"/>
  <c r="H29" i="85"/>
  <c r="L29" i="85"/>
  <c r="N29" i="85"/>
  <c r="G29" i="85"/>
  <c r="I29" i="85"/>
  <c r="K29" i="85"/>
  <c r="E29" i="85"/>
  <c r="M29" i="85"/>
  <c r="AC265" i="46"/>
  <c r="AC389" i="46" s="1"/>
  <c r="H5" i="87"/>
  <c r="AD517" i="46"/>
  <c r="AQ138" i="46"/>
  <c r="E27" i="87"/>
  <c r="AF131" i="46"/>
  <c r="K53" i="43" s="1"/>
  <c r="D49" i="85"/>
  <c r="H49" i="85"/>
  <c r="L49" i="85"/>
  <c r="N49" i="85"/>
  <c r="C69" i="85" s="1"/>
  <c r="F49" i="85"/>
  <c r="J49" i="85"/>
  <c r="B49" i="85"/>
  <c r="I49" i="85"/>
  <c r="C49" i="85"/>
  <c r="K49" i="85"/>
  <c r="E49" i="85"/>
  <c r="M49" i="85"/>
  <c r="G49" i="85"/>
  <c r="AK527" i="46"/>
  <c r="AK394" i="79" s="1"/>
  <c r="AF527" i="46"/>
  <c r="AF394" i="79" s="1"/>
  <c r="AL132" i="46"/>
  <c r="Q54" i="43" s="1"/>
  <c r="V15" i="47" s="1"/>
  <c r="AE205" i="79"/>
  <c r="J66" i="43" s="1"/>
  <c r="I37" i="87" s="1"/>
  <c r="AK392" i="46"/>
  <c r="P60" i="43" s="1"/>
  <c r="AG527" i="46"/>
  <c r="AG394" i="79" s="1"/>
  <c r="AL527" i="46"/>
  <c r="AL394" i="79" s="1"/>
  <c r="AL530" i="46"/>
  <c r="AL943" i="79" s="1"/>
  <c r="Z530" i="46"/>
  <c r="Z943" i="79" s="1"/>
  <c r="AI1123" i="79"/>
  <c r="H35" i="87"/>
  <c r="AH265" i="46"/>
  <c r="AH389" i="46" s="1"/>
  <c r="AK390" i="46"/>
  <c r="AE203" i="79"/>
  <c r="AI1132" i="79"/>
  <c r="AI530" i="46"/>
  <c r="AI943" i="79" s="1"/>
  <c r="Y260" i="46"/>
  <c r="Z527" i="46"/>
  <c r="AL946" i="79"/>
  <c r="AA1130" i="79"/>
  <c r="AG947" i="79"/>
  <c r="AI948" i="79"/>
  <c r="AE395" i="46"/>
  <c r="AD395" i="46"/>
  <c r="AB395" i="46"/>
  <c r="AF268" i="46"/>
  <c r="AF392" i="79" s="1"/>
  <c r="Y268" i="46"/>
  <c r="AL268" i="46"/>
  <c r="AL392" i="79" s="1"/>
  <c r="AA132" i="46"/>
  <c r="AA131" i="46"/>
  <c r="AQ137" i="46"/>
  <c r="E5" i="87"/>
  <c r="E8" i="87"/>
  <c r="Y558" i="46"/>
  <c r="AA520" i="46"/>
  <c r="Y265" i="46"/>
  <c r="AB132" i="46"/>
  <c r="BF137" i="46"/>
  <c r="H57" i="87"/>
  <c r="AC205" i="79"/>
  <c r="H66" i="43" s="1"/>
  <c r="G37" i="87" s="1"/>
  <c r="G33" i="87"/>
  <c r="AD579" i="79"/>
  <c r="H79" i="87"/>
  <c r="AA199" i="79"/>
  <c r="E35" i="87"/>
  <c r="AA202" i="79"/>
  <c r="C35" i="87"/>
  <c r="AF762" i="79"/>
  <c r="I93" i="87"/>
  <c r="AB203" i="79"/>
  <c r="F31" i="87"/>
  <c r="AB566" i="46"/>
  <c r="AA205" i="79"/>
  <c r="F66" i="43" s="1"/>
  <c r="E37" i="87" s="1"/>
  <c r="E33" i="87"/>
  <c r="AD203" i="79"/>
  <c r="H31" i="87"/>
  <c r="G56" i="87"/>
  <c r="E57" i="87"/>
  <c r="E68" i="87" s="1"/>
  <c r="D84" i="87"/>
  <c r="Z1128" i="79"/>
  <c r="K310" i="79"/>
  <c r="J307" i="79"/>
  <c r="Z205" i="79"/>
  <c r="E66" i="43" s="1"/>
  <c r="D37" i="87" s="1"/>
  <c r="D33" i="87"/>
  <c r="D44" i="87" s="1"/>
  <c r="AG945" i="79"/>
  <c r="AC579" i="79"/>
  <c r="G79" i="87"/>
  <c r="AG1130" i="79"/>
  <c r="AA396" i="79"/>
  <c r="E55" i="87"/>
  <c r="AB202" i="79"/>
  <c r="AD205" i="79"/>
  <c r="I66" i="43" s="1"/>
  <c r="H37" i="87" s="1"/>
  <c r="H33" i="87"/>
  <c r="AD582" i="79"/>
  <c r="I72" i="43" s="1"/>
  <c r="H86" i="87" s="1"/>
  <c r="H82" i="87"/>
  <c r="AB940" i="79"/>
  <c r="Y396" i="79"/>
  <c r="C59" i="87"/>
  <c r="C66" i="87" s="1"/>
  <c r="AG948" i="79"/>
  <c r="AD580" i="79"/>
  <c r="H80" i="87"/>
  <c r="AC580" i="79"/>
  <c r="G80" i="87"/>
  <c r="AI946" i="79"/>
  <c r="AC945" i="79"/>
  <c r="AF764" i="79"/>
  <c r="AI947" i="79"/>
  <c r="AL1131" i="79"/>
  <c r="AB948" i="79"/>
  <c r="AJ1130" i="79"/>
  <c r="AL1132" i="79"/>
  <c r="AJ1134" i="79"/>
  <c r="O81" i="43" s="1"/>
  <c r="AL1130" i="79"/>
  <c r="AI945" i="79"/>
  <c r="AL1128" i="79"/>
  <c r="AJ1129" i="79"/>
  <c r="AJ1131" i="79"/>
  <c r="AC396" i="79"/>
  <c r="AB760" i="79"/>
  <c r="Y945" i="79"/>
  <c r="Y950" i="79"/>
  <c r="D78" i="43" s="1"/>
  <c r="AH1129" i="79"/>
  <c r="AB764" i="79"/>
  <c r="Y946" i="79"/>
  <c r="AB946" i="79"/>
  <c r="AB757" i="79"/>
  <c r="Y948" i="79"/>
  <c r="AB579" i="79"/>
  <c r="AB945" i="79"/>
  <c r="AB762" i="79"/>
  <c r="AA1129" i="79"/>
  <c r="AF766" i="79"/>
  <c r="K75" i="43" s="1"/>
  <c r="AA1128" i="79"/>
  <c r="AH758" i="79"/>
  <c r="AB208" i="79"/>
  <c r="Z1130" i="79"/>
  <c r="AA1123" i="79"/>
  <c r="Z1132" i="79"/>
  <c r="AC948" i="79"/>
  <c r="AA1131" i="79"/>
  <c r="AB950" i="79"/>
  <c r="G78" i="43" s="1"/>
  <c r="Z1129" i="79"/>
  <c r="Y395" i="79"/>
  <c r="AF763" i="79"/>
  <c r="AA580" i="79"/>
  <c r="AC395" i="79"/>
  <c r="Z1134" i="79"/>
  <c r="E81" i="43" s="1"/>
  <c r="AG209" i="79"/>
  <c r="AG578" i="79" s="1"/>
  <c r="AC209" i="79"/>
  <c r="AI209" i="79"/>
  <c r="AI578" i="79" s="1"/>
  <c r="G39" i="79"/>
  <c r="AF209" i="79"/>
  <c r="AF578" i="79" s="1"/>
  <c r="AH209" i="79"/>
  <c r="AH578" i="79" s="1"/>
  <c r="AK209" i="79"/>
  <c r="AK578" i="79" s="1"/>
  <c r="AJ209" i="79"/>
  <c r="Y209" i="79"/>
  <c r="AB580" i="79"/>
  <c r="AJ945" i="79"/>
  <c r="AC398" i="79"/>
  <c r="H69" i="43" s="1"/>
  <c r="G61" i="87" s="1"/>
  <c r="AB582" i="79"/>
  <c r="G72" i="43" s="1"/>
  <c r="F86" i="87" s="1"/>
  <c r="AA208" i="79"/>
  <c r="AC946" i="79"/>
  <c r="AC947" i="79"/>
  <c r="AC950" i="79"/>
  <c r="H78" i="43" s="1"/>
  <c r="Q58" i="79"/>
  <c r="AD208" i="79"/>
  <c r="Y565" i="46"/>
  <c r="Z565" i="46"/>
  <c r="Z203" i="79"/>
  <c r="S19" i="84"/>
  <c r="S26" i="47"/>
  <c r="S25" i="84"/>
  <c r="AK763" i="79"/>
  <c r="AK762" i="79"/>
  <c r="AK764" i="79"/>
  <c r="D46" i="44"/>
  <c r="Y385" i="46" s="1"/>
  <c r="Y392" i="46" s="1"/>
  <c r="D47" i="44"/>
  <c r="Y514" i="46" s="1"/>
  <c r="D49" i="44"/>
  <c r="Y388" i="79" s="1"/>
  <c r="D48" i="44"/>
  <c r="Y196" i="79" s="1"/>
  <c r="K210" i="46"/>
  <c r="AL270" i="46"/>
  <c r="AL758" i="79" s="1"/>
  <c r="AC270" i="46"/>
  <c r="AC758" i="79" s="1"/>
  <c r="AJ270" i="46"/>
  <c r="AJ758" i="79" s="1"/>
  <c r="AK270" i="46"/>
  <c r="AK758" i="79" s="1"/>
  <c r="AF270" i="46"/>
  <c r="AF758" i="79" s="1"/>
  <c r="AG390" i="46"/>
  <c r="AA763" i="79"/>
  <c r="AA766" i="79"/>
  <c r="AA762" i="79"/>
  <c r="AA764" i="79"/>
  <c r="AJ762" i="79"/>
  <c r="AJ763" i="79"/>
  <c r="AJ764" i="79"/>
  <c r="AJ766" i="79"/>
  <c r="O75" i="43" s="1"/>
  <c r="AL392" i="46"/>
  <c r="Q60" i="43" s="1"/>
  <c r="Z208" i="79"/>
  <c r="AG270" i="46"/>
  <c r="AG758" i="79" s="1"/>
  <c r="Z210" i="79"/>
  <c r="Z761" i="79" s="1"/>
  <c r="G48" i="44"/>
  <c r="AB196" i="79" s="1"/>
  <c r="G49" i="44"/>
  <c r="AB388" i="79" s="1"/>
  <c r="G46" i="44"/>
  <c r="AB385" i="46" s="1"/>
  <c r="AB392" i="46" s="1"/>
  <c r="G47" i="44"/>
  <c r="AB514" i="46" s="1"/>
  <c r="AH1123" i="79"/>
  <c r="T308" i="46"/>
  <c r="Z270" i="46"/>
  <c r="AB564" i="46"/>
  <c r="AC564" i="46" s="1"/>
  <c r="Y203" i="79"/>
  <c r="AL390" i="46"/>
  <c r="S22" i="84"/>
  <c r="AB265" i="46"/>
  <c r="AB389" i="46" s="1"/>
  <c r="AE265" i="46"/>
  <c r="AD265" i="46"/>
  <c r="AD389" i="46" s="1"/>
  <c r="AA265" i="46"/>
  <c r="AG764" i="79"/>
  <c r="AG763" i="79"/>
  <c r="AG762" i="79"/>
  <c r="AG766" i="79"/>
  <c r="L75" i="43" s="1"/>
  <c r="Y259" i="46"/>
  <c r="AB396" i="79"/>
  <c r="AA760" i="79"/>
  <c r="BF138" i="46"/>
  <c r="AA757" i="79"/>
  <c r="AA579" i="79"/>
  <c r="AA582" i="79"/>
  <c r="F72" i="43" s="1"/>
  <c r="E86" i="87" s="1"/>
  <c r="Z209" i="79"/>
  <c r="S17" i="84"/>
  <c r="AA1126" i="79"/>
  <c r="AK266" i="46"/>
  <c r="AK518" i="46" s="1"/>
  <c r="AC266" i="46"/>
  <c r="AF266" i="46"/>
  <c r="AF518" i="46" s="1"/>
  <c r="AL266" i="46"/>
  <c r="AL518" i="46" s="1"/>
  <c r="Y266" i="46"/>
  <c r="C6" i="87" s="1"/>
  <c r="AH266" i="46"/>
  <c r="AH518" i="46" s="1"/>
  <c r="AG266" i="46"/>
  <c r="AG518" i="46" s="1"/>
  <c r="AJ266" i="46"/>
  <c r="AJ518" i="46" s="1"/>
  <c r="Z266" i="46"/>
  <c r="D6" i="87" s="1"/>
  <c r="AI266" i="46"/>
  <c r="AI518" i="46" s="1"/>
  <c r="AH1134" i="79"/>
  <c r="M81" i="43" s="1"/>
  <c r="AH1132" i="79"/>
  <c r="AH1128" i="79"/>
  <c r="AH1131" i="79"/>
  <c r="AH764" i="79"/>
  <c r="AH763" i="79"/>
  <c r="AH766" i="79"/>
  <c r="M75" i="43" s="1"/>
  <c r="AH762" i="79"/>
  <c r="AA203" i="79"/>
  <c r="Y566" i="46"/>
  <c r="Z566" i="46"/>
  <c r="AG396" i="46"/>
  <c r="AJ395" i="79"/>
  <c r="AJ396" i="79"/>
  <c r="AI580" i="79"/>
  <c r="AI579" i="79"/>
  <c r="AI582" i="79"/>
  <c r="N72" i="43" s="1"/>
  <c r="AJ203" i="79"/>
  <c r="AJ205" i="79"/>
  <c r="O66" i="43" s="1"/>
  <c r="AG395" i="79"/>
  <c r="AG396" i="79"/>
  <c r="AG398" i="79"/>
  <c r="L69" i="43" s="1"/>
  <c r="AM574" i="79"/>
  <c r="AH205" i="79"/>
  <c r="M66" i="43" s="1"/>
  <c r="AH203" i="79"/>
  <c r="AK203" i="79"/>
  <c r="AK205" i="79"/>
  <c r="P66" i="43" s="1"/>
  <c r="AI522" i="46"/>
  <c r="N63" i="43" s="1"/>
  <c r="AI517" i="46"/>
  <c r="AI392" i="46"/>
  <c r="N60" i="43" s="1"/>
  <c r="AI390" i="46"/>
  <c r="AK260" i="46"/>
  <c r="AK262" i="46"/>
  <c r="P57" i="43" s="1"/>
  <c r="AI395" i="79"/>
  <c r="AI396" i="79"/>
  <c r="AG522" i="46"/>
  <c r="L63" i="43" s="1"/>
  <c r="AL580" i="79"/>
  <c r="AL578" i="79"/>
  <c r="AL579" i="79"/>
  <c r="AF203" i="79"/>
  <c r="AF205" i="79"/>
  <c r="K66" i="43" s="1"/>
  <c r="AJ390" i="46"/>
  <c r="AL260" i="46"/>
  <c r="AL262" i="46"/>
  <c r="Q57" i="43" s="1"/>
  <c r="AG579" i="79"/>
  <c r="AM577" i="79"/>
  <c r="AG580" i="79"/>
  <c r="AL203" i="79"/>
  <c r="AL205" i="79"/>
  <c r="Q66" i="43" s="1"/>
  <c r="AH390" i="46"/>
  <c r="AH392" i="46"/>
  <c r="M60" i="43" s="1"/>
  <c r="AF395" i="79"/>
  <c r="AF398" i="79"/>
  <c r="AF396" i="79"/>
  <c r="AJ580" i="79"/>
  <c r="AJ579" i="79"/>
  <c r="AJ578" i="79"/>
  <c r="AJ582" i="79"/>
  <c r="O72" i="43" s="1"/>
  <c r="D81" i="43"/>
  <c r="AH522" i="46"/>
  <c r="M63" i="43" s="1"/>
  <c r="AH517" i="46"/>
  <c r="AF262" i="46"/>
  <c r="K57" i="43" s="1"/>
  <c r="AF260" i="46"/>
  <c r="AK395" i="79"/>
  <c r="AK398" i="79"/>
  <c r="P69" i="43" s="1"/>
  <c r="AK396" i="79"/>
  <c r="AH580" i="79"/>
  <c r="AH579" i="79"/>
  <c r="I93" i="43"/>
  <c r="AM576" i="79"/>
  <c r="AK579" i="79"/>
  <c r="AK582" i="79"/>
  <c r="P72" i="43" s="1"/>
  <c r="AK580" i="79"/>
  <c r="I94" i="43"/>
  <c r="AK1131" i="79" l="1"/>
  <c r="AF582" i="79"/>
  <c r="K72" i="43" s="1"/>
  <c r="S24" i="84"/>
  <c r="AJ950" i="79"/>
  <c r="O78" i="43" s="1"/>
  <c r="Z582" i="79"/>
  <c r="E72" i="43" s="1"/>
  <c r="D86" i="87" s="1"/>
  <c r="AH398" i="79"/>
  <c r="M69" i="43" s="1"/>
  <c r="AF390" i="46"/>
  <c r="AI203" i="79"/>
  <c r="AF392" i="46"/>
  <c r="K60" i="43" s="1"/>
  <c r="R60" i="43" s="1"/>
  <c r="BD140" i="46"/>
  <c r="S17" i="47"/>
  <c r="S23" i="47"/>
  <c r="S26" i="84"/>
  <c r="S18" i="84"/>
  <c r="Z396" i="79"/>
  <c r="AI1128" i="79"/>
  <c r="AF579" i="79"/>
  <c r="AC519" i="46"/>
  <c r="G28" i="87"/>
  <c r="AL947" i="79"/>
  <c r="AE395" i="79"/>
  <c r="AG202" i="79"/>
  <c r="AK948" i="79"/>
  <c r="K100" i="43" s="1"/>
  <c r="Z757" i="79"/>
  <c r="AE520" i="46"/>
  <c r="I12" i="87"/>
  <c r="I21" i="87" s="1"/>
  <c r="AG199" i="79"/>
  <c r="AG204" i="79" s="1"/>
  <c r="L65" i="43" s="1"/>
  <c r="Z760" i="79"/>
  <c r="AJ940" i="79"/>
  <c r="K92" i="43" s="1"/>
  <c r="S25" i="47"/>
  <c r="Z762" i="79"/>
  <c r="AI202" i="79"/>
  <c r="AI758" i="79"/>
  <c r="AL757" i="79"/>
  <c r="AK388" i="46"/>
  <c r="AI762" i="79"/>
  <c r="AM762" i="79" s="1"/>
  <c r="AC390" i="46"/>
  <c r="AE391" i="79"/>
  <c r="AC259" i="46"/>
  <c r="AI259" i="46"/>
  <c r="AI261" i="46" s="1"/>
  <c r="N56" i="43" s="1"/>
  <c r="S41" i="84" s="1"/>
  <c r="AL1123" i="79"/>
  <c r="AH391" i="79"/>
  <c r="AK1134" i="79"/>
  <c r="P81" i="43" s="1"/>
  <c r="AD391" i="79"/>
  <c r="AK1132" i="79"/>
  <c r="AH262" i="46"/>
  <c r="M57" i="43" s="1"/>
  <c r="AE763" i="79"/>
  <c r="AE579" i="79"/>
  <c r="L46" i="44"/>
  <c r="AE943" i="79"/>
  <c r="AE394" i="79"/>
  <c r="AE1132" i="79"/>
  <c r="L101" i="43" s="1"/>
  <c r="M101" i="43" s="1"/>
  <c r="AE766" i="79"/>
  <c r="J75" i="43" s="1"/>
  <c r="AE950" i="79"/>
  <c r="J78" i="43" s="1"/>
  <c r="H10" i="87"/>
  <c r="H21" i="87" s="1"/>
  <c r="AF389" i="46"/>
  <c r="AF391" i="46" s="1"/>
  <c r="K59" i="43" s="1"/>
  <c r="AL948" i="79"/>
  <c r="AK946" i="79"/>
  <c r="AM946" i="79" s="1"/>
  <c r="Z763" i="79"/>
  <c r="AK945" i="79"/>
  <c r="AE131" i="46"/>
  <c r="AE398" i="79"/>
  <c r="J69" i="43" s="1"/>
  <c r="I61" i="87" s="1"/>
  <c r="I62" i="87" s="1"/>
  <c r="AK940" i="79"/>
  <c r="AL760" i="79"/>
  <c r="AI1130" i="79"/>
  <c r="Z945" i="79"/>
  <c r="S16" i="47"/>
  <c r="Z947" i="79"/>
  <c r="AI757" i="79"/>
  <c r="AJ388" i="46"/>
  <c r="AJ391" i="46" s="1"/>
  <c r="O59" i="43" s="1"/>
  <c r="AG200" i="79"/>
  <c r="AJ517" i="46"/>
  <c r="AJ520" i="46" s="1"/>
  <c r="AJ521" i="46" s="1"/>
  <c r="O62" i="43" s="1"/>
  <c r="AJ519" i="46"/>
  <c r="D137" i="85"/>
  <c r="AL1126" i="79"/>
  <c r="AE259" i="46"/>
  <c r="D92" i="43" s="1"/>
  <c r="Z950" i="79"/>
  <c r="E78" i="43" s="1"/>
  <c r="AK1123" i="79"/>
  <c r="L92" i="43" s="1"/>
  <c r="N116" i="85"/>
  <c r="C138" i="85" s="1"/>
  <c r="AE390" i="46"/>
  <c r="E94" i="43" s="1"/>
  <c r="AI262" i="46"/>
  <c r="N57" i="43" s="1"/>
  <c r="AE760" i="79"/>
  <c r="AL763" i="79"/>
  <c r="AD945" i="79"/>
  <c r="I30" i="87"/>
  <c r="I8" i="87"/>
  <c r="B68" i="85"/>
  <c r="AE1134" i="79"/>
  <c r="J81" i="43" s="1"/>
  <c r="AK132" i="46"/>
  <c r="P54" i="43" s="1"/>
  <c r="U19" i="47" s="1"/>
  <c r="L47" i="44"/>
  <c r="AD1129" i="79"/>
  <c r="AL571" i="79"/>
  <c r="AL582" i="79" s="1"/>
  <c r="Q72" i="43" s="1"/>
  <c r="AG571" i="79"/>
  <c r="AG582" i="79" s="1"/>
  <c r="L72" i="43" s="1"/>
  <c r="AD1131" i="79"/>
  <c r="AM1131" i="79" s="1"/>
  <c r="AE1123" i="79"/>
  <c r="AE764" i="79"/>
  <c r="J99" i="43" s="1"/>
  <c r="H59" i="87"/>
  <c r="H68" i="87" s="1"/>
  <c r="H69" i="87" s="1"/>
  <c r="AD396" i="79"/>
  <c r="AE757" i="79"/>
  <c r="L49" i="44"/>
  <c r="AG201" i="79"/>
  <c r="S16" i="84"/>
  <c r="S21" i="84"/>
  <c r="S23" i="84"/>
  <c r="S21" i="47"/>
  <c r="S15" i="47"/>
  <c r="AJ947" i="79"/>
  <c r="S15" i="84"/>
  <c r="AE389" i="46"/>
  <c r="S24" i="47"/>
  <c r="S20" i="84"/>
  <c r="S20" i="47"/>
  <c r="S19" i="47"/>
  <c r="AF580" i="79"/>
  <c r="AD199" i="79"/>
  <c r="AI1131" i="79"/>
  <c r="AJ389" i="46"/>
  <c r="AJ943" i="79"/>
  <c r="Z200" i="79"/>
  <c r="AI760" i="79"/>
  <c r="Z940" i="79"/>
  <c r="AD262" i="46"/>
  <c r="AE260" i="46"/>
  <c r="AK1126" i="79"/>
  <c r="L95" i="43" s="1"/>
  <c r="AH392" i="79"/>
  <c r="AC388" i="46"/>
  <c r="AC391" i="46" s="1"/>
  <c r="AK1129" i="79"/>
  <c r="AD394" i="79"/>
  <c r="AG950" i="79"/>
  <c r="L78" i="43" s="1"/>
  <c r="AL766" i="79"/>
  <c r="Q75" i="43" s="1"/>
  <c r="AK1130" i="79"/>
  <c r="AE1130" i="79"/>
  <c r="AM1130" i="79" s="1"/>
  <c r="I31" i="87"/>
  <c r="C68" i="85"/>
  <c r="AC202" i="79"/>
  <c r="AE391" i="46"/>
  <c r="BE138" i="46"/>
  <c r="AD518" i="46"/>
  <c r="E7" i="87"/>
  <c r="AU137" i="46"/>
  <c r="Y200" i="79"/>
  <c r="AT137" i="46"/>
  <c r="J71" i="43"/>
  <c r="I85" i="87" s="1"/>
  <c r="I87" i="87" s="1"/>
  <c r="C142" i="85"/>
  <c r="AA518" i="46"/>
  <c r="AC556" i="46"/>
  <c r="AF520" i="46"/>
  <c r="AF521" i="46" s="1"/>
  <c r="K62" i="43" s="1"/>
  <c r="G89" i="85"/>
  <c r="U20" i="47"/>
  <c r="BE136" i="46"/>
  <c r="Z394" i="79"/>
  <c r="AT138" i="46"/>
  <c r="Y392" i="79"/>
  <c r="AH396" i="46"/>
  <c r="AH201" i="79" s="1"/>
  <c r="AH204" i="79" s="1"/>
  <c r="M65" i="43" s="1"/>
  <c r="BA135" i="46"/>
  <c r="AE261" i="46"/>
  <c r="AG261" i="46"/>
  <c r="L56" i="43" s="1"/>
  <c r="Q37" i="47" s="1"/>
  <c r="BD136" i="46"/>
  <c r="Y394" i="79"/>
  <c r="AY135" i="46"/>
  <c r="AJ261" i="46"/>
  <c r="O56" i="43" s="1"/>
  <c r="T37" i="84" s="1"/>
  <c r="Y388" i="46"/>
  <c r="E92" i="43" s="1"/>
  <c r="Y396" i="46"/>
  <c r="C29" i="87" s="1"/>
  <c r="Y579" i="79"/>
  <c r="I97" i="43" s="1"/>
  <c r="AI396" i="46"/>
  <c r="AI201" i="79" s="1"/>
  <c r="AI204" i="79" s="1"/>
  <c r="N65" i="43" s="1"/>
  <c r="AK396" i="46"/>
  <c r="AK201" i="79" s="1"/>
  <c r="AK204" i="79" s="1"/>
  <c r="P65" i="43" s="1"/>
  <c r="AF396" i="46"/>
  <c r="AF201" i="79" s="1"/>
  <c r="AF204" i="79" s="1"/>
  <c r="K65" i="43" s="1"/>
  <c r="S210" i="46"/>
  <c r="AA268" i="46" s="1"/>
  <c r="E22" i="87"/>
  <c r="F94" i="87"/>
  <c r="F89" i="85"/>
  <c r="I89" i="85"/>
  <c r="L89" i="85"/>
  <c r="D89" i="85"/>
  <c r="E89" i="85"/>
  <c r="N90" i="85"/>
  <c r="N117" i="85" s="1"/>
  <c r="AP135" i="46"/>
  <c r="BE140" i="46"/>
  <c r="Z396" i="46"/>
  <c r="D29" i="87" s="1"/>
  <c r="G289" i="46"/>
  <c r="H289" i="46" s="1"/>
  <c r="I28" i="87"/>
  <c r="AB267" i="46"/>
  <c r="AB200" i="79" s="1"/>
  <c r="AC557" i="46"/>
  <c r="AU138" i="46"/>
  <c r="Y943" i="79"/>
  <c r="AM943" i="79" s="1"/>
  <c r="AU139" i="46"/>
  <c r="G94" i="87"/>
  <c r="AL396" i="46"/>
  <c r="AL201" i="79" s="1"/>
  <c r="AL204" i="79" s="1"/>
  <c r="Q65" i="43" s="1"/>
  <c r="AC396" i="46"/>
  <c r="AC201" i="79" s="1"/>
  <c r="AL520" i="46"/>
  <c r="AL521" i="46" s="1"/>
  <c r="Q62" i="43" s="1"/>
  <c r="AB396" i="46"/>
  <c r="AB201" i="79" s="1"/>
  <c r="AA267" i="46"/>
  <c r="E28" i="87" s="1"/>
  <c r="AD267" i="46"/>
  <c r="AD200" i="79" s="1"/>
  <c r="AE518" i="46"/>
  <c r="AC261" i="46"/>
  <c r="H89" i="85"/>
  <c r="J89" i="85"/>
  <c r="C89" i="85"/>
  <c r="B89" i="85"/>
  <c r="M89" i="85"/>
  <c r="K89" i="85"/>
  <c r="AB391" i="46"/>
  <c r="AP136" i="46"/>
  <c r="AV136" i="46"/>
  <c r="D138" i="85"/>
  <c r="D142" i="85" s="1"/>
  <c r="AT140" i="46"/>
  <c r="Y760" i="79"/>
  <c r="AM760" i="79" s="1"/>
  <c r="Z519" i="46"/>
  <c r="AC517" i="46"/>
  <c r="AO137" i="46"/>
  <c r="C5" i="87"/>
  <c r="C9" i="87" s="1"/>
  <c r="C19" i="87" s="1"/>
  <c r="E94" i="87"/>
  <c r="Y519" i="46"/>
  <c r="AB261" i="46"/>
  <c r="F6" i="87"/>
  <c r="AB518" i="46"/>
  <c r="AZ135" i="46"/>
  <c r="D93" i="87"/>
  <c r="G69" i="87"/>
  <c r="H93" i="87"/>
  <c r="H94" i="87" s="1"/>
  <c r="C93" i="87"/>
  <c r="B142" i="85"/>
  <c r="AE396" i="46"/>
  <c r="I29" i="87" s="1"/>
  <c r="I94" i="87"/>
  <c r="Y582" i="79"/>
  <c r="D72" i="43" s="1"/>
  <c r="C86" i="87" s="1"/>
  <c r="AD396" i="46"/>
  <c r="AD201" i="79" s="1"/>
  <c r="Y580" i="79"/>
  <c r="AM580" i="79" s="1"/>
  <c r="AU135" i="46"/>
  <c r="Z260" i="46"/>
  <c r="AM260" i="46" s="1"/>
  <c r="V18" i="47"/>
  <c r="V17" i="84"/>
  <c r="AG391" i="46"/>
  <c r="L59" i="43" s="1"/>
  <c r="Q26" i="84"/>
  <c r="Q18" i="84"/>
  <c r="AH261" i="46"/>
  <c r="M56" i="43" s="1"/>
  <c r="R37" i="47" s="1"/>
  <c r="Q15" i="84"/>
  <c r="Q17" i="47"/>
  <c r="U21" i="47"/>
  <c r="R17" i="84"/>
  <c r="Q19" i="47"/>
  <c r="Q23" i="47"/>
  <c r="Q25" i="47"/>
  <c r="Q25" i="84"/>
  <c r="Q21" i="47"/>
  <c r="AD391" i="46"/>
  <c r="Q26" i="47"/>
  <c r="Q17" i="84"/>
  <c r="Q21" i="84"/>
  <c r="Q18" i="47"/>
  <c r="Q15" i="47"/>
  <c r="Q24" i="84"/>
  <c r="I22" i="87"/>
  <c r="Q19" i="84"/>
  <c r="Q24" i="47"/>
  <c r="D22" i="87"/>
  <c r="Q36" i="47"/>
  <c r="U17" i="84"/>
  <c r="U26" i="84"/>
  <c r="V24" i="84"/>
  <c r="V21" i="84"/>
  <c r="R53" i="43"/>
  <c r="U23" i="47"/>
  <c r="AA261" i="46"/>
  <c r="V19" i="47"/>
  <c r="E69" i="87"/>
  <c r="U24" i="84"/>
  <c r="U24" i="47"/>
  <c r="U26" i="47"/>
  <c r="U22" i="84"/>
  <c r="U17" i="47"/>
  <c r="U21" i="84"/>
  <c r="U18" i="47"/>
  <c r="U19" i="84"/>
  <c r="U16" i="47"/>
  <c r="U15" i="47"/>
  <c r="U25" i="84"/>
  <c r="U22" i="47"/>
  <c r="U16" i="84"/>
  <c r="U23" i="84"/>
  <c r="I45" i="87"/>
  <c r="R17" i="47"/>
  <c r="R24" i="84"/>
  <c r="U18" i="84"/>
  <c r="U25" i="47"/>
  <c r="D69" i="87"/>
  <c r="U20" i="84"/>
  <c r="U15" i="84"/>
  <c r="V25" i="84"/>
  <c r="V16" i="47"/>
  <c r="V18" i="84"/>
  <c r="R26" i="84"/>
  <c r="V20" i="84"/>
  <c r="V15" i="84"/>
  <c r="V19" i="84"/>
  <c r="R15" i="84"/>
  <c r="AK391" i="46"/>
  <c r="P59" i="43" s="1"/>
  <c r="R15" i="47"/>
  <c r="R26" i="47"/>
  <c r="V17" i="47"/>
  <c r="V23" i="84"/>
  <c r="V21" i="47"/>
  <c r="AF581" i="79"/>
  <c r="K71" i="43" s="1"/>
  <c r="R23" i="47"/>
  <c r="R19" i="84"/>
  <c r="R16" i="84"/>
  <c r="R21" i="84"/>
  <c r="V24" i="47"/>
  <c r="V26" i="84"/>
  <c r="V22" i="84"/>
  <c r="V22" i="47"/>
  <c r="V16" i="84"/>
  <c r="V25" i="47"/>
  <c r="V26" i="47"/>
  <c r="V23" i="47"/>
  <c r="V20" i="47"/>
  <c r="H22" i="87"/>
  <c r="Q20" i="84"/>
  <c r="Q22" i="47"/>
  <c r="Q20" i="47"/>
  <c r="Q23" i="84"/>
  <c r="Q22" i="84"/>
  <c r="L99" i="43"/>
  <c r="AM131" i="46"/>
  <c r="C92" i="43" s="1"/>
  <c r="Q16" i="47"/>
  <c r="S27" i="47"/>
  <c r="S29" i="47" s="1"/>
  <c r="C30" i="87"/>
  <c r="BD135" i="46"/>
  <c r="C27" i="87"/>
  <c r="AO138" i="46"/>
  <c r="BE139" i="46"/>
  <c r="AA396" i="46"/>
  <c r="E29" i="87" s="1"/>
  <c r="Y202" i="79"/>
  <c r="AM132" i="46"/>
  <c r="C103" i="43" s="1"/>
  <c r="R21" i="47"/>
  <c r="R23" i="84"/>
  <c r="D30" i="87"/>
  <c r="BE135" i="46"/>
  <c r="Z202" i="79"/>
  <c r="AP137" i="46"/>
  <c r="D5" i="87"/>
  <c r="D9" i="87" s="1"/>
  <c r="Z517" i="46"/>
  <c r="D27" i="87"/>
  <c r="Z199" i="79"/>
  <c r="AP138" i="46"/>
  <c r="AP140" i="46"/>
  <c r="AM390" i="46"/>
  <c r="I69" i="87"/>
  <c r="AA521" i="46"/>
  <c r="F62" i="43" s="1"/>
  <c r="K70" i="47" s="1"/>
  <c r="R22" i="84"/>
  <c r="R24" i="47"/>
  <c r="R25" i="47"/>
  <c r="Q31" i="84"/>
  <c r="Z391" i="46"/>
  <c r="AP139" i="46"/>
  <c r="R20" i="47"/>
  <c r="R20" i="84"/>
  <c r="R19" i="47"/>
  <c r="R22" i="47"/>
  <c r="R25" i="84"/>
  <c r="R18" i="84"/>
  <c r="R18" i="47"/>
  <c r="R16" i="47"/>
  <c r="G27" i="87"/>
  <c r="AC199" i="79"/>
  <c r="Y261" i="46"/>
  <c r="R54" i="43"/>
  <c r="Z558" i="46"/>
  <c r="AA558" i="46" s="1"/>
  <c r="AC558" i="46" s="1"/>
  <c r="I7" i="87"/>
  <c r="AE519" i="46"/>
  <c r="I36" i="87"/>
  <c r="I38" i="87" s="1"/>
  <c r="C73" i="85"/>
  <c r="P26" i="47"/>
  <c r="P26" i="84"/>
  <c r="P15" i="47"/>
  <c r="P20" i="47"/>
  <c r="P24" i="47"/>
  <c r="P16" i="47"/>
  <c r="P19" i="84"/>
  <c r="P25" i="47"/>
  <c r="P25" i="84"/>
  <c r="P23" i="84"/>
  <c r="P17" i="47"/>
  <c r="P20" i="84"/>
  <c r="P23" i="47"/>
  <c r="P16" i="84"/>
  <c r="P22" i="84"/>
  <c r="P21" i="84"/>
  <c r="P19" i="47"/>
  <c r="P17" i="84"/>
  <c r="P18" i="84"/>
  <c r="P18" i="47"/>
  <c r="P21" i="47"/>
  <c r="P24" i="84"/>
  <c r="P15" i="84"/>
  <c r="P22" i="47"/>
  <c r="E30" i="85"/>
  <c r="B69" i="85"/>
  <c r="N30" i="85"/>
  <c r="N50" i="85" s="1"/>
  <c r="L100" i="43"/>
  <c r="AC518" i="46"/>
  <c r="G6" i="87"/>
  <c r="G9" i="87" s="1"/>
  <c r="AB522" i="46"/>
  <c r="G63" i="43" s="1"/>
  <c r="F14" i="87" s="1"/>
  <c r="F10" i="87"/>
  <c r="F21" i="87" s="1"/>
  <c r="D45" i="87"/>
  <c r="G29" i="87"/>
  <c r="H7" i="87"/>
  <c r="H9" i="87" s="1"/>
  <c r="AD519" i="46"/>
  <c r="Y522" i="46"/>
  <c r="D63" i="43" s="1"/>
  <c r="C14" i="87" s="1"/>
  <c r="C10" i="87"/>
  <c r="C21" i="87" s="1"/>
  <c r="H44" i="87"/>
  <c r="H45" i="87" s="1"/>
  <c r="AT135" i="46"/>
  <c r="Y389" i="46"/>
  <c r="E9" i="87"/>
  <c r="AB519" i="46"/>
  <c r="AB521" i="46" s="1"/>
  <c r="G62" i="43" s="1"/>
  <c r="F7" i="87"/>
  <c r="T20" i="47"/>
  <c r="T15" i="84"/>
  <c r="T26" i="84"/>
  <c r="T16" i="84"/>
  <c r="T22" i="84"/>
  <c r="T19" i="47"/>
  <c r="T24" i="47"/>
  <c r="T25" i="47"/>
  <c r="T17" i="47"/>
  <c r="T26" i="47"/>
  <c r="T19" i="84"/>
  <c r="T18" i="84"/>
  <c r="T32" i="84"/>
  <c r="T15" i="47"/>
  <c r="T23" i="47"/>
  <c r="T21" i="84"/>
  <c r="T20" i="84"/>
  <c r="T18" i="47"/>
  <c r="T21" i="47"/>
  <c r="T23" i="84"/>
  <c r="T16" i="47"/>
  <c r="T24" i="84"/>
  <c r="T22" i="47"/>
  <c r="T25" i="84"/>
  <c r="T17" i="84"/>
  <c r="Z578" i="79"/>
  <c r="Z581" i="79" s="1"/>
  <c r="E71" i="43" s="1"/>
  <c r="D85" i="87" s="1"/>
  <c r="D87" i="87" s="1"/>
  <c r="D109" i="87" s="1"/>
  <c r="D126" i="87" s="1"/>
  <c r="L14" i="92" s="1"/>
  <c r="D78" i="87"/>
  <c r="D81" i="87" s="1"/>
  <c r="AB205" i="79"/>
  <c r="G66" i="43" s="1"/>
  <c r="F37" i="87" s="1"/>
  <c r="F33" i="87"/>
  <c r="F44" i="87" s="1"/>
  <c r="Y205" i="79"/>
  <c r="D66" i="43" s="1"/>
  <c r="C37" i="87" s="1"/>
  <c r="C33" i="87"/>
  <c r="C44" i="87" s="1"/>
  <c r="AA395" i="79"/>
  <c r="E54" i="87"/>
  <c r="E56" i="87" s="1"/>
  <c r="L310" i="79"/>
  <c r="K307" i="79"/>
  <c r="E44" i="87"/>
  <c r="E45" i="87" s="1"/>
  <c r="AB395" i="79"/>
  <c r="F54" i="87"/>
  <c r="F56" i="87" s="1"/>
  <c r="L97" i="43"/>
  <c r="AD395" i="79"/>
  <c r="H54" i="87"/>
  <c r="H56" i="87" s="1"/>
  <c r="AC578" i="79"/>
  <c r="AC581" i="79" s="1"/>
  <c r="H71" i="43" s="1"/>
  <c r="G85" i="87" s="1"/>
  <c r="G87" i="87" s="1"/>
  <c r="G109" i="87" s="1"/>
  <c r="G126" i="87" s="1"/>
  <c r="G78" i="87"/>
  <c r="G81" i="87" s="1"/>
  <c r="K97" i="43"/>
  <c r="Y398" i="79"/>
  <c r="D69" i="43" s="1"/>
  <c r="C61" i="87" s="1"/>
  <c r="C57" i="87"/>
  <c r="G44" i="87"/>
  <c r="G45" i="87" s="1"/>
  <c r="AB398" i="79"/>
  <c r="G69" i="43" s="1"/>
  <c r="F61" i="87" s="1"/>
  <c r="F57" i="87"/>
  <c r="F68" i="87" s="1"/>
  <c r="Z395" i="79"/>
  <c r="D54" i="87"/>
  <c r="D56" i="87" s="1"/>
  <c r="Y578" i="79"/>
  <c r="C78" i="87"/>
  <c r="C81" i="87" s="1"/>
  <c r="AM948" i="79"/>
  <c r="G66" i="87"/>
  <c r="G58" i="87"/>
  <c r="L98" i="43"/>
  <c r="AM947" i="79"/>
  <c r="AM940" i="79"/>
  <c r="AM1128" i="79"/>
  <c r="J98" i="43"/>
  <c r="K99" i="43"/>
  <c r="K98" i="43"/>
  <c r="AM945" i="79"/>
  <c r="R78" i="43"/>
  <c r="AM1129" i="79"/>
  <c r="J97" i="43"/>
  <c r="AM1132" i="79"/>
  <c r="AM764" i="79"/>
  <c r="R58" i="79"/>
  <c r="AB209" i="79"/>
  <c r="AE209" i="79"/>
  <c r="AE578" i="79" s="1"/>
  <c r="AE581" i="79" s="1"/>
  <c r="AA209" i="79"/>
  <c r="AD209" i="79"/>
  <c r="AM203" i="79"/>
  <c r="AM763" i="79"/>
  <c r="H39" i="79"/>
  <c r="AL210" i="79"/>
  <c r="AL761" i="79" s="1"/>
  <c r="AH210" i="79"/>
  <c r="AH761" i="79" s="1"/>
  <c r="AF210" i="79"/>
  <c r="AF761" i="79" s="1"/>
  <c r="AI210" i="79"/>
  <c r="AI761" i="79" s="1"/>
  <c r="AC210" i="79"/>
  <c r="AC761" i="79" s="1"/>
  <c r="AK210" i="79"/>
  <c r="AK761" i="79" s="1"/>
  <c r="AJ210" i="79"/>
  <c r="AJ761" i="79" s="1"/>
  <c r="AG210" i="79"/>
  <c r="AG761" i="79" s="1"/>
  <c r="Y210" i="79"/>
  <c r="Y761" i="79" s="1"/>
  <c r="AV135" i="46"/>
  <c r="AA389" i="46"/>
  <c r="AA391" i="46" s="1"/>
  <c r="U308" i="46"/>
  <c r="S27" i="84"/>
  <c r="S29" i="84" s="1"/>
  <c r="AM396" i="79"/>
  <c r="AL261" i="46"/>
  <c r="Q56" i="43" s="1"/>
  <c r="V35" i="47" s="1"/>
  <c r="AM579" i="79"/>
  <c r="AA566" i="46"/>
  <c r="AC566" i="46" s="1"/>
  <c r="AM757" i="79"/>
  <c r="F75" i="43"/>
  <c r="AM766" i="79"/>
  <c r="J103" i="43" s="1"/>
  <c r="AA565" i="46"/>
  <c r="AC565" i="46" s="1"/>
  <c r="R81" i="43"/>
  <c r="J92" i="43"/>
  <c r="Z518" i="46"/>
  <c r="AU136" i="46"/>
  <c r="AT136" i="46"/>
  <c r="Y518" i="46"/>
  <c r="AK520" i="46"/>
  <c r="AK521" i="46" s="1"/>
  <c r="P62" i="43" s="1"/>
  <c r="AJ204" i="79"/>
  <c r="O65" i="43" s="1"/>
  <c r="AK397" i="46"/>
  <c r="AK393" i="79" s="1"/>
  <c r="AK397" i="79" s="1"/>
  <c r="P68" i="43" s="1"/>
  <c r="AM1126" i="79"/>
  <c r="AL391" i="46"/>
  <c r="Q59" i="43" s="1"/>
  <c r="Z758" i="79"/>
  <c r="AU140" i="46"/>
  <c r="L210" i="46"/>
  <c r="AF271" i="46"/>
  <c r="AF941" i="79" s="1"/>
  <c r="AL271" i="46"/>
  <c r="AL941" i="79" s="1"/>
  <c r="AJ271" i="46"/>
  <c r="AJ941" i="79" s="1"/>
  <c r="AH271" i="46"/>
  <c r="AH941" i="79" s="1"/>
  <c r="AI271" i="46"/>
  <c r="AI941" i="79" s="1"/>
  <c r="AG271" i="46"/>
  <c r="AG941" i="79" s="1"/>
  <c r="AK271" i="46"/>
  <c r="AK941" i="79" s="1"/>
  <c r="AC271" i="46"/>
  <c r="AC941" i="79" s="1"/>
  <c r="Z271" i="46"/>
  <c r="Z941" i="79" s="1"/>
  <c r="Y271" i="46"/>
  <c r="Y941" i="79" s="1"/>
  <c r="S339" i="46"/>
  <c r="AA397" i="46"/>
  <c r="AE397" i="46"/>
  <c r="AE393" i="79" s="1"/>
  <c r="AB397" i="46"/>
  <c r="AB393" i="79" s="1"/>
  <c r="AD397" i="46"/>
  <c r="AD393" i="79" s="1"/>
  <c r="AG520" i="46"/>
  <c r="AG521" i="46" s="1"/>
  <c r="L62" i="43" s="1"/>
  <c r="AI520" i="46"/>
  <c r="AI521" i="46" s="1"/>
  <c r="N62" i="43" s="1"/>
  <c r="H92" i="43"/>
  <c r="AH391" i="46"/>
  <c r="M59" i="43" s="1"/>
  <c r="I95" i="43"/>
  <c r="AM391" i="79"/>
  <c r="G96" i="43"/>
  <c r="AH581" i="79"/>
  <c r="M71" i="43" s="1"/>
  <c r="AF261" i="46"/>
  <c r="K56" i="43" s="1"/>
  <c r="AM392" i="46"/>
  <c r="E103" i="43" s="1"/>
  <c r="AG581" i="79"/>
  <c r="L71" i="43" s="1"/>
  <c r="S40" i="47"/>
  <c r="S38" i="84"/>
  <c r="S35" i="84"/>
  <c r="S30" i="47"/>
  <c r="S31" i="84"/>
  <c r="S37" i="47"/>
  <c r="S32" i="47"/>
  <c r="S39" i="84"/>
  <c r="S34" i="84"/>
  <c r="S36" i="84"/>
  <c r="S38" i="47"/>
  <c r="S34" i="47"/>
  <c r="AK261" i="46"/>
  <c r="P56" i="43" s="1"/>
  <c r="AI391" i="46"/>
  <c r="N59" i="43" s="1"/>
  <c r="AI581" i="79"/>
  <c r="N71" i="43" s="1"/>
  <c r="AH520" i="46"/>
  <c r="AH521" i="46" s="1"/>
  <c r="M62" i="43" s="1"/>
  <c r="AJ581" i="79"/>
  <c r="O71" i="43" s="1"/>
  <c r="AM575" i="79"/>
  <c r="I92" i="43"/>
  <c r="AK581" i="79"/>
  <c r="P71" i="43" s="1"/>
  <c r="R57" i="43"/>
  <c r="H97" i="43"/>
  <c r="K69" i="43"/>
  <c r="AM262" i="46"/>
  <c r="D103" i="43" s="1"/>
  <c r="AL581" i="79"/>
  <c r="Q71" i="43" s="1"/>
  <c r="AM259" i="46"/>
  <c r="I78" i="87" l="1"/>
  <c r="I54" i="87"/>
  <c r="I55" i="87"/>
  <c r="I79" i="87"/>
  <c r="S31" i="47"/>
  <c r="S30" i="84"/>
  <c r="S42" i="84" s="1"/>
  <c r="S44" i="84" s="1"/>
  <c r="S41" i="47"/>
  <c r="S39" i="47"/>
  <c r="S32" i="84"/>
  <c r="S36" i="47"/>
  <c r="I98" i="43"/>
  <c r="R75" i="43"/>
  <c r="AM1123" i="79"/>
  <c r="AC521" i="46"/>
  <c r="H62" i="43" s="1"/>
  <c r="M62" i="47" s="1"/>
  <c r="I9" i="87"/>
  <c r="AM517" i="46"/>
  <c r="R38" i="47"/>
  <c r="D94" i="87"/>
  <c r="S48" i="84"/>
  <c r="S35" i="47"/>
  <c r="S37" i="84"/>
  <c r="S40" i="84"/>
  <c r="S33" i="84"/>
  <c r="S33" i="47"/>
  <c r="S42" i="47" s="1"/>
  <c r="S44" i="47" s="1"/>
  <c r="AM1134" i="79"/>
  <c r="L103" i="43" s="1"/>
  <c r="AM950" i="79"/>
  <c r="K103" i="43" s="1"/>
  <c r="R37" i="84"/>
  <c r="D68" i="85"/>
  <c r="J95" i="43"/>
  <c r="AD521" i="46"/>
  <c r="I62" i="43" s="1"/>
  <c r="H13" i="87" s="1"/>
  <c r="H15" i="87" s="1"/>
  <c r="AE268" i="46"/>
  <c r="AE392" i="79" s="1"/>
  <c r="AE397" i="79" s="1"/>
  <c r="Q33" i="47"/>
  <c r="I32" i="87"/>
  <c r="Q40" i="84"/>
  <c r="T33" i="84"/>
  <c r="T34" i="47"/>
  <c r="T32" i="47"/>
  <c r="Q38" i="47"/>
  <c r="Q41" i="47"/>
  <c r="Q36" i="84"/>
  <c r="T39" i="47"/>
  <c r="Q31" i="47"/>
  <c r="T50" i="47"/>
  <c r="I109" i="87"/>
  <c r="I126" i="87" s="1"/>
  <c r="L16" i="92" s="1"/>
  <c r="I89" i="87"/>
  <c r="I96" i="87"/>
  <c r="I99" i="87" s="1"/>
  <c r="R36" i="47"/>
  <c r="R40" i="47"/>
  <c r="AV138" i="46"/>
  <c r="AA392" i="79"/>
  <c r="AG397" i="46"/>
  <c r="AG393" i="79" s="1"/>
  <c r="AG397" i="79" s="1"/>
  <c r="L68" i="43" s="1"/>
  <c r="Q90" i="84" s="1"/>
  <c r="T31" i="84"/>
  <c r="T31" i="47"/>
  <c r="T30" i="84"/>
  <c r="T36" i="47"/>
  <c r="Q37" i="84"/>
  <c r="R72" i="43"/>
  <c r="BA137" i="46"/>
  <c r="AA393" i="79"/>
  <c r="Z201" i="79"/>
  <c r="Z204" i="79" s="1"/>
  <c r="E65" i="43" s="1"/>
  <c r="T38" i="84"/>
  <c r="T41" i="47"/>
  <c r="F29" i="87"/>
  <c r="T34" i="84"/>
  <c r="Q35" i="84"/>
  <c r="Q32" i="84"/>
  <c r="T35" i="47"/>
  <c r="Q30" i="84"/>
  <c r="Q32" i="47"/>
  <c r="Q34" i="47"/>
  <c r="T33" i="47"/>
  <c r="Q51" i="47"/>
  <c r="AM394" i="79"/>
  <c r="T40" i="84"/>
  <c r="T30" i="47"/>
  <c r="T41" i="84"/>
  <c r="T38" i="47"/>
  <c r="Q38" i="84"/>
  <c r="Q41" i="84"/>
  <c r="Q34" i="84"/>
  <c r="Q40" i="47"/>
  <c r="Q48" i="84"/>
  <c r="T39" i="84"/>
  <c r="T37" i="47"/>
  <c r="T40" i="47"/>
  <c r="Q30" i="47"/>
  <c r="Q39" i="47"/>
  <c r="T36" i="84"/>
  <c r="Q33" i="84"/>
  <c r="T35" i="84"/>
  <c r="Q39" i="84"/>
  <c r="Q35" i="47"/>
  <c r="Q49" i="84"/>
  <c r="AY136" i="46"/>
  <c r="AO143" i="46" s="1"/>
  <c r="AQ142" i="46"/>
  <c r="F28" i="87"/>
  <c r="Y391" i="46"/>
  <c r="AE201" i="79"/>
  <c r="AE204" i="79" s="1"/>
  <c r="AE521" i="46"/>
  <c r="K95" i="43"/>
  <c r="AP142" i="46"/>
  <c r="Q56" i="47"/>
  <c r="AM388" i="46"/>
  <c r="H95" i="43"/>
  <c r="Q55" i="84"/>
  <c r="Q52" i="47"/>
  <c r="Y201" i="79"/>
  <c r="Y204" i="79" s="1"/>
  <c r="D65" i="43" s="1"/>
  <c r="F9" i="87"/>
  <c r="C32" i="87"/>
  <c r="C42" i="87" s="1"/>
  <c r="R35" i="84"/>
  <c r="AH397" i="46"/>
  <c r="AH393" i="79" s="1"/>
  <c r="AH397" i="79" s="1"/>
  <c r="M68" i="43" s="1"/>
  <c r="R94" i="47" s="1"/>
  <c r="AJ397" i="46"/>
  <c r="AJ393" i="79" s="1"/>
  <c r="AJ397" i="79" s="1"/>
  <c r="O68" i="43" s="1"/>
  <c r="T108" i="47" s="1"/>
  <c r="AB268" i="46"/>
  <c r="AB392" i="79" s="1"/>
  <c r="AB397" i="79" s="1"/>
  <c r="G68" i="43" s="1"/>
  <c r="T210" i="46"/>
  <c r="U210" i="46" s="1"/>
  <c r="AI397" i="46"/>
  <c r="AI393" i="79" s="1"/>
  <c r="AI397" i="79" s="1"/>
  <c r="N68" i="43" s="1"/>
  <c r="S111" i="47" s="1"/>
  <c r="AD268" i="46"/>
  <c r="AD392" i="79" s="1"/>
  <c r="AD397" i="79" s="1"/>
  <c r="I68" i="43" s="1"/>
  <c r="AC397" i="46"/>
  <c r="AC393" i="79" s="1"/>
  <c r="AC397" i="79" s="1"/>
  <c r="H68" i="43" s="1"/>
  <c r="G60" i="87" s="1"/>
  <c r="G62" i="87" s="1"/>
  <c r="G64" i="87" s="1"/>
  <c r="H29" i="87"/>
  <c r="H32" i="87" s="1"/>
  <c r="H42" i="87" s="1"/>
  <c r="AV137" i="46"/>
  <c r="I64" i="87"/>
  <c r="I108" i="87"/>
  <c r="I124" i="87" s="1"/>
  <c r="L18" i="91" s="1"/>
  <c r="I40" i="87"/>
  <c r="I107" i="87"/>
  <c r="I123" i="87" s="1"/>
  <c r="L19" i="90" s="1"/>
  <c r="G108" i="87"/>
  <c r="G124" i="87" s="1"/>
  <c r="AO142" i="46"/>
  <c r="AD204" i="79"/>
  <c r="I65" i="43" s="1"/>
  <c r="H36" i="87" s="1"/>
  <c r="H38" i="87" s="1"/>
  <c r="Z397" i="46"/>
  <c r="Y397" i="46"/>
  <c r="AF397" i="46"/>
  <c r="AF393" i="79" s="1"/>
  <c r="AF397" i="79" s="1"/>
  <c r="K68" i="43" s="1"/>
  <c r="P96" i="47" s="1"/>
  <c r="AA200" i="79"/>
  <c r="AM200" i="79" s="1"/>
  <c r="H28" i="87"/>
  <c r="Q54" i="84"/>
  <c r="AL397" i="46"/>
  <c r="AL393" i="79" s="1"/>
  <c r="AL397" i="79" s="1"/>
  <c r="Q68" i="43" s="1"/>
  <c r="AZ136" i="46"/>
  <c r="AM582" i="79"/>
  <c r="I103" i="43" s="1"/>
  <c r="Y581" i="79"/>
  <c r="D71" i="43" s="1"/>
  <c r="AC559" i="46"/>
  <c r="AA201" i="79"/>
  <c r="R33" i="47"/>
  <c r="D93" i="43"/>
  <c r="M100" i="43"/>
  <c r="R31" i="84"/>
  <c r="C94" i="87"/>
  <c r="G89" i="87"/>
  <c r="G96" i="87"/>
  <c r="G99" i="87" s="1"/>
  <c r="D89" i="87"/>
  <c r="D96" i="87"/>
  <c r="D99" i="87" s="1"/>
  <c r="E32" i="87"/>
  <c r="E42" i="87" s="1"/>
  <c r="G32" i="87"/>
  <c r="G34" i="87" s="1"/>
  <c r="J86" i="87"/>
  <c r="D32" i="87"/>
  <c r="D42" i="87" s="1"/>
  <c r="J14" i="87"/>
  <c r="C11" i="87"/>
  <c r="F92" i="43"/>
  <c r="R39" i="84"/>
  <c r="R41" i="47"/>
  <c r="R33" i="84"/>
  <c r="R34" i="84"/>
  <c r="C34" i="87"/>
  <c r="Z261" i="46"/>
  <c r="R32" i="84"/>
  <c r="R40" i="84"/>
  <c r="D102" i="43"/>
  <c r="Q45" i="47"/>
  <c r="Q47" i="47"/>
  <c r="Q46" i="84"/>
  <c r="Q55" i="47"/>
  <c r="Q45" i="84"/>
  <c r="Q50" i="47"/>
  <c r="Q53" i="47"/>
  <c r="Q46" i="47"/>
  <c r="Q52" i="84"/>
  <c r="R31" i="47"/>
  <c r="R32" i="47"/>
  <c r="R38" i="84"/>
  <c r="R41" i="84"/>
  <c r="R36" i="84"/>
  <c r="R30" i="47"/>
  <c r="Q54" i="47"/>
  <c r="Q48" i="47"/>
  <c r="Q50" i="84"/>
  <c r="Q53" i="84"/>
  <c r="Q47" i="84"/>
  <c r="Q49" i="47"/>
  <c r="Q51" i="84"/>
  <c r="Q56" i="84"/>
  <c r="R34" i="47"/>
  <c r="R35" i="47"/>
  <c r="R30" i="84"/>
  <c r="R39" i="47"/>
  <c r="T56" i="47"/>
  <c r="G92" i="43"/>
  <c r="K64" i="47"/>
  <c r="V39" i="47"/>
  <c r="V63" i="84"/>
  <c r="V30" i="84"/>
  <c r="V36" i="47"/>
  <c r="V63" i="47"/>
  <c r="V51" i="84"/>
  <c r="U27" i="47"/>
  <c r="U29" i="47" s="1"/>
  <c r="K61" i="47"/>
  <c r="V55" i="47"/>
  <c r="Z521" i="46"/>
  <c r="E62" i="43" s="1"/>
  <c r="D13" i="87" s="1"/>
  <c r="D15" i="87" s="1"/>
  <c r="AC204" i="79"/>
  <c r="H65" i="43" s="1"/>
  <c r="AM133" i="46"/>
  <c r="Q27" i="47"/>
  <c r="Q29" i="47" s="1"/>
  <c r="T55" i="84"/>
  <c r="V68" i="84"/>
  <c r="K65" i="47"/>
  <c r="K68" i="84"/>
  <c r="AM199" i="79"/>
  <c r="T53" i="47"/>
  <c r="W22" i="84"/>
  <c r="K65" i="84"/>
  <c r="AM202" i="79"/>
  <c r="Q27" i="84"/>
  <c r="Q29" i="84" s="1"/>
  <c r="U27" i="84"/>
  <c r="U29" i="84" s="1"/>
  <c r="V27" i="47"/>
  <c r="V29" i="47" s="1"/>
  <c r="V32" i="47"/>
  <c r="AM398" i="79"/>
  <c r="H103" i="43" s="1"/>
  <c r="V36" i="84"/>
  <c r="E93" i="43"/>
  <c r="E102" i="43" s="1"/>
  <c r="V37" i="47"/>
  <c r="V60" i="84"/>
  <c r="V65" i="84"/>
  <c r="W18" i="47"/>
  <c r="V38" i="47"/>
  <c r="V66" i="84"/>
  <c r="V35" i="84"/>
  <c r="V53" i="47"/>
  <c r="V61" i="84"/>
  <c r="V51" i="47"/>
  <c r="G95" i="43"/>
  <c r="M99" i="43"/>
  <c r="W19" i="84"/>
  <c r="V27" i="84"/>
  <c r="V29" i="84" s="1"/>
  <c r="V68" i="47"/>
  <c r="V69" i="84"/>
  <c r="T47" i="47"/>
  <c r="T46" i="84"/>
  <c r="V49" i="47"/>
  <c r="V70" i="84"/>
  <c r="V46" i="47"/>
  <c r="V64" i="47"/>
  <c r="F93" i="43"/>
  <c r="K64" i="84"/>
  <c r="K66" i="47"/>
  <c r="E13" i="87"/>
  <c r="E15" i="87" s="1"/>
  <c r="V39" i="84"/>
  <c r="V37" i="84"/>
  <c r="V62" i="84"/>
  <c r="V60" i="47"/>
  <c r="AM261" i="46"/>
  <c r="AM263" i="46" s="1"/>
  <c r="V34" i="47"/>
  <c r="V64" i="84"/>
  <c r="T49" i="47"/>
  <c r="T51" i="84"/>
  <c r="V54" i="47"/>
  <c r="V41" i="84"/>
  <c r="V55" i="84"/>
  <c r="V71" i="47"/>
  <c r="V56" i="84"/>
  <c r="V70" i="47"/>
  <c r="V50" i="47"/>
  <c r="V67" i="47"/>
  <c r="R66" i="43"/>
  <c r="W15" i="47"/>
  <c r="W16" i="47"/>
  <c r="K70" i="84"/>
  <c r="K67" i="84"/>
  <c r="K62" i="47"/>
  <c r="K68" i="47"/>
  <c r="W21" i="84"/>
  <c r="V50" i="84"/>
  <c r="V65" i="47"/>
  <c r="T45" i="47"/>
  <c r="V69" i="47"/>
  <c r="V71" i="84"/>
  <c r="V80" i="47"/>
  <c r="K60" i="47"/>
  <c r="K63" i="47"/>
  <c r="R27" i="47"/>
  <c r="R29" i="47" s="1"/>
  <c r="V31" i="47"/>
  <c r="V52" i="84"/>
  <c r="V66" i="47"/>
  <c r="V40" i="84"/>
  <c r="V31" i="84"/>
  <c r="V46" i="84"/>
  <c r="AM519" i="46"/>
  <c r="T45" i="84"/>
  <c r="T49" i="84"/>
  <c r="T47" i="84"/>
  <c r="V45" i="47"/>
  <c r="V33" i="47"/>
  <c r="V67" i="84"/>
  <c r="V62" i="47"/>
  <c r="V48" i="84"/>
  <c r="V40" i="47"/>
  <c r="V61" i="47"/>
  <c r="W17" i="47"/>
  <c r="K69" i="47"/>
  <c r="K63" i="84"/>
  <c r="K71" i="47"/>
  <c r="K60" i="84"/>
  <c r="K66" i="84"/>
  <c r="R27" i="84"/>
  <c r="R29" i="84" s="1"/>
  <c r="T62" i="84"/>
  <c r="T63" i="84"/>
  <c r="T71" i="84"/>
  <c r="T67" i="47"/>
  <c r="D19" i="87"/>
  <c r="D11" i="87"/>
  <c r="J37" i="87"/>
  <c r="W20" i="84"/>
  <c r="W25" i="47"/>
  <c r="W20" i="47"/>
  <c r="F94" i="43"/>
  <c r="T51" i="47"/>
  <c r="T54" i="84"/>
  <c r="T54" i="47"/>
  <c r="T52" i="84"/>
  <c r="T65" i="84"/>
  <c r="T53" i="84"/>
  <c r="T56" i="84"/>
  <c r="T48" i="47"/>
  <c r="AM389" i="46"/>
  <c r="BA136" i="46"/>
  <c r="AQ143" i="46" s="1"/>
  <c r="AM522" i="46"/>
  <c r="F103" i="43" s="1"/>
  <c r="F45" i="87"/>
  <c r="W16" i="84"/>
  <c r="C22" i="87"/>
  <c r="K69" i="84"/>
  <c r="K62" i="84"/>
  <c r="K71" i="84"/>
  <c r="K61" i="84"/>
  <c r="K67" i="47"/>
  <c r="T55" i="47"/>
  <c r="T52" i="47"/>
  <c r="T48" i="84"/>
  <c r="T50" i="84"/>
  <c r="T67" i="84"/>
  <c r="T46" i="47"/>
  <c r="F22" i="87"/>
  <c r="W21" i="47"/>
  <c r="W19" i="47"/>
  <c r="W23" i="47"/>
  <c r="W25" i="84"/>
  <c r="W24" i="47"/>
  <c r="W26" i="47"/>
  <c r="N71" i="47"/>
  <c r="N61" i="47"/>
  <c r="N69" i="47"/>
  <c r="N62" i="84"/>
  <c r="N67" i="47"/>
  <c r="N64" i="84"/>
  <c r="N64" i="47"/>
  <c r="N62" i="47"/>
  <c r="N60" i="47"/>
  <c r="N70" i="84"/>
  <c r="N69" i="84"/>
  <c r="N71" i="84"/>
  <c r="N81" i="47"/>
  <c r="N75" i="84"/>
  <c r="N78" i="84"/>
  <c r="T66" i="47"/>
  <c r="T70" i="47"/>
  <c r="T71" i="47"/>
  <c r="J61" i="87"/>
  <c r="G19" i="87"/>
  <c r="G11" i="87"/>
  <c r="W22" i="47"/>
  <c r="I34" i="87"/>
  <c r="I42" i="87"/>
  <c r="I43" i="87" s="1"/>
  <c r="S45" i="47"/>
  <c r="T27" i="84"/>
  <c r="T29" i="84" s="1"/>
  <c r="E19" i="87"/>
  <c r="E11" i="87"/>
  <c r="AB204" i="79"/>
  <c r="G65" i="43" s="1"/>
  <c r="L82" i="84" s="1"/>
  <c r="H11" i="87"/>
  <c r="H19" i="87"/>
  <c r="R69" i="43"/>
  <c r="AM205" i="79"/>
  <c r="G103" i="43" s="1"/>
  <c r="T68" i="84"/>
  <c r="T66" i="84"/>
  <c r="T61" i="47"/>
  <c r="T60" i="47"/>
  <c r="T68" i="47"/>
  <c r="T70" i="84"/>
  <c r="T64" i="84"/>
  <c r="T61" i="84"/>
  <c r="S45" i="84"/>
  <c r="S52" i="47"/>
  <c r="T86" i="84"/>
  <c r="T27" i="47"/>
  <c r="T29" i="47" s="1"/>
  <c r="M69" i="84"/>
  <c r="M65" i="47"/>
  <c r="M61" i="84"/>
  <c r="M71" i="47"/>
  <c r="M70" i="84"/>
  <c r="M64" i="47"/>
  <c r="M65" i="84"/>
  <c r="M61" i="47"/>
  <c r="M62" i="84"/>
  <c r="M63" i="47"/>
  <c r="M70" i="47"/>
  <c r="M68" i="84"/>
  <c r="R63" i="43"/>
  <c r="H19" i="43" s="1"/>
  <c r="D69" i="85"/>
  <c r="B73" i="85"/>
  <c r="W15" i="84"/>
  <c r="P27" i="84"/>
  <c r="P29" i="84" s="1"/>
  <c r="W18" i="84"/>
  <c r="P27" i="47"/>
  <c r="P29" i="47" s="1"/>
  <c r="T65" i="47"/>
  <c r="T64" i="47"/>
  <c r="T62" i="47"/>
  <c r="T69" i="84"/>
  <c r="T69" i="47"/>
  <c r="T63" i="47"/>
  <c r="T60" i="84"/>
  <c r="S49" i="47"/>
  <c r="S50" i="47"/>
  <c r="S47" i="47"/>
  <c r="H96" i="43"/>
  <c r="F13" i="87"/>
  <c r="F15" i="87" s="1"/>
  <c r="L66" i="84"/>
  <c r="L68" i="84"/>
  <c r="L68" i="47"/>
  <c r="L71" i="84"/>
  <c r="L69" i="84"/>
  <c r="L60" i="47"/>
  <c r="L70" i="47"/>
  <c r="L62" i="47"/>
  <c r="L61" i="47"/>
  <c r="L62" i="84"/>
  <c r="L70" i="84"/>
  <c r="L71" i="47"/>
  <c r="L64" i="47"/>
  <c r="L61" i="84"/>
  <c r="L65" i="47"/>
  <c r="L65" i="84"/>
  <c r="L69" i="47"/>
  <c r="L63" i="84"/>
  <c r="L67" i="47"/>
  <c r="L67" i="84"/>
  <c r="L60" i="84"/>
  <c r="L63" i="47"/>
  <c r="L64" i="84"/>
  <c r="L66" i="47"/>
  <c r="F30" i="85"/>
  <c r="F32" i="85"/>
  <c r="F35" i="85" s="1"/>
  <c r="F36" i="85" s="1"/>
  <c r="W24" i="84"/>
  <c r="W17" i="84"/>
  <c r="W23" i="84"/>
  <c r="W26" i="84"/>
  <c r="AB269" i="46"/>
  <c r="I19" i="87"/>
  <c r="I11" i="87"/>
  <c r="G91" i="87"/>
  <c r="G92" i="87" s="1"/>
  <c r="G83" i="87"/>
  <c r="C68" i="87"/>
  <c r="C69" i="87" s="1"/>
  <c r="C58" i="87"/>
  <c r="AD578" i="79"/>
  <c r="AD581" i="79" s="1"/>
  <c r="I71" i="43" s="1"/>
  <c r="H78" i="87"/>
  <c r="H81" i="87" s="1"/>
  <c r="F66" i="87"/>
  <c r="F58" i="87"/>
  <c r="M310" i="79"/>
  <c r="M307" i="79" s="1"/>
  <c r="L307" i="79"/>
  <c r="C45" i="87"/>
  <c r="AM395" i="79"/>
  <c r="D83" i="87"/>
  <c r="D91" i="87"/>
  <c r="D92" i="87" s="1"/>
  <c r="AA578" i="79"/>
  <c r="AA581" i="79" s="1"/>
  <c r="F71" i="43" s="1"/>
  <c r="E85" i="87" s="1"/>
  <c r="E87" i="87" s="1"/>
  <c r="E109" i="87" s="1"/>
  <c r="E126" i="87" s="1"/>
  <c r="L15" i="92" s="1"/>
  <c r="E78" i="87"/>
  <c r="E81" i="87" s="1"/>
  <c r="D66" i="87"/>
  <c r="D58" i="87"/>
  <c r="E66" i="87"/>
  <c r="E58" i="87"/>
  <c r="AB578" i="79"/>
  <c r="AB581" i="79" s="1"/>
  <c r="G71" i="43" s="1"/>
  <c r="F85" i="87" s="1"/>
  <c r="F78" i="87"/>
  <c r="F81" i="87" s="1"/>
  <c r="C91" i="87"/>
  <c r="C83" i="87"/>
  <c r="F69" i="87"/>
  <c r="H66" i="87"/>
  <c r="H58" i="87"/>
  <c r="M98" i="43"/>
  <c r="T86" i="47"/>
  <c r="T82" i="47"/>
  <c r="T81" i="84"/>
  <c r="T81" i="47"/>
  <c r="T76" i="84"/>
  <c r="V93" i="84"/>
  <c r="T76" i="47"/>
  <c r="T83" i="84"/>
  <c r="V83" i="47"/>
  <c r="T80" i="47"/>
  <c r="T80" i="84"/>
  <c r="T77" i="84"/>
  <c r="T85" i="47"/>
  <c r="T85" i="84"/>
  <c r="T75" i="84"/>
  <c r="T79" i="84"/>
  <c r="T79" i="47"/>
  <c r="T84" i="47"/>
  <c r="T77" i="47"/>
  <c r="T105" i="47"/>
  <c r="T78" i="84"/>
  <c r="T75" i="47"/>
  <c r="T84" i="84"/>
  <c r="T83" i="47"/>
  <c r="T90" i="47"/>
  <c r="T78" i="47"/>
  <c r="T82" i="84"/>
  <c r="V81" i="47"/>
  <c r="V98" i="47"/>
  <c r="M97" i="43"/>
  <c r="V76" i="84"/>
  <c r="V77" i="47"/>
  <c r="V80" i="84"/>
  <c r="V78" i="84"/>
  <c r="V84" i="84"/>
  <c r="V79" i="47"/>
  <c r="V77" i="84"/>
  <c r="V98" i="84"/>
  <c r="V79" i="84"/>
  <c r="V81" i="84"/>
  <c r="V78" i="47"/>
  <c r="V82" i="84"/>
  <c r="V82" i="47"/>
  <c r="AD210" i="79"/>
  <c r="AD761" i="79" s="1"/>
  <c r="S58" i="79"/>
  <c r="AE210" i="79"/>
  <c r="AE761" i="79" s="1"/>
  <c r="AB210" i="79"/>
  <c r="AB761" i="79" s="1"/>
  <c r="AA210" i="79"/>
  <c r="AA761" i="79" s="1"/>
  <c r="V85" i="84"/>
  <c r="V85" i="47"/>
  <c r="V75" i="47"/>
  <c r="V105" i="47"/>
  <c r="V84" i="47"/>
  <c r="V90" i="47"/>
  <c r="V76" i="47"/>
  <c r="V86" i="47"/>
  <c r="V86" i="84"/>
  <c r="V75" i="84"/>
  <c r="V91" i="47"/>
  <c r="V83" i="84"/>
  <c r="AC211" i="79"/>
  <c r="AC944" i="79" s="1"/>
  <c r="AJ211" i="79"/>
  <c r="AJ944" i="79" s="1"/>
  <c r="AF211" i="79"/>
  <c r="AF944" i="79" s="1"/>
  <c r="AH211" i="79"/>
  <c r="AH944" i="79" s="1"/>
  <c r="Y211" i="79"/>
  <c r="Y944" i="79" s="1"/>
  <c r="AG211" i="79"/>
  <c r="AG944" i="79" s="1"/>
  <c r="I39" i="79"/>
  <c r="AI211" i="79"/>
  <c r="AI944" i="79" s="1"/>
  <c r="AK211" i="79"/>
  <c r="AK944" i="79" s="1"/>
  <c r="AL211" i="79"/>
  <c r="AL944" i="79" s="1"/>
  <c r="Z211" i="79"/>
  <c r="Z944" i="79" s="1"/>
  <c r="S79" i="84"/>
  <c r="S86" i="47"/>
  <c r="S81" i="47"/>
  <c r="S77" i="47"/>
  <c r="S82" i="47"/>
  <c r="AM520" i="46"/>
  <c r="S86" i="84"/>
  <c r="S75" i="47"/>
  <c r="S78" i="84"/>
  <c r="S105" i="47"/>
  <c r="S85" i="47"/>
  <c r="S49" i="84"/>
  <c r="S60" i="47"/>
  <c r="S70" i="47"/>
  <c r="S68" i="84"/>
  <c r="S56" i="47"/>
  <c r="AP143" i="46"/>
  <c r="AC567" i="46"/>
  <c r="S51" i="47"/>
  <c r="S84" i="84"/>
  <c r="S46" i="84"/>
  <c r="S65" i="84"/>
  <c r="S83" i="47"/>
  <c r="S61" i="47"/>
  <c r="S70" i="84"/>
  <c r="S71" i="84"/>
  <c r="S62" i="47"/>
  <c r="AK398" i="46"/>
  <c r="AL398" i="46"/>
  <c r="I289" i="46"/>
  <c r="AJ398" i="46"/>
  <c r="Z398" i="46"/>
  <c r="AZ138" i="46" s="1"/>
  <c r="AP145" i="46" s="1"/>
  <c r="AI398" i="46"/>
  <c r="AH398" i="46"/>
  <c r="Y398" i="46"/>
  <c r="AY138" i="46" s="1"/>
  <c r="AO145" i="46" s="1"/>
  <c r="AC398" i="46"/>
  <c r="AG398" i="46"/>
  <c r="AF398" i="46"/>
  <c r="S54" i="47"/>
  <c r="S47" i="84"/>
  <c r="S62" i="84"/>
  <c r="S68" i="47"/>
  <c r="S78" i="47"/>
  <c r="S48" i="47"/>
  <c r="S65" i="47"/>
  <c r="S55" i="47"/>
  <c r="T339" i="46"/>
  <c r="AA398" i="46"/>
  <c r="BA138" i="46" s="1"/>
  <c r="AQ145" i="46" s="1"/>
  <c r="AB398" i="46"/>
  <c r="AE398" i="46"/>
  <c r="AD398" i="46"/>
  <c r="AI272" i="46"/>
  <c r="AI1124" i="79" s="1"/>
  <c r="AL272" i="46"/>
  <c r="AL1124" i="79" s="1"/>
  <c r="M210" i="46"/>
  <c r="AJ272" i="46"/>
  <c r="AJ1124" i="79" s="1"/>
  <c r="AH272" i="46"/>
  <c r="AH1124" i="79" s="1"/>
  <c r="AC272" i="46"/>
  <c r="AC1124" i="79" s="1"/>
  <c r="Z272" i="46"/>
  <c r="Z1124" i="79" s="1"/>
  <c r="AG272" i="46"/>
  <c r="AG1124" i="79" s="1"/>
  <c r="AK272" i="46"/>
  <c r="AK1124" i="79" s="1"/>
  <c r="AF272" i="46"/>
  <c r="AF1124" i="79" s="1"/>
  <c r="Y272" i="46"/>
  <c r="Y1124" i="79" s="1"/>
  <c r="Y521" i="46"/>
  <c r="D62" i="43" s="1"/>
  <c r="AM518" i="46"/>
  <c r="V38" i="84"/>
  <c r="V56" i="47"/>
  <c r="V34" i="84"/>
  <c r="V52" i="47"/>
  <c r="V47" i="84"/>
  <c r="V41" i="47"/>
  <c r="V30" i="47"/>
  <c r="V33" i="84"/>
  <c r="V32" i="84"/>
  <c r="V53" i="84"/>
  <c r="V45" i="84"/>
  <c r="V48" i="47"/>
  <c r="V54" i="84"/>
  <c r="V49" i="84"/>
  <c r="V47" i="47"/>
  <c r="V308" i="46"/>
  <c r="V111" i="84"/>
  <c r="Q62" i="84"/>
  <c r="Q80" i="84"/>
  <c r="Q64" i="47"/>
  <c r="Q71" i="84"/>
  <c r="Q85" i="84"/>
  <c r="Q90" i="47"/>
  <c r="Q67" i="84"/>
  <c r="Q76" i="47"/>
  <c r="Q77" i="47"/>
  <c r="Q100" i="84"/>
  <c r="Q61" i="84"/>
  <c r="Q65" i="84"/>
  <c r="Q114" i="84"/>
  <c r="Q77" i="84"/>
  <c r="Q65" i="47"/>
  <c r="Q68" i="47"/>
  <c r="Q78" i="84"/>
  <c r="Q62" i="47"/>
  <c r="Q79" i="84"/>
  <c r="Q60" i="47"/>
  <c r="Q67" i="47"/>
  <c r="Q69" i="84"/>
  <c r="Q64" i="84"/>
  <c r="Q63" i="47"/>
  <c r="Q81" i="47"/>
  <c r="Q60" i="84"/>
  <c r="Q76" i="84"/>
  <c r="Q105" i="84"/>
  <c r="Q82" i="84"/>
  <c r="Q66" i="84"/>
  <c r="Q81" i="84"/>
  <c r="Q78" i="47"/>
  <c r="Q75" i="84"/>
  <c r="Q61" i="47"/>
  <c r="Q82" i="47"/>
  <c r="Q86" i="47"/>
  <c r="Q79" i="47"/>
  <c r="Q105" i="47"/>
  <c r="Q66" i="47"/>
  <c r="Q106" i="84"/>
  <c r="Q83" i="84"/>
  <c r="Q83" i="47"/>
  <c r="Q68" i="84"/>
  <c r="Q63" i="84"/>
  <c r="Q75" i="47"/>
  <c r="Q69" i="47"/>
  <c r="Q86" i="84"/>
  <c r="Q84" i="47"/>
  <c r="Q94" i="47"/>
  <c r="Q71" i="47"/>
  <c r="Q70" i="47"/>
  <c r="Q85" i="47"/>
  <c r="E36" i="43"/>
  <c r="Q80" i="47"/>
  <c r="Q70" i="84"/>
  <c r="Q84" i="84"/>
  <c r="U45" i="84"/>
  <c r="U32" i="84"/>
  <c r="U48" i="84"/>
  <c r="U36" i="84"/>
  <c r="U49" i="47"/>
  <c r="U32" i="47"/>
  <c r="U66" i="47"/>
  <c r="U31" i="47"/>
  <c r="U63" i="47"/>
  <c r="U54" i="47"/>
  <c r="U45" i="47"/>
  <c r="U56" i="47"/>
  <c r="U53" i="84"/>
  <c r="U36" i="47"/>
  <c r="U41" i="47"/>
  <c r="U31" i="84"/>
  <c r="U33" i="84"/>
  <c r="U46" i="84"/>
  <c r="U55" i="84"/>
  <c r="U33" i="47"/>
  <c r="U62" i="84"/>
  <c r="U63" i="84"/>
  <c r="U61" i="84"/>
  <c r="U65" i="84"/>
  <c r="U69" i="47"/>
  <c r="U69" i="84"/>
  <c r="U78" i="84"/>
  <c r="U80" i="84"/>
  <c r="U50" i="47"/>
  <c r="U38" i="84"/>
  <c r="U66" i="84"/>
  <c r="U61" i="47"/>
  <c r="U67" i="47"/>
  <c r="U64" i="84"/>
  <c r="U70" i="47"/>
  <c r="U81" i="84"/>
  <c r="U81" i="47"/>
  <c r="U105" i="47"/>
  <c r="U85" i="47"/>
  <c r="U83" i="84"/>
  <c r="U76" i="84"/>
  <c r="U86" i="47"/>
  <c r="U79" i="84"/>
  <c r="U52" i="84"/>
  <c r="U40" i="84"/>
  <c r="U68" i="84"/>
  <c r="U62" i="47"/>
  <c r="U95" i="47"/>
  <c r="U75" i="84"/>
  <c r="U77" i="47"/>
  <c r="U84" i="47"/>
  <c r="U92" i="84"/>
  <c r="U100" i="84"/>
  <c r="U91" i="47"/>
  <c r="U93" i="84"/>
  <c r="U94" i="47"/>
  <c r="U49" i="84"/>
  <c r="U35" i="84"/>
  <c r="U67" i="84"/>
  <c r="U70" i="84"/>
  <c r="U65" i="47"/>
  <c r="U60" i="47"/>
  <c r="U94" i="84"/>
  <c r="U91" i="84"/>
  <c r="U93" i="47"/>
  <c r="U101" i="47"/>
  <c r="U97" i="84"/>
  <c r="U96" i="47"/>
  <c r="U98" i="47"/>
  <c r="U98" i="84"/>
  <c r="U109" i="47"/>
  <c r="U109" i="84"/>
  <c r="U106" i="47"/>
  <c r="U107" i="84"/>
  <c r="U111" i="84"/>
  <c r="U113" i="84"/>
  <c r="U115" i="47"/>
  <c r="U111" i="47"/>
  <c r="U110" i="47"/>
  <c r="U115" i="84"/>
  <c r="U71" i="84"/>
  <c r="U83" i="47"/>
  <c r="U92" i="47"/>
  <c r="U101" i="84"/>
  <c r="U95" i="84"/>
  <c r="U112" i="47"/>
  <c r="U47" i="47"/>
  <c r="U86" i="84"/>
  <c r="U77" i="84"/>
  <c r="U113" i="47"/>
  <c r="U112" i="84"/>
  <c r="U60" i="84"/>
  <c r="U78" i="47"/>
  <c r="U84" i="84"/>
  <c r="U85" i="84"/>
  <c r="U99" i="47"/>
  <c r="U97" i="47"/>
  <c r="U100" i="47"/>
  <c r="U99" i="84"/>
  <c r="U108" i="47"/>
  <c r="U114" i="47"/>
  <c r="U56" i="84"/>
  <c r="U64" i="47"/>
  <c r="U76" i="47"/>
  <c r="U82" i="84"/>
  <c r="U116" i="47"/>
  <c r="U39" i="47"/>
  <c r="U39" i="84"/>
  <c r="U71" i="47"/>
  <c r="U75" i="47"/>
  <c r="U79" i="47"/>
  <c r="U108" i="84"/>
  <c r="U105" i="84"/>
  <c r="U90" i="47"/>
  <c r="U106" i="84"/>
  <c r="U90" i="84"/>
  <c r="U107" i="47"/>
  <c r="U68" i="47"/>
  <c r="U80" i="47"/>
  <c r="U96" i="84"/>
  <c r="U114" i="84"/>
  <c r="U82" i="47"/>
  <c r="U110" i="84"/>
  <c r="U116" i="84"/>
  <c r="U34" i="84"/>
  <c r="U34" i="47"/>
  <c r="U35" i="47"/>
  <c r="U48" i="47"/>
  <c r="U41" i="84"/>
  <c r="U30" i="47"/>
  <c r="U51" i="47"/>
  <c r="U37" i="47"/>
  <c r="U46" i="47"/>
  <c r="U50" i="84"/>
  <c r="U51" i="84"/>
  <c r="U30" i="84"/>
  <c r="U37" i="84"/>
  <c r="U38" i="47"/>
  <c r="U55" i="47"/>
  <c r="U40" i="47"/>
  <c r="U53" i="47"/>
  <c r="U52" i="47"/>
  <c r="U54" i="84"/>
  <c r="U47" i="84"/>
  <c r="S63" i="47"/>
  <c r="S76" i="47"/>
  <c r="S84" i="47"/>
  <c r="S99" i="84"/>
  <c r="S69" i="84"/>
  <c r="S66" i="84"/>
  <c r="S81" i="84"/>
  <c r="S85" i="84"/>
  <c r="S76" i="84"/>
  <c r="S60" i="84"/>
  <c r="S46" i="47"/>
  <c r="S83" i="84"/>
  <c r="S64" i="84"/>
  <c r="S66" i="47"/>
  <c r="S53" i="84"/>
  <c r="S64" i="47"/>
  <c r="S53" i="47"/>
  <c r="F95" i="43"/>
  <c r="S92" i="47"/>
  <c r="S54" i="84"/>
  <c r="S80" i="47"/>
  <c r="S80" i="84"/>
  <c r="S50" i="84"/>
  <c r="S90" i="47"/>
  <c r="S71" i="47"/>
  <c r="S67" i="47"/>
  <c r="S51" i="84"/>
  <c r="S77" i="84"/>
  <c r="S75" i="84"/>
  <c r="S82" i="84"/>
  <c r="S69" i="47"/>
  <c r="S79" i="47"/>
  <c r="S52" i="84"/>
  <c r="S61" i="84"/>
  <c r="S55" i="84"/>
  <c r="S56" i="84"/>
  <c r="S67" i="84"/>
  <c r="S63" i="84"/>
  <c r="P47" i="47"/>
  <c r="P38" i="84"/>
  <c r="P55" i="84"/>
  <c r="P71" i="47"/>
  <c r="P30" i="47"/>
  <c r="P36" i="84"/>
  <c r="P60" i="47"/>
  <c r="P65" i="47"/>
  <c r="P37" i="84"/>
  <c r="P46" i="47"/>
  <c r="P35" i="84"/>
  <c r="P31" i="84"/>
  <c r="P68" i="84"/>
  <c r="P52" i="47"/>
  <c r="P32" i="47"/>
  <c r="P62" i="47"/>
  <c r="P63" i="47"/>
  <c r="P61" i="47"/>
  <c r="P64" i="47"/>
  <c r="P80" i="47"/>
  <c r="P81" i="84"/>
  <c r="P80" i="84"/>
  <c r="P90" i="47"/>
  <c r="P40" i="84"/>
  <c r="P49" i="47"/>
  <c r="P31" i="47"/>
  <c r="P53" i="84"/>
  <c r="P38" i="47"/>
  <c r="P49" i="84"/>
  <c r="P39" i="84"/>
  <c r="P66" i="47"/>
  <c r="P36" i="47"/>
  <c r="P66" i="84"/>
  <c r="P65" i="84"/>
  <c r="P53" i="47"/>
  <c r="P34" i="47"/>
  <c r="P33" i="47"/>
  <c r="P45" i="47"/>
  <c r="P48" i="47"/>
  <c r="P34" i="84"/>
  <c r="P63" i="84"/>
  <c r="P61" i="84"/>
  <c r="P78" i="47"/>
  <c r="P84" i="84"/>
  <c r="P75" i="84"/>
  <c r="P77" i="84"/>
  <c r="P76" i="84"/>
  <c r="P85" i="47"/>
  <c r="P79" i="47"/>
  <c r="P50" i="84"/>
  <c r="P39" i="47"/>
  <c r="P51" i="84"/>
  <c r="P48" i="84"/>
  <c r="P60" i="84"/>
  <c r="P54" i="84"/>
  <c r="P33" i="84"/>
  <c r="P71" i="84"/>
  <c r="P45" i="84"/>
  <c r="P41" i="84"/>
  <c r="P70" i="47"/>
  <c r="P69" i="84"/>
  <c r="P68" i="47"/>
  <c r="P86" i="84"/>
  <c r="P83" i="84"/>
  <c r="P81" i="47"/>
  <c r="R56" i="43"/>
  <c r="P30" i="84"/>
  <c r="P56" i="47"/>
  <c r="P55" i="47"/>
  <c r="P54" i="47"/>
  <c r="P67" i="47"/>
  <c r="P50" i="47"/>
  <c r="P70" i="84"/>
  <c r="P69" i="47"/>
  <c r="P82" i="47"/>
  <c r="E35" i="43"/>
  <c r="P82" i="84"/>
  <c r="P105" i="47"/>
  <c r="P79" i="84"/>
  <c r="P77" i="47"/>
  <c r="P94" i="84"/>
  <c r="P116" i="47"/>
  <c r="P56" i="84"/>
  <c r="P47" i="84"/>
  <c r="P75" i="47"/>
  <c r="P85" i="84"/>
  <c r="P111" i="84"/>
  <c r="P41" i="47"/>
  <c r="P32" i="84"/>
  <c r="P86" i="47"/>
  <c r="P78" i="84"/>
  <c r="P67" i="84"/>
  <c r="P46" i="84"/>
  <c r="P84" i="47"/>
  <c r="P35" i="47"/>
  <c r="P40" i="47"/>
  <c r="P95" i="47"/>
  <c r="P83" i="47"/>
  <c r="P37" i="47"/>
  <c r="P62" i="84"/>
  <c r="P64" i="84"/>
  <c r="P51" i="47"/>
  <c r="P76" i="47"/>
  <c r="P52" i="84"/>
  <c r="R65" i="47"/>
  <c r="R83" i="84"/>
  <c r="R54" i="84"/>
  <c r="R86" i="84"/>
  <c r="R105" i="47"/>
  <c r="R47" i="47"/>
  <c r="R68" i="47"/>
  <c r="R51" i="47"/>
  <c r="R85" i="84"/>
  <c r="R84" i="47"/>
  <c r="R53" i="84"/>
  <c r="R75" i="47"/>
  <c r="R62" i="47"/>
  <c r="R67" i="84"/>
  <c r="R48" i="84"/>
  <c r="R47" i="84"/>
  <c r="R64" i="84"/>
  <c r="R63" i="47"/>
  <c r="R66" i="84"/>
  <c r="R63" i="84"/>
  <c r="R64" i="47"/>
  <c r="R56" i="47"/>
  <c r="R49" i="47"/>
  <c r="R76" i="47"/>
  <c r="R82" i="47"/>
  <c r="R86" i="47"/>
  <c r="R81" i="47"/>
  <c r="R65" i="84"/>
  <c r="R70" i="84"/>
  <c r="R51" i="84"/>
  <c r="R48" i="47"/>
  <c r="R75" i="84"/>
  <c r="R80" i="47"/>
  <c r="R78" i="47"/>
  <c r="R50" i="84"/>
  <c r="R84" i="84"/>
  <c r="R76" i="84"/>
  <c r="R83" i="47"/>
  <c r="R80" i="84"/>
  <c r="R45" i="47"/>
  <c r="R97" i="47"/>
  <c r="R60" i="84"/>
  <c r="R78" i="84"/>
  <c r="R56" i="84"/>
  <c r="R77" i="84"/>
  <c r="R66" i="47"/>
  <c r="R54" i="47"/>
  <c r="R49" i="84"/>
  <c r="R61" i="84"/>
  <c r="R69" i="47"/>
  <c r="R46" i="47"/>
  <c r="R81" i="84"/>
  <c r="R69" i="84"/>
  <c r="R79" i="47"/>
  <c r="R50" i="47"/>
  <c r="R77" i="47"/>
  <c r="R79" i="84"/>
  <c r="R55" i="47"/>
  <c r="R109" i="47"/>
  <c r="R45" i="84"/>
  <c r="R60" i="47"/>
  <c r="R52" i="84"/>
  <c r="R62" i="84"/>
  <c r="R71" i="84"/>
  <c r="R53" i="47"/>
  <c r="R82" i="84"/>
  <c r="R55" i="84"/>
  <c r="R70" i="47"/>
  <c r="R52" i="47"/>
  <c r="R61" i="47"/>
  <c r="R91" i="84"/>
  <c r="R71" i="47"/>
  <c r="R85" i="47"/>
  <c r="R68" i="84"/>
  <c r="R90" i="47"/>
  <c r="R67" i="47"/>
  <c r="R46" i="84"/>
  <c r="C102" i="43"/>
  <c r="R59" i="43"/>
  <c r="V108" i="47"/>
  <c r="M60" i="84" l="1"/>
  <c r="M66" i="47"/>
  <c r="M60" i="47"/>
  <c r="M67" i="47"/>
  <c r="M71" i="84"/>
  <c r="M69" i="47"/>
  <c r="G13" i="87"/>
  <c r="G15" i="87" s="1"/>
  <c r="N85" i="84"/>
  <c r="N91" i="47"/>
  <c r="N63" i="84"/>
  <c r="N61" i="84"/>
  <c r="N65" i="84"/>
  <c r="N68" i="47"/>
  <c r="N65" i="47"/>
  <c r="N72" i="47" s="1"/>
  <c r="N74" i="47" s="1"/>
  <c r="N60" i="84"/>
  <c r="I56" i="87"/>
  <c r="T109" i="84"/>
  <c r="AA269" i="46"/>
  <c r="AV139" i="46" s="1"/>
  <c r="D73" i="85"/>
  <c r="M63" i="84"/>
  <c r="M72" i="84" s="1"/>
  <c r="M74" i="84" s="1"/>
  <c r="M66" i="84"/>
  <c r="M67" i="84"/>
  <c r="M68" i="47"/>
  <c r="M64" i="84"/>
  <c r="N75" i="47"/>
  <c r="N70" i="47"/>
  <c r="N66" i="84"/>
  <c r="N66" i="47"/>
  <c r="N63" i="47"/>
  <c r="N68" i="84"/>
  <c r="N67" i="84"/>
  <c r="I81" i="87"/>
  <c r="R99" i="47"/>
  <c r="R96" i="84"/>
  <c r="R106" i="84"/>
  <c r="R107" i="47"/>
  <c r="Q106" i="47"/>
  <c r="Q97" i="47"/>
  <c r="Q96" i="84"/>
  <c r="Q101" i="47"/>
  <c r="Q92" i="47"/>
  <c r="R116" i="47"/>
  <c r="R113" i="84"/>
  <c r="R106" i="47"/>
  <c r="R109" i="84"/>
  <c r="S106" i="84"/>
  <c r="S109" i="84"/>
  <c r="S93" i="84"/>
  <c r="Q99" i="47"/>
  <c r="Q95" i="84"/>
  <c r="Q116" i="47"/>
  <c r="Q110" i="47"/>
  <c r="Q99" i="84"/>
  <c r="Q113" i="47"/>
  <c r="Q112" i="84"/>
  <c r="Q110" i="84"/>
  <c r="S109" i="47"/>
  <c r="S114" i="47"/>
  <c r="S99" i="47"/>
  <c r="AD269" i="46"/>
  <c r="N85" i="47"/>
  <c r="N84" i="84"/>
  <c r="N79" i="47"/>
  <c r="N86" i="47"/>
  <c r="R94" i="84"/>
  <c r="R96" i="47"/>
  <c r="R116" i="84"/>
  <c r="R100" i="84"/>
  <c r="Q94" i="84"/>
  <c r="R115" i="84"/>
  <c r="R92" i="84"/>
  <c r="R93" i="84"/>
  <c r="R98" i="84"/>
  <c r="S94" i="47"/>
  <c r="S107" i="84"/>
  <c r="S110" i="84"/>
  <c r="S97" i="47"/>
  <c r="Q115" i="47"/>
  <c r="Q109" i="84"/>
  <c r="Q114" i="47"/>
  <c r="AE269" i="46"/>
  <c r="N77" i="47"/>
  <c r="E33" i="43"/>
  <c r="N78" i="47"/>
  <c r="N83" i="84"/>
  <c r="G93" i="43"/>
  <c r="G102" i="43" s="1"/>
  <c r="F32" i="87"/>
  <c r="F42" i="87" s="1"/>
  <c r="N98" i="47"/>
  <c r="T114" i="47"/>
  <c r="T93" i="84"/>
  <c r="N80" i="84"/>
  <c r="N82" i="84"/>
  <c r="N84" i="47"/>
  <c r="N82" i="47"/>
  <c r="N79" i="84"/>
  <c r="N91" i="84"/>
  <c r="T113" i="84"/>
  <c r="T115" i="84"/>
  <c r="N83" i="47"/>
  <c r="N81" i="84"/>
  <c r="N86" i="84"/>
  <c r="N76" i="84"/>
  <c r="N80" i="47"/>
  <c r="N77" i="84"/>
  <c r="N76" i="47"/>
  <c r="T94" i="84"/>
  <c r="N95" i="47"/>
  <c r="G67" i="87"/>
  <c r="M100" i="84"/>
  <c r="T94" i="47"/>
  <c r="T106" i="47"/>
  <c r="T114" i="84"/>
  <c r="T96" i="47"/>
  <c r="T110" i="47"/>
  <c r="T112" i="47"/>
  <c r="T95" i="84"/>
  <c r="T101" i="47"/>
  <c r="N101" i="47"/>
  <c r="T99" i="84"/>
  <c r="T105" i="84"/>
  <c r="T98" i="47"/>
  <c r="T113" i="47"/>
  <c r="T108" i="84"/>
  <c r="T100" i="47"/>
  <c r="N111" i="84"/>
  <c r="N95" i="84"/>
  <c r="N93" i="84"/>
  <c r="T100" i="84"/>
  <c r="T109" i="47"/>
  <c r="T92" i="47"/>
  <c r="M106" i="47"/>
  <c r="N99" i="84"/>
  <c r="Q42" i="47"/>
  <c r="Q44" i="47" s="1"/>
  <c r="Q57" i="47" s="1"/>
  <c r="Q59" i="47" s="1"/>
  <c r="Q72" i="47" s="1"/>
  <c r="Q74" i="47" s="1"/>
  <c r="Q87" i="47" s="1"/>
  <c r="Q89" i="47" s="1"/>
  <c r="V99" i="84"/>
  <c r="V97" i="47"/>
  <c r="V92" i="47"/>
  <c r="V100" i="47"/>
  <c r="V94" i="47"/>
  <c r="V99" i="47"/>
  <c r="V110" i="47"/>
  <c r="V107" i="47"/>
  <c r="V107" i="84"/>
  <c r="V95" i="47"/>
  <c r="V90" i="84"/>
  <c r="V100" i="84"/>
  <c r="V93" i="47"/>
  <c r="V97" i="84"/>
  <c r="V114" i="47"/>
  <c r="V110" i="84"/>
  <c r="V115" i="84"/>
  <c r="V113" i="84"/>
  <c r="V116" i="84"/>
  <c r="V106" i="47"/>
  <c r="V116" i="47"/>
  <c r="P100" i="47"/>
  <c r="P110" i="47"/>
  <c r="P99" i="84"/>
  <c r="P108" i="84"/>
  <c r="P98" i="47"/>
  <c r="P98" i="84"/>
  <c r="P90" i="84"/>
  <c r="V105" i="84"/>
  <c r="V109" i="84"/>
  <c r="V115" i="47"/>
  <c r="V95" i="84"/>
  <c r="V106" i="84"/>
  <c r="V91" i="84"/>
  <c r="V94" i="84"/>
  <c r="V101" i="47"/>
  <c r="V96" i="84"/>
  <c r="AQ144" i="46"/>
  <c r="S101" i="84"/>
  <c r="S116" i="84"/>
  <c r="S98" i="84"/>
  <c r="S116" i="47"/>
  <c r="S95" i="84"/>
  <c r="S90" i="84"/>
  <c r="S106" i="47"/>
  <c r="S113" i="47"/>
  <c r="S108" i="47"/>
  <c r="S115" i="84"/>
  <c r="S96" i="47"/>
  <c r="S100" i="47"/>
  <c r="S94" i="84"/>
  <c r="S97" i="84"/>
  <c r="S114" i="84"/>
  <c r="S92" i="84"/>
  <c r="S112" i="47"/>
  <c r="S98" i="47"/>
  <c r="S108" i="84"/>
  <c r="S101" i="47"/>
  <c r="S91" i="47"/>
  <c r="S93" i="47"/>
  <c r="S91" i="84"/>
  <c r="S111" i="84"/>
  <c r="S95" i="47"/>
  <c r="S113" i="84"/>
  <c r="R108" i="47"/>
  <c r="R114" i="84"/>
  <c r="R111" i="47"/>
  <c r="R98" i="47"/>
  <c r="R97" i="84"/>
  <c r="R101" i="47"/>
  <c r="R107" i="84"/>
  <c r="R115" i="47"/>
  <c r="R100" i="47"/>
  <c r="R110" i="84"/>
  <c r="R92" i="47"/>
  <c r="R112" i="47"/>
  <c r="R101" i="84"/>
  <c r="R99" i="84"/>
  <c r="R114" i="47"/>
  <c r="R91" i="47"/>
  <c r="R90" i="84"/>
  <c r="R108" i="84"/>
  <c r="R110" i="47"/>
  <c r="R112" i="84"/>
  <c r="R95" i="47"/>
  <c r="R93" i="47"/>
  <c r="R113" i="47"/>
  <c r="R95" i="84"/>
  <c r="R111" i="84"/>
  <c r="R105" i="84"/>
  <c r="P93" i="84"/>
  <c r="P105" i="84"/>
  <c r="P91" i="84"/>
  <c r="P93" i="47"/>
  <c r="P99" i="47"/>
  <c r="S100" i="84"/>
  <c r="S112" i="84"/>
  <c r="V111" i="47"/>
  <c r="S96" i="84"/>
  <c r="S110" i="47"/>
  <c r="S105" i="84"/>
  <c r="V109" i="47"/>
  <c r="S115" i="47"/>
  <c r="S107" i="47"/>
  <c r="V113" i="47"/>
  <c r="N90" i="47"/>
  <c r="N101" i="84"/>
  <c r="N97" i="84"/>
  <c r="N96" i="84"/>
  <c r="N92" i="84"/>
  <c r="Q115" i="84"/>
  <c r="Q107" i="47"/>
  <c r="Q101" i="84"/>
  <c r="Q111" i="84"/>
  <c r="Q109" i="47"/>
  <c r="Q116" i="84"/>
  <c r="Q112" i="47"/>
  <c r="Q108" i="47"/>
  <c r="Q111" i="47"/>
  <c r="Q98" i="47"/>
  <c r="Q95" i="47"/>
  <c r="Q93" i="84"/>
  <c r="Q113" i="84"/>
  <c r="Q92" i="84"/>
  <c r="Q108" i="84"/>
  <c r="Q96" i="47"/>
  <c r="Q100" i="47"/>
  <c r="Q91" i="84"/>
  <c r="Q91" i="47"/>
  <c r="Q107" i="84"/>
  <c r="Q93" i="47"/>
  <c r="Q98" i="84"/>
  <c r="Q97" i="84"/>
  <c r="P92" i="84"/>
  <c r="P94" i="47"/>
  <c r="P100" i="84"/>
  <c r="P107" i="84"/>
  <c r="P101" i="47"/>
  <c r="P110" i="84"/>
  <c r="P114" i="47"/>
  <c r="P107" i="47"/>
  <c r="P106" i="47"/>
  <c r="P109" i="47"/>
  <c r="P113" i="84"/>
  <c r="P114" i="84"/>
  <c r="P108" i="47"/>
  <c r="P115" i="84"/>
  <c r="P92" i="47"/>
  <c r="P91" i="47"/>
  <c r="P109" i="84"/>
  <c r="P97" i="84"/>
  <c r="P112" i="47"/>
  <c r="P95" i="84"/>
  <c r="P111" i="47"/>
  <c r="P96" i="84"/>
  <c r="H93" i="43"/>
  <c r="AM392" i="79"/>
  <c r="V108" i="84"/>
  <c r="P112" i="84"/>
  <c r="P116" i="84"/>
  <c r="P115" i="47"/>
  <c r="P113" i="47"/>
  <c r="P106" i="84"/>
  <c r="P101" i="84"/>
  <c r="P97" i="47"/>
  <c r="V112" i="47"/>
  <c r="V112" i="84"/>
  <c r="V114" i="84"/>
  <c r="V92" i="84"/>
  <c r="V96" i="47"/>
  <c r="V101" i="84"/>
  <c r="Q42" i="84"/>
  <c r="Q44" i="84" s="1"/>
  <c r="Q57" i="84" s="1"/>
  <c r="Q59" i="84" s="1"/>
  <c r="Q72" i="84" s="1"/>
  <c r="Q74" i="84" s="1"/>
  <c r="Q87" i="84" s="1"/>
  <c r="Q89" i="84" s="1"/>
  <c r="G94" i="43"/>
  <c r="H60" i="87"/>
  <c r="H62" i="87" s="1"/>
  <c r="N100" i="47"/>
  <c r="N100" i="84"/>
  <c r="N90" i="84"/>
  <c r="N97" i="47"/>
  <c r="N98" i="84"/>
  <c r="N96" i="47"/>
  <c r="N93" i="47"/>
  <c r="N94" i="84"/>
  <c r="N99" i="47"/>
  <c r="N94" i="47"/>
  <c r="N92" i="47"/>
  <c r="T101" i="84"/>
  <c r="T95" i="47"/>
  <c r="T96" i="84"/>
  <c r="T111" i="84"/>
  <c r="T99" i="47"/>
  <c r="T91" i="47"/>
  <c r="T116" i="47"/>
  <c r="T90" i="84"/>
  <c r="T111" i="47"/>
  <c r="T116" i="84"/>
  <c r="T115" i="47"/>
  <c r="T112" i="84"/>
  <c r="T97" i="47"/>
  <c r="T97" i="84"/>
  <c r="T92" i="84"/>
  <c r="T110" i="84"/>
  <c r="T93" i="47"/>
  <c r="T106" i="84"/>
  <c r="T98" i="84"/>
  <c r="T91" i="84"/>
  <c r="T107" i="84"/>
  <c r="T107" i="47"/>
  <c r="F11" i="87"/>
  <c r="F19" i="87"/>
  <c r="F20" i="87" s="1"/>
  <c r="AA397" i="79"/>
  <c r="F68" i="43" s="1"/>
  <c r="E60" i="87" s="1"/>
  <c r="E62" i="87" s="1"/>
  <c r="AZ137" i="46"/>
  <c r="AP144" i="46" s="1"/>
  <c r="Z393" i="79"/>
  <c r="Z397" i="79" s="1"/>
  <c r="E68" i="43" s="1"/>
  <c r="D60" i="87" s="1"/>
  <c r="D62" i="87" s="1"/>
  <c r="T42" i="47"/>
  <c r="T44" i="47" s="1"/>
  <c r="T57" i="47" s="1"/>
  <c r="T59" i="47" s="1"/>
  <c r="T72" i="47" s="1"/>
  <c r="T74" i="47" s="1"/>
  <c r="T87" i="47" s="1"/>
  <c r="T89" i="47" s="1"/>
  <c r="T42" i="84"/>
  <c r="T44" i="84" s="1"/>
  <c r="T57" i="84" s="1"/>
  <c r="T59" i="84" s="1"/>
  <c r="T72" i="84" s="1"/>
  <c r="T74" i="84" s="1"/>
  <c r="T87" i="84" s="1"/>
  <c r="T89" i="84" s="1"/>
  <c r="F106" i="87"/>
  <c r="F122" i="87" s="1"/>
  <c r="L16" i="89" s="1"/>
  <c r="H106" i="87"/>
  <c r="H122" i="87" s="1"/>
  <c r="L17" i="89" s="1"/>
  <c r="G106" i="87"/>
  <c r="G122" i="87" s="1"/>
  <c r="E106" i="87"/>
  <c r="E122" i="87" s="1"/>
  <c r="L15" i="89" s="1"/>
  <c r="D106" i="87"/>
  <c r="D122" i="87" s="1"/>
  <c r="L14" i="89" s="1"/>
  <c r="AY137" i="46"/>
  <c r="AO144" i="46" s="1"/>
  <c r="Y393" i="79"/>
  <c r="M101" i="47"/>
  <c r="AM391" i="46"/>
  <c r="AM393" i="46" s="1"/>
  <c r="AM201" i="79"/>
  <c r="AM204" i="79" s="1"/>
  <c r="AM206" i="79" s="1"/>
  <c r="M101" i="84"/>
  <c r="M82" i="47"/>
  <c r="C13" i="87"/>
  <c r="C20" i="87" s="1"/>
  <c r="C36" i="87"/>
  <c r="C43" i="87" s="1"/>
  <c r="C85" i="87"/>
  <c r="C87" i="87" s="1"/>
  <c r="C109" i="87" s="1"/>
  <c r="C126" i="87" s="1"/>
  <c r="L13" i="92" s="1"/>
  <c r="L12" i="92" s="1"/>
  <c r="AI105" i="47"/>
  <c r="J62" i="84"/>
  <c r="AA204" i="79"/>
  <c r="F65" i="43" s="1"/>
  <c r="E36" i="87" s="1"/>
  <c r="E38" i="87" s="1"/>
  <c r="E40" i="87" s="1"/>
  <c r="M93" i="84"/>
  <c r="H40" i="87"/>
  <c r="H107" i="87"/>
  <c r="H123" i="87" s="1"/>
  <c r="L18" i="90" s="1"/>
  <c r="E34" i="87"/>
  <c r="H43" i="87"/>
  <c r="L83" i="47"/>
  <c r="W31" i="84"/>
  <c r="F17" i="87"/>
  <c r="H17" i="87"/>
  <c r="D17" i="87"/>
  <c r="G17" i="87"/>
  <c r="H34" i="87"/>
  <c r="E17" i="87"/>
  <c r="E89" i="87"/>
  <c r="E96" i="87"/>
  <c r="E99" i="87" s="1"/>
  <c r="D34" i="87"/>
  <c r="G42" i="87"/>
  <c r="M92" i="43"/>
  <c r="W31" i="47"/>
  <c r="J71" i="47"/>
  <c r="N116" i="47"/>
  <c r="J68" i="84"/>
  <c r="J63" i="84"/>
  <c r="M84" i="47"/>
  <c r="M75" i="84"/>
  <c r="R42" i="84"/>
  <c r="R44" i="84" s="1"/>
  <c r="R57" i="84" s="1"/>
  <c r="R59" i="84" s="1"/>
  <c r="R72" i="84" s="1"/>
  <c r="R74" i="84" s="1"/>
  <c r="R87" i="84" s="1"/>
  <c r="R89" i="84" s="1"/>
  <c r="M79" i="84"/>
  <c r="M91" i="47"/>
  <c r="J65" i="47"/>
  <c r="J83" i="47"/>
  <c r="M107" i="47"/>
  <c r="M100" i="47"/>
  <c r="M82" i="84"/>
  <c r="M108" i="47"/>
  <c r="M90" i="84"/>
  <c r="J68" i="47"/>
  <c r="M106" i="84"/>
  <c r="M99" i="84"/>
  <c r="M111" i="47"/>
  <c r="R42" i="47"/>
  <c r="R44" i="47" s="1"/>
  <c r="R57" i="47" s="1"/>
  <c r="R59" i="47" s="1"/>
  <c r="R72" i="47" s="1"/>
  <c r="R74" i="47" s="1"/>
  <c r="R87" i="47" s="1"/>
  <c r="R89" i="47" s="1"/>
  <c r="M85" i="84"/>
  <c r="J70" i="47"/>
  <c r="J65" i="84"/>
  <c r="J77" i="47"/>
  <c r="J60" i="47"/>
  <c r="J67" i="84"/>
  <c r="J60" i="84"/>
  <c r="J66" i="84"/>
  <c r="J69" i="84"/>
  <c r="J71" i="84"/>
  <c r="J96" i="47"/>
  <c r="J79" i="84"/>
  <c r="J84" i="84"/>
  <c r="J81" i="47"/>
  <c r="J66" i="47"/>
  <c r="J64" i="84"/>
  <c r="J69" i="47"/>
  <c r="J67" i="47"/>
  <c r="J106" i="47"/>
  <c r="J62" i="47"/>
  <c r="J63" i="47"/>
  <c r="J61" i="47"/>
  <c r="J61" i="84"/>
  <c r="J64" i="47"/>
  <c r="J70" i="84"/>
  <c r="J78" i="84"/>
  <c r="D20" i="87"/>
  <c r="M110" i="84"/>
  <c r="M109" i="47"/>
  <c r="M113" i="84"/>
  <c r="M115" i="47"/>
  <c r="M83" i="84"/>
  <c r="M78" i="47"/>
  <c r="M98" i="84"/>
  <c r="M95" i="47"/>
  <c r="M95" i="84"/>
  <c r="M86" i="47"/>
  <c r="M111" i="84"/>
  <c r="M96" i="47"/>
  <c r="M116" i="84"/>
  <c r="M76" i="84"/>
  <c r="M94" i="84"/>
  <c r="G36" i="87"/>
  <c r="G38" i="87" s="1"/>
  <c r="M98" i="47"/>
  <c r="M79" i="47"/>
  <c r="M81" i="84"/>
  <c r="M81" i="47"/>
  <c r="M78" i="84"/>
  <c r="M75" i="47"/>
  <c r="M112" i="47"/>
  <c r="M110" i="47"/>
  <c r="M94" i="47"/>
  <c r="M77" i="84"/>
  <c r="M97" i="84"/>
  <c r="M107" i="84"/>
  <c r="M97" i="47"/>
  <c r="E32" i="43"/>
  <c r="M85" i="47"/>
  <c r="M108" i="84"/>
  <c r="M105" i="84"/>
  <c r="M80" i="84"/>
  <c r="M112" i="84"/>
  <c r="M109" i="84"/>
  <c r="M77" i="47"/>
  <c r="W37" i="47"/>
  <c r="M105" i="47"/>
  <c r="M116" i="47"/>
  <c r="M115" i="84"/>
  <c r="M114" i="47"/>
  <c r="M76" i="47"/>
  <c r="M80" i="47"/>
  <c r="M91" i="84"/>
  <c r="M113" i="47"/>
  <c r="M92" i="84"/>
  <c r="M114" i="84"/>
  <c r="M96" i="84"/>
  <c r="M83" i="47"/>
  <c r="M90" i="47"/>
  <c r="M92" i="47"/>
  <c r="M84" i="84"/>
  <c r="M99" i="47"/>
  <c r="M86" i="84"/>
  <c r="M93" i="47"/>
  <c r="N109" i="47"/>
  <c r="N114" i="47"/>
  <c r="W36" i="84"/>
  <c r="M95" i="43"/>
  <c r="J111" i="47"/>
  <c r="J78" i="47"/>
  <c r="J82" i="47"/>
  <c r="J75" i="47"/>
  <c r="D36" i="87"/>
  <c r="D38" i="87" s="1"/>
  <c r="N107" i="84"/>
  <c r="J99" i="84"/>
  <c r="J76" i="47"/>
  <c r="H85" i="87"/>
  <c r="H87" i="87" s="1"/>
  <c r="W40" i="84"/>
  <c r="J105" i="47"/>
  <c r="J112" i="84"/>
  <c r="J81" i="84"/>
  <c r="J86" i="84"/>
  <c r="J83" i="84"/>
  <c r="J84" i="47"/>
  <c r="J82" i="84"/>
  <c r="J97" i="84"/>
  <c r="V42" i="47"/>
  <c r="V44" i="47" s="1"/>
  <c r="V57" i="47" s="1"/>
  <c r="V59" i="47" s="1"/>
  <c r="V72" i="47" s="1"/>
  <c r="V74" i="47" s="1"/>
  <c r="V87" i="47" s="1"/>
  <c r="V89" i="47" s="1"/>
  <c r="J91" i="47"/>
  <c r="J111" i="84"/>
  <c r="J85" i="84"/>
  <c r="J86" i="47"/>
  <c r="J108" i="84"/>
  <c r="J79" i="47"/>
  <c r="J80" i="84"/>
  <c r="M103" i="43"/>
  <c r="K72" i="84"/>
  <c r="K74" i="84" s="1"/>
  <c r="W40" i="47"/>
  <c r="W35" i="47"/>
  <c r="W33" i="47"/>
  <c r="W41" i="84"/>
  <c r="E20" i="87"/>
  <c r="K72" i="47"/>
  <c r="K74" i="47" s="1"/>
  <c r="K78" i="47"/>
  <c r="L98" i="47"/>
  <c r="L84" i="84"/>
  <c r="AM521" i="46"/>
  <c r="AM523" i="46" s="1"/>
  <c r="K76" i="47"/>
  <c r="L101" i="84"/>
  <c r="L76" i="47"/>
  <c r="W27" i="47"/>
  <c r="W29" i="47" s="1"/>
  <c r="L82" i="47"/>
  <c r="L92" i="84"/>
  <c r="K111" i="47"/>
  <c r="L115" i="84"/>
  <c r="L75" i="84"/>
  <c r="L84" i="47"/>
  <c r="J98" i="84"/>
  <c r="E29" i="43"/>
  <c r="J76" i="84"/>
  <c r="J75" i="84"/>
  <c r="J77" i="84"/>
  <c r="J80" i="47"/>
  <c r="J85" i="47"/>
  <c r="W33" i="84"/>
  <c r="R71" i="43"/>
  <c r="N105" i="47"/>
  <c r="N113" i="47"/>
  <c r="N112" i="47"/>
  <c r="N114" i="84"/>
  <c r="AM578" i="79"/>
  <c r="AM581" i="79" s="1"/>
  <c r="AM583" i="79" s="1"/>
  <c r="N109" i="84"/>
  <c r="N112" i="84"/>
  <c r="N105" i="84"/>
  <c r="N110" i="84"/>
  <c r="L114" i="84"/>
  <c r="G32" i="85"/>
  <c r="G35" i="85" s="1"/>
  <c r="G36" i="85" s="1"/>
  <c r="G30" i="85"/>
  <c r="L72" i="84"/>
  <c r="L74" i="84" s="1"/>
  <c r="H20" i="87"/>
  <c r="L72" i="47"/>
  <c r="L74" i="47" s="1"/>
  <c r="W46" i="84"/>
  <c r="W54" i="47"/>
  <c r="W54" i="84"/>
  <c r="W39" i="47"/>
  <c r="W48" i="47"/>
  <c r="W53" i="84"/>
  <c r="R62" i="43"/>
  <c r="N107" i="47"/>
  <c r="L101" i="47"/>
  <c r="L108" i="47"/>
  <c r="N115" i="47"/>
  <c r="N110" i="47"/>
  <c r="L112" i="84"/>
  <c r="L105" i="47"/>
  <c r="I96" i="43"/>
  <c r="I102" i="43" s="1"/>
  <c r="L98" i="84"/>
  <c r="N113" i="84"/>
  <c r="N108" i="84"/>
  <c r="N116" i="84"/>
  <c r="W27" i="84"/>
  <c r="W29" i="84" s="1"/>
  <c r="N72" i="84"/>
  <c r="N74" i="84" s="1"/>
  <c r="V42" i="84"/>
  <c r="V44" i="84" s="1"/>
  <c r="V57" i="84" s="1"/>
  <c r="V59" i="84" s="1"/>
  <c r="V72" i="84" s="1"/>
  <c r="V74" i="84" s="1"/>
  <c r="V87" i="84" s="1"/>
  <c r="V89" i="84" s="1"/>
  <c r="N106" i="47"/>
  <c r="N111" i="47"/>
  <c r="AM761" i="79"/>
  <c r="N108" i="47"/>
  <c r="L93" i="47"/>
  <c r="L116" i="84"/>
  <c r="L113" i="84"/>
  <c r="L107" i="47"/>
  <c r="N115" i="84"/>
  <c r="N106" i="84"/>
  <c r="V210" i="46"/>
  <c r="AB270" i="46"/>
  <c r="AB758" i="79" s="1"/>
  <c r="AE270" i="46"/>
  <c r="AE758" i="79" s="1"/>
  <c r="AA270" i="46"/>
  <c r="AD270" i="46"/>
  <c r="AD758" i="79" s="1"/>
  <c r="I13" i="87"/>
  <c r="O65" i="84"/>
  <c r="O67" i="84"/>
  <c r="O66" i="84"/>
  <c r="O98" i="84"/>
  <c r="O81" i="84"/>
  <c r="O108" i="84"/>
  <c r="O110" i="84"/>
  <c r="O107" i="84"/>
  <c r="O86" i="84"/>
  <c r="O83" i="84"/>
  <c r="O75" i="84"/>
  <c r="O92" i="84"/>
  <c r="O114" i="84"/>
  <c r="O93" i="84"/>
  <c r="O101" i="84"/>
  <c r="O69" i="84"/>
  <c r="O68" i="84"/>
  <c r="O71" i="84"/>
  <c r="O113" i="84"/>
  <c r="O94" i="84"/>
  <c r="O76" i="84"/>
  <c r="O112" i="84"/>
  <c r="O77" i="84"/>
  <c r="O84" i="84"/>
  <c r="O91" i="84"/>
  <c r="O78" i="84"/>
  <c r="O80" i="84"/>
  <c r="O109" i="84"/>
  <c r="O105" i="84"/>
  <c r="O115" i="84"/>
  <c r="O60" i="84"/>
  <c r="O61" i="84"/>
  <c r="O63" i="84"/>
  <c r="O99" i="84"/>
  <c r="O106" i="84"/>
  <c r="O90" i="84"/>
  <c r="O111" i="84"/>
  <c r="O95" i="84"/>
  <c r="O97" i="84"/>
  <c r="O79" i="84"/>
  <c r="O96" i="84"/>
  <c r="O85" i="84"/>
  <c r="O70" i="84"/>
  <c r="O64" i="84"/>
  <c r="O62" i="84"/>
  <c r="O100" i="84"/>
  <c r="O116" i="84"/>
  <c r="E34" i="43"/>
  <c r="O82" i="84"/>
  <c r="M72" i="47"/>
  <c r="M74" i="47" s="1"/>
  <c r="E31" i="43"/>
  <c r="L81" i="84"/>
  <c r="L83" i="84"/>
  <c r="L81" i="47"/>
  <c r="L85" i="47"/>
  <c r="L85" i="84"/>
  <c r="L80" i="84"/>
  <c r="L80" i="47"/>
  <c r="L78" i="47"/>
  <c r="L77" i="47"/>
  <c r="L76" i="84"/>
  <c r="L77" i="84"/>
  <c r="L79" i="47"/>
  <c r="L75" i="47"/>
  <c r="L86" i="84"/>
  <c r="L86" i="47"/>
  <c r="F36" i="87"/>
  <c r="L79" i="84"/>
  <c r="L78" i="84"/>
  <c r="G20" i="87"/>
  <c r="L94" i="47"/>
  <c r="L100" i="47"/>
  <c r="L109" i="47"/>
  <c r="L115" i="47"/>
  <c r="L110" i="47"/>
  <c r="L107" i="84"/>
  <c r="L97" i="47"/>
  <c r="L90" i="84"/>
  <c r="L108" i="84"/>
  <c r="L110" i="84"/>
  <c r="L96" i="47"/>
  <c r="L94" i="84"/>
  <c r="E91" i="87"/>
  <c r="E92" i="87" s="1"/>
  <c r="E83" i="87"/>
  <c r="L91" i="84"/>
  <c r="F60" i="87"/>
  <c r="L91" i="47"/>
  <c r="L106" i="47"/>
  <c r="L113" i="47"/>
  <c r="L92" i="47"/>
  <c r="L96" i="84"/>
  <c r="L105" i="84"/>
  <c r="L95" i="84"/>
  <c r="L100" i="84"/>
  <c r="L99" i="84"/>
  <c r="L114" i="47"/>
  <c r="L111" i="47"/>
  <c r="L95" i="47"/>
  <c r="L99" i="47"/>
  <c r="L116" i="47"/>
  <c r="L112" i="47"/>
  <c r="L97" i="84"/>
  <c r="L109" i="84"/>
  <c r="L106" i="84"/>
  <c r="L90" i="47"/>
  <c r="L111" i="84"/>
  <c r="L93" i="84"/>
  <c r="F83" i="87"/>
  <c r="F91" i="87"/>
  <c r="F92" i="87" s="1"/>
  <c r="H83" i="87"/>
  <c r="H91" i="87"/>
  <c r="F87" i="87"/>
  <c r="F109" i="87" s="1"/>
  <c r="F126" i="87" s="1"/>
  <c r="J96" i="43"/>
  <c r="AF212" i="79"/>
  <c r="AF1127" i="79" s="1"/>
  <c r="AC212" i="79"/>
  <c r="AC1127" i="79" s="1"/>
  <c r="J39" i="79"/>
  <c r="K39" i="79" s="1"/>
  <c r="L39" i="79" s="1"/>
  <c r="M39" i="79" s="1"/>
  <c r="Y212" i="79"/>
  <c r="Y1127" i="79" s="1"/>
  <c r="AJ212" i="79"/>
  <c r="AJ1127" i="79" s="1"/>
  <c r="AH212" i="79"/>
  <c r="AH1127" i="79" s="1"/>
  <c r="AI212" i="79"/>
  <c r="AI1127" i="79" s="1"/>
  <c r="AL212" i="79"/>
  <c r="AL1127" i="79" s="1"/>
  <c r="AG212" i="79"/>
  <c r="AG1127" i="79" s="1"/>
  <c r="AK212" i="79"/>
  <c r="AK1127" i="79" s="1"/>
  <c r="Z212" i="79"/>
  <c r="Z1127" i="79" s="1"/>
  <c r="T58" i="79"/>
  <c r="AD211" i="79"/>
  <c r="AD944" i="79" s="1"/>
  <c r="AE211" i="79"/>
  <c r="AE944" i="79" s="1"/>
  <c r="AB211" i="79"/>
  <c r="AB944" i="79" s="1"/>
  <c r="AA211" i="79"/>
  <c r="AA944" i="79" s="1"/>
  <c r="W308" i="46"/>
  <c r="X308" i="46" s="1"/>
  <c r="W32" i="84"/>
  <c r="W47" i="84"/>
  <c r="W45" i="84"/>
  <c r="W39" i="84"/>
  <c r="W32" i="47"/>
  <c r="W35" i="84"/>
  <c r="U339" i="46"/>
  <c r="AA399" i="46"/>
  <c r="AE399" i="46"/>
  <c r="AE759" i="79" s="1"/>
  <c r="AB399" i="46"/>
  <c r="AB759" i="79" s="1"/>
  <c r="AD399" i="46"/>
  <c r="AD759" i="79" s="1"/>
  <c r="S57" i="84"/>
  <c r="S59" i="84" s="1"/>
  <c r="S72" i="84" s="1"/>
  <c r="S74" i="84" s="1"/>
  <c r="S87" i="84" s="1"/>
  <c r="S89" i="84" s="1"/>
  <c r="I63" i="47"/>
  <c r="I81" i="47"/>
  <c r="I65" i="47"/>
  <c r="I80" i="47"/>
  <c r="I86" i="47"/>
  <c r="I83" i="84"/>
  <c r="I75" i="84"/>
  <c r="I62" i="84"/>
  <c r="I71" i="84"/>
  <c r="I61" i="84"/>
  <c r="I78" i="47"/>
  <c r="I77" i="47"/>
  <c r="I66" i="84"/>
  <c r="I85" i="47"/>
  <c r="I85" i="84"/>
  <c r="I76" i="84"/>
  <c r="I80" i="84"/>
  <c r="I77" i="84"/>
  <c r="E28" i="43"/>
  <c r="I75" i="47"/>
  <c r="I66" i="47"/>
  <c r="I84" i="47"/>
  <c r="I60" i="84"/>
  <c r="I76" i="47"/>
  <c r="I62" i="47"/>
  <c r="I65" i="84"/>
  <c r="I63" i="84"/>
  <c r="I71" i="47"/>
  <c r="I84" i="84"/>
  <c r="I82" i="84"/>
  <c r="I68" i="84"/>
  <c r="I68" i="47"/>
  <c r="I67" i="47"/>
  <c r="I69" i="47"/>
  <c r="I64" i="84"/>
  <c r="I83" i="47"/>
  <c r="I79" i="84"/>
  <c r="I81" i="84"/>
  <c r="I82" i="47"/>
  <c r="I61" i="47"/>
  <c r="I70" i="47"/>
  <c r="I70" i="84"/>
  <c r="I86" i="84"/>
  <c r="I78" i="84"/>
  <c r="I60" i="47"/>
  <c r="I64" i="47"/>
  <c r="I69" i="84"/>
  <c r="I67" i="84"/>
  <c r="I79" i="47"/>
  <c r="AF399" i="46"/>
  <c r="AF759" i="79" s="1"/>
  <c r="AF765" i="79" s="1"/>
  <c r="K74" i="43" s="1"/>
  <c r="AJ399" i="46"/>
  <c r="AJ759" i="79" s="1"/>
  <c r="AJ765" i="79" s="1"/>
  <c r="O74" i="43" s="1"/>
  <c r="J289" i="46"/>
  <c r="AI399" i="46"/>
  <c r="AI759" i="79" s="1"/>
  <c r="AI765" i="79" s="1"/>
  <c r="N74" i="43" s="1"/>
  <c r="Z399" i="46"/>
  <c r="Y399" i="46"/>
  <c r="AH399" i="46"/>
  <c r="AH759" i="79" s="1"/>
  <c r="AH765" i="79" s="1"/>
  <c r="M74" i="43" s="1"/>
  <c r="AL399" i="46"/>
  <c r="AL759" i="79" s="1"/>
  <c r="AC399" i="46"/>
  <c r="AC759" i="79" s="1"/>
  <c r="AC765" i="79" s="1"/>
  <c r="H74" i="43" s="1"/>
  <c r="AK399" i="46"/>
  <c r="AK759" i="79" s="1"/>
  <c r="AK765" i="79" s="1"/>
  <c r="P74" i="43" s="1"/>
  <c r="AG399" i="46"/>
  <c r="AG759" i="79" s="1"/>
  <c r="AG765" i="79" s="1"/>
  <c r="L74" i="43" s="1"/>
  <c r="W45" i="47"/>
  <c r="W52" i="84"/>
  <c r="W51" i="47"/>
  <c r="W41" i="47"/>
  <c r="W56" i="84"/>
  <c r="W50" i="47"/>
  <c r="W56" i="47"/>
  <c r="W48" i="84"/>
  <c r="W49" i="84"/>
  <c r="W49" i="47"/>
  <c r="W52" i="47"/>
  <c r="W46" i="47"/>
  <c r="W38" i="84"/>
  <c r="U42" i="84"/>
  <c r="U44" i="84" s="1"/>
  <c r="U57" i="84" s="1"/>
  <c r="U59" i="84" s="1"/>
  <c r="U72" i="84" s="1"/>
  <c r="U74" i="84" s="1"/>
  <c r="U87" i="84" s="1"/>
  <c r="U89" i="84" s="1"/>
  <c r="U102" i="84" s="1"/>
  <c r="U104" i="84" s="1"/>
  <c r="U117" i="84" s="1"/>
  <c r="U119" i="84" s="1"/>
  <c r="W53" i="47"/>
  <c r="U42" i="47"/>
  <c r="U44" i="47" s="1"/>
  <c r="U57" i="47" s="1"/>
  <c r="U59" i="47" s="1"/>
  <c r="U72" i="47" s="1"/>
  <c r="U74" i="47" s="1"/>
  <c r="U87" i="47" s="1"/>
  <c r="U89" i="47" s="1"/>
  <c r="U102" i="47" s="1"/>
  <c r="W55" i="47"/>
  <c r="W50" i="84"/>
  <c r="W55" i="84"/>
  <c r="S57" i="47"/>
  <c r="S59" i="47" s="1"/>
  <c r="S72" i="47" s="1"/>
  <c r="S74" i="47" s="1"/>
  <c r="S87" i="47" s="1"/>
  <c r="S89" i="47" s="1"/>
  <c r="F102" i="43"/>
  <c r="W30" i="84"/>
  <c r="P42" i="84"/>
  <c r="P44" i="84" s="1"/>
  <c r="P57" i="84" s="1"/>
  <c r="P59" i="84" s="1"/>
  <c r="P72" i="84" s="1"/>
  <c r="P74" i="84" s="1"/>
  <c r="P87" i="84" s="1"/>
  <c r="P89" i="84" s="1"/>
  <c r="W51" i="84"/>
  <c r="W34" i="84"/>
  <c r="W34" i="47"/>
  <c r="W36" i="47"/>
  <c r="W38" i="47"/>
  <c r="W37" i="84"/>
  <c r="W30" i="47"/>
  <c r="P42" i="47"/>
  <c r="P44" i="47" s="1"/>
  <c r="P57" i="47" s="1"/>
  <c r="P59" i="47" s="1"/>
  <c r="P72" i="47" s="1"/>
  <c r="P74" i="47" s="1"/>
  <c r="P87" i="47" s="1"/>
  <c r="P89" i="47" s="1"/>
  <c r="W47" i="47"/>
  <c r="I91" i="87" l="1"/>
  <c r="I92" i="87" s="1"/>
  <c r="I83" i="87"/>
  <c r="I66" i="87"/>
  <c r="I67" i="87" s="1"/>
  <c r="I58" i="87"/>
  <c r="N87" i="84"/>
  <c r="N89" i="84" s="1"/>
  <c r="F34" i="87"/>
  <c r="N87" i="47"/>
  <c r="N89" i="47" s="1"/>
  <c r="N102" i="47" s="1"/>
  <c r="N104" i="47" s="1"/>
  <c r="N117" i="47" s="1"/>
  <c r="N119" i="47" s="1"/>
  <c r="J100" i="84"/>
  <c r="J94" i="84"/>
  <c r="J90" i="47"/>
  <c r="J110" i="84"/>
  <c r="J92" i="47"/>
  <c r="J96" i="84"/>
  <c r="J98" i="47"/>
  <c r="J101" i="84"/>
  <c r="J114" i="84"/>
  <c r="J110" i="47"/>
  <c r="J114" i="47"/>
  <c r="J107" i="84"/>
  <c r="J99" i="47"/>
  <c r="J95" i="47"/>
  <c r="J108" i="47"/>
  <c r="J113" i="47"/>
  <c r="J105" i="84"/>
  <c r="J91" i="84"/>
  <c r="K84" i="47"/>
  <c r="J106" i="84"/>
  <c r="J93" i="84"/>
  <c r="J115" i="47"/>
  <c r="J94" i="47"/>
  <c r="J107" i="47"/>
  <c r="J92" i="84"/>
  <c r="J112" i="47"/>
  <c r="J115" i="84"/>
  <c r="K91" i="84"/>
  <c r="J109" i="84"/>
  <c r="J116" i="47"/>
  <c r="J93" i="47"/>
  <c r="J116" i="84"/>
  <c r="J109" i="47"/>
  <c r="J95" i="84"/>
  <c r="J90" i="84"/>
  <c r="J101" i="47"/>
  <c r="J113" i="84"/>
  <c r="J100" i="47"/>
  <c r="J97" i="47"/>
  <c r="K81" i="84"/>
  <c r="W81" i="84" s="1"/>
  <c r="T102" i="47"/>
  <c r="T104" i="47" s="1"/>
  <c r="T117" i="47" s="1"/>
  <c r="T119" i="47" s="1"/>
  <c r="D67" i="87"/>
  <c r="Q102" i="47"/>
  <c r="Q104" i="47" s="1"/>
  <c r="Q117" i="47" s="1"/>
  <c r="Q119" i="47" s="1"/>
  <c r="Q102" i="84"/>
  <c r="Q104" i="84" s="1"/>
  <c r="Q117" i="84" s="1"/>
  <c r="Q119" i="84" s="1"/>
  <c r="S102" i="47"/>
  <c r="S102" i="84"/>
  <c r="S104" i="84" s="1"/>
  <c r="S117" i="84" s="1"/>
  <c r="S119" i="84" s="1"/>
  <c r="K97" i="84"/>
  <c r="K100" i="47"/>
  <c r="K112" i="47"/>
  <c r="K101" i="47"/>
  <c r="P102" i="47"/>
  <c r="P102" i="84"/>
  <c r="P104" i="84" s="1"/>
  <c r="P117" i="84" s="1"/>
  <c r="P119" i="84" s="1"/>
  <c r="N102" i="84"/>
  <c r="N104" i="84" s="1"/>
  <c r="N117" i="84" s="1"/>
  <c r="N119" i="84" s="1"/>
  <c r="K77" i="84"/>
  <c r="W77" i="84" s="1"/>
  <c r="K94" i="84"/>
  <c r="K94" i="47"/>
  <c r="K109" i="84"/>
  <c r="R102" i="47"/>
  <c r="R102" i="84"/>
  <c r="R104" i="84" s="1"/>
  <c r="R117" i="84" s="1"/>
  <c r="R119" i="84" s="1"/>
  <c r="D108" i="87"/>
  <c r="D124" i="87" s="1"/>
  <c r="L14" i="91" s="1"/>
  <c r="D64" i="87"/>
  <c r="H67" i="87"/>
  <c r="E108" i="87"/>
  <c r="E124" i="87" s="1"/>
  <c r="L15" i="91" s="1"/>
  <c r="E64" i="87"/>
  <c r="H64" i="87"/>
  <c r="H108" i="87"/>
  <c r="H124" i="87" s="1"/>
  <c r="L17" i="91" s="1"/>
  <c r="V102" i="84"/>
  <c r="V104" i="84" s="1"/>
  <c r="V117" i="84" s="1"/>
  <c r="V119" i="84" s="1"/>
  <c r="E67" i="87"/>
  <c r="K114" i="84"/>
  <c r="E30" i="43"/>
  <c r="V102" i="47"/>
  <c r="V104" i="47" s="1"/>
  <c r="V117" i="47" s="1"/>
  <c r="V119" i="47" s="1"/>
  <c r="T102" i="84"/>
  <c r="T104" i="84" s="1"/>
  <c r="T117" i="84" s="1"/>
  <c r="T119" i="84" s="1"/>
  <c r="K91" i="47"/>
  <c r="C96" i="87"/>
  <c r="C99" i="87" s="1"/>
  <c r="E101" i="87"/>
  <c r="E103" i="87" s="1"/>
  <c r="C92" i="87"/>
  <c r="C89" i="87"/>
  <c r="W63" i="84"/>
  <c r="C15" i="87"/>
  <c r="AM393" i="79"/>
  <c r="AM397" i="79" s="1"/>
  <c r="AM399" i="79" s="1"/>
  <c r="H94" i="43"/>
  <c r="H102" i="43" s="1"/>
  <c r="Y397" i="79"/>
  <c r="D68" i="43" s="1"/>
  <c r="E107" i="87"/>
  <c r="E123" i="87" s="1"/>
  <c r="R65" i="43"/>
  <c r="H18" i="43" s="1"/>
  <c r="K105" i="84"/>
  <c r="K106" i="47"/>
  <c r="K105" i="47"/>
  <c r="K95" i="84"/>
  <c r="K100" i="84"/>
  <c r="K111" i="84"/>
  <c r="K98" i="47"/>
  <c r="K99" i="84"/>
  <c r="K115" i="47"/>
  <c r="K75" i="84"/>
  <c r="W75" i="84" s="1"/>
  <c r="K96" i="84"/>
  <c r="K98" i="84"/>
  <c r="K92" i="47"/>
  <c r="K78" i="84"/>
  <c r="W78" i="84" s="1"/>
  <c r="K113" i="47"/>
  <c r="K115" i="84"/>
  <c r="K79" i="47"/>
  <c r="K110" i="84"/>
  <c r="C38" i="87"/>
  <c r="C107" i="87" s="1"/>
  <c r="C123" i="87" s="1"/>
  <c r="L13" i="90" s="1"/>
  <c r="K95" i="47"/>
  <c r="K116" i="47"/>
  <c r="K85" i="84"/>
  <c r="W85" i="84" s="1"/>
  <c r="K76" i="84"/>
  <c r="W76" i="84" s="1"/>
  <c r="K107" i="84"/>
  <c r="K108" i="47"/>
  <c r="K82" i="84"/>
  <c r="W82" i="84" s="1"/>
  <c r="K110" i="47"/>
  <c r="K109" i="47"/>
  <c r="K86" i="84"/>
  <c r="W86" i="84" s="1"/>
  <c r="K80" i="84"/>
  <c r="W80" i="84" s="1"/>
  <c r="K112" i="84"/>
  <c r="K97" i="47"/>
  <c r="K83" i="84"/>
  <c r="W83" i="84" s="1"/>
  <c r="K113" i="84"/>
  <c r="K82" i="47"/>
  <c r="K84" i="84"/>
  <c r="W84" i="84" s="1"/>
  <c r="K92" i="84"/>
  <c r="K106" i="84"/>
  <c r="K77" i="47"/>
  <c r="AG75" i="47"/>
  <c r="E43" i="87"/>
  <c r="K90" i="47"/>
  <c r="K85" i="47"/>
  <c r="K75" i="47"/>
  <c r="K80" i="47"/>
  <c r="K83" i="47"/>
  <c r="K99" i="47"/>
  <c r="K93" i="47"/>
  <c r="K93" i="84"/>
  <c r="K79" i="84"/>
  <c r="W79" i="84" s="1"/>
  <c r="K116" i="84"/>
  <c r="K114" i="47"/>
  <c r="K81" i="47"/>
  <c r="K107" i="47"/>
  <c r="K108" i="84"/>
  <c r="K86" i="47"/>
  <c r="K96" i="47"/>
  <c r="K101" i="84"/>
  <c r="K90" i="84"/>
  <c r="H101" i="87"/>
  <c r="H103" i="87" s="1"/>
  <c r="H109" i="87"/>
  <c r="H126" i="87" s="1"/>
  <c r="D40" i="87"/>
  <c r="D107" i="87"/>
  <c r="G40" i="87"/>
  <c r="G107" i="87"/>
  <c r="W62" i="84"/>
  <c r="D101" i="87"/>
  <c r="D103" i="87" s="1"/>
  <c r="G101" i="87"/>
  <c r="G103" i="87" s="1"/>
  <c r="F89" i="87"/>
  <c r="F96" i="87"/>
  <c r="F99" i="87" s="1"/>
  <c r="H89" i="87"/>
  <c r="H96" i="87"/>
  <c r="H99" i="87" s="1"/>
  <c r="W68" i="84"/>
  <c r="H92" i="87"/>
  <c r="D43" i="87"/>
  <c r="J72" i="47"/>
  <c r="J74" i="47" s="1"/>
  <c r="J87" i="47" s="1"/>
  <c r="J89" i="47" s="1"/>
  <c r="J72" i="84"/>
  <c r="J74" i="84" s="1"/>
  <c r="J87" i="84" s="1"/>
  <c r="J89" i="84" s="1"/>
  <c r="M87" i="84"/>
  <c r="M89" i="84" s="1"/>
  <c r="M102" i="84" s="1"/>
  <c r="M104" i="84" s="1"/>
  <c r="M117" i="84" s="1"/>
  <c r="M119" i="84" s="1"/>
  <c r="G43" i="87"/>
  <c r="W71" i="84"/>
  <c r="M87" i="47"/>
  <c r="M89" i="47" s="1"/>
  <c r="M102" i="47" s="1"/>
  <c r="M104" i="47" s="1"/>
  <c r="M117" i="47" s="1"/>
  <c r="M119" i="47" s="1"/>
  <c r="J85" i="87"/>
  <c r="W69" i="84"/>
  <c r="W70" i="84"/>
  <c r="AD765" i="79"/>
  <c r="I74" i="43" s="1"/>
  <c r="N121" i="47" s="1"/>
  <c r="W66" i="84"/>
  <c r="C104" i="43"/>
  <c r="C105" i="43" s="1"/>
  <c r="W67" i="84"/>
  <c r="W64" i="84"/>
  <c r="O72" i="84"/>
  <c r="O74" i="84" s="1"/>
  <c r="O87" i="84" s="1"/>
  <c r="O89" i="84" s="1"/>
  <c r="O102" i="84" s="1"/>
  <c r="O104" i="84" s="1"/>
  <c r="O117" i="84" s="1"/>
  <c r="O119" i="84" s="1"/>
  <c r="J87" i="87"/>
  <c r="J109" i="87" s="1"/>
  <c r="J126" i="87" s="1"/>
  <c r="F62" i="87"/>
  <c r="W65" i="84"/>
  <c r="F38" i="87"/>
  <c r="F107" i="87" s="1"/>
  <c r="F43" i="87"/>
  <c r="I15" i="87"/>
  <c r="I20" i="87"/>
  <c r="H32" i="85"/>
  <c r="H35" i="85" s="1"/>
  <c r="H36" i="85" s="1"/>
  <c r="H30" i="85"/>
  <c r="L87" i="84"/>
  <c r="L89" i="84" s="1"/>
  <c r="L102" i="84" s="1"/>
  <c r="L104" i="84" s="1"/>
  <c r="L117" i="84" s="1"/>
  <c r="L119" i="84" s="1"/>
  <c r="F67" i="87"/>
  <c r="W61" i="84"/>
  <c r="AB765" i="79"/>
  <c r="G74" i="43" s="1"/>
  <c r="L129" i="84" s="1"/>
  <c r="AA271" i="46"/>
  <c r="AA941" i="79" s="1"/>
  <c r="W210" i="46"/>
  <c r="AD271" i="46"/>
  <c r="AD941" i="79" s="1"/>
  <c r="AB271" i="46"/>
  <c r="AB941" i="79" s="1"/>
  <c r="AE271" i="46"/>
  <c r="AE941" i="79" s="1"/>
  <c r="L87" i="47"/>
  <c r="L89" i="47" s="1"/>
  <c r="L102" i="47" s="1"/>
  <c r="L104" i="47" s="1"/>
  <c r="L117" i="47" s="1"/>
  <c r="L119" i="47" s="1"/>
  <c r="AE765" i="79"/>
  <c r="J74" i="43" s="1"/>
  <c r="O121" i="84" s="1"/>
  <c r="AV140" i="46"/>
  <c r="AA758" i="79"/>
  <c r="J36" i="87"/>
  <c r="J13" i="87"/>
  <c r="AM944" i="79"/>
  <c r="K96" i="43"/>
  <c r="U58" i="79"/>
  <c r="V58" i="79" s="1"/>
  <c r="W58" i="79" s="1"/>
  <c r="X58" i="79" s="1"/>
  <c r="AE212" i="79"/>
  <c r="AE1127" i="79" s="1"/>
  <c r="AD212" i="79"/>
  <c r="AD1127" i="79" s="1"/>
  <c r="AA212" i="79"/>
  <c r="AA1127" i="79" s="1"/>
  <c r="AB212" i="79"/>
  <c r="AB1127" i="79" s="1"/>
  <c r="R122" i="47"/>
  <c r="R127" i="47"/>
  <c r="R130" i="84"/>
  <c r="R125" i="84"/>
  <c r="R129" i="84"/>
  <c r="R129" i="47"/>
  <c r="R122" i="84"/>
  <c r="R128" i="47"/>
  <c r="R121" i="84"/>
  <c r="R120" i="47"/>
  <c r="R124" i="84"/>
  <c r="R130" i="47"/>
  <c r="R128" i="84"/>
  <c r="R123" i="47"/>
  <c r="R131" i="84"/>
  <c r="R127" i="84"/>
  <c r="R125" i="47"/>
  <c r="R124" i="47"/>
  <c r="R123" i="84"/>
  <c r="R120" i="84"/>
  <c r="R131" i="47"/>
  <c r="R121" i="47"/>
  <c r="R126" i="84"/>
  <c r="R126" i="47"/>
  <c r="U120" i="84"/>
  <c r="U131" i="47"/>
  <c r="U126" i="84"/>
  <c r="U121" i="47"/>
  <c r="U129" i="84"/>
  <c r="U127" i="84"/>
  <c r="U129" i="47"/>
  <c r="U122" i="84"/>
  <c r="U123" i="84"/>
  <c r="U121" i="84"/>
  <c r="U123" i="47"/>
  <c r="U125" i="47"/>
  <c r="U130" i="84"/>
  <c r="U128" i="84"/>
  <c r="U120" i="47"/>
  <c r="U124" i="84"/>
  <c r="U126" i="47"/>
  <c r="U127" i="47"/>
  <c r="U128" i="47"/>
  <c r="U124" i="47"/>
  <c r="U130" i="47"/>
  <c r="U122" i="47"/>
  <c r="U131" i="84"/>
  <c r="U125" i="84"/>
  <c r="AY139" i="46"/>
  <c r="AO146" i="46" s="1"/>
  <c r="Y759" i="79"/>
  <c r="Y765" i="79" s="1"/>
  <c r="T120" i="47"/>
  <c r="T125" i="84"/>
  <c r="T125" i="47"/>
  <c r="T122" i="84"/>
  <c r="T124" i="84"/>
  <c r="T128" i="47"/>
  <c r="T130" i="84"/>
  <c r="T120" i="84"/>
  <c r="T131" i="84"/>
  <c r="T130" i="47"/>
  <c r="T129" i="47"/>
  <c r="T127" i="84"/>
  <c r="T127" i="47"/>
  <c r="T124" i="47"/>
  <c r="T128" i="84"/>
  <c r="T123" i="84"/>
  <c r="T126" i="47"/>
  <c r="T122" i="47"/>
  <c r="T131" i="47"/>
  <c r="T121" i="47"/>
  <c r="T126" i="84"/>
  <c r="T121" i="84"/>
  <c r="T129" i="84"/>
  <c r="T123" i="47"/>
  <c r="Q120" i="84"/>
  <c r="Q120" i="47"/>
  <c r="Q122" i="84"/>
  <c r="Q121" i="47"/>
  <c r="Q125" i="47"/>
  <c r="Q126" i="47"/>
  <c r="Q131" i="47"/>
  <c r="Q128" i="47"/>
  <c r="Q127" i="84"/>
  <c r="Q122" i="47"/>
  <c r="Q130" i="84"/>
  <c r="Q123" i="84"/>
  <c r="Q123" i="47"/>
  <c r="Q127" i="47"/>
  <c r="Q130" i="47"/>
  <c r="Q121" i="84"/>
  <c r="Q126" i="84"/>
  <c r="Q129" i="84"/>
  <c r="Q124" i="47"/>
  <c r="Q124" i="84"/>
  <c r="Q129" i="47"/>
  <c r="Q128" i="84"/>
  <c r="Q125" i="84"/>
  <c r="Q131" i="84"/>
  <c r="AF400" i="46"/>
  <c r="AF942" i="79" s="1"/>
  <c r="AF949" i="79" s="1"/>
  <c r="K77" i="43" s="1"/>
  <c r="P136" i="84" s="1"/>
  <c r="AK400" i="46"/>
  <c r="AK942" i="79" s="1"/>
  <c r="AK949" i="79" s="1"/>
  <c r="P77" i="43" s="1"/>
  <c r="U135" i="84" s="1"/>
  <c r="Y400" i="46"/>
  <c r="K289" i="46"/>
  <c r="AG400" i="46"/>
  <c r="AG942" i="79" s="1"/>
  <c r="AG949" i="79" s="1"/>
  <c r="L77" i="43" s="1"/>
  <c r="Q139" i="84" s="1"/>
  <c r="AH400" i="46"/>
  <c r="AH942" i="79" s="1"/>
  <c r="AH949" i="79" s="1"/>
  <c r="M77" i="43" s="1"/>
  <c r="R143" i="47" s="1"/>
  <c r="AC400" i="46"/>
  <c r="AC942" i="79" s="1"/>
  <c r="AC949" i="79" s="1"/>
  <c r="H77" i="43" s="1"/>
  <c r="M140" i="84" s="1"/>
  <c r="Z400" i="46"/>
  <c r="AJ400" i="46"/>
  <c r="AJ942" i="79" s="1"/>
  <c r="AJ949" i="79" s="1"/>
  <c r="O77" i="43" s="1"/>
  <c r="T145" i="47" s="1"/>
  <c r="AL400" i="46"/>
  <c r="AL942" i="79" s="1"/>
  <c r="AL949" i="79" s="1"/>
  <c r="Q77" i="43" s="1"/>
  <c r="AI400" i="46"/>
  <c r="AI942" i="79" s="1"/>
  <c r="AI949" i="79" s="1"/>
  <c r="N77" i="43" s="1"/>
  <c r="S145" i="84" s="1"/>
  <c r="I72" i="84"/>
  <c r="I74" i="84" s="1"/>
  <c r="I87" i="84" s="1"/>
  <c r="I89" i="84" s="1"/>
  <c r="W42" i="47"/>
  <c r="D104" i="43" s="1"/>
  <c r="M126" i="84"/>
  <c r="M129" i="47"/>
  <c r="M122" i="47"/>
  <c r="M128" i="84"/>
  <c r="M121" i="84"/>
  <c r="M131" i="84"/>
  <c r="M122" i="84"/>
  <c r="M130" i="84"/>
  <c r="M131" i="47"/>
  <c r="M125" i="84"/>
  <c r="M120" i="84"/>
  <c r="M130" i="47"/>
  <c r="M124" i="84"/>
  <c r="M124" i="47"/>
  <c r="M129" i="84"/>
  <c r="M125" i="47"/>
  <c r="M120" i="47"/>
  <c r="M121" i="47"/>
  <c r="M123" i="84"/>
  <c r="M128" i="47"/>
  <c r="M126" i="47"/>
  <c r="M127" i="84"/>
  <c r="M127" i="47"/>
  <c r="M123" i="47"/>
  <c r="AZ139" i="46"/>
  <c r="AP146" i="46" s="1"/>
  <c r="Z759" i="79"/>
  <c r="Z765" i="79" s="1"/>
  <c r="E74" i="43" s="1"/>
  <c r="P131" i="47"/>
  <c r="P124" i="47"/>
  <c r="P121" i="84"/>
  <c r="P125" i="84"/>
  <c r="P123" i="47"/>
  <c r="P122" i="47"/>
  <c r="P124" i="84"/>
  <c r="P127" i="84"/>
  <c r="P120" i="84"/>
  <c r="P123" i="84"/>
  <c r="P128" i="84"/>
  <c r="P126" i="84"/>
  <c r="P130" i="84"/>
  <c r="P125" i="47"/>
  <c r="P120" i="47"/>
  <c r="P121" i="47"/>
  <c r="P131" i="84"/>
  <c r="P126" i="47"/>
  <c r="P130" i="47"/>
  <c r="P122" i="84"/>
  <c r="P128" i="47"/>
  <c r="P127" i="47"/>
  <c r="P129" i="84"/>
  <c r="P129" i="47"/>
  <c r="I72" i="47"/>
  <c r="I74" i="47" s="1"/>
  <c r="I87" i="47" s="1"/>
  <c r="I89" i="47" s="1"/>
  <c r="AA759" i="79"/>
  <c r="BA139" i="46"/>
  <c r="AQ146" i="46" s="1"/>
  <c r="W60" i="84"/>
  <c r="AL765" i="79"/>
  <c r="Q74" i="43" s="1"/>
  <c r="S124" i="47"/>
  <c r="S123" i="84"/>
  <c r="S143" i="47"/>
  <c r="S131" i="47"/>
  <c r="S122" i="47"/>
  <c r="S129" i="47"/>
  <c r="S120" i="47"/>
  <c r="S130" i="84"/>
  <c r="S130" i="47"/>
  <c r="S126" i="84"/>
  <c r="S136" i="47"/>
  <c r="S121" i="84"/>
  <c r="S129" i="84"/>
  <c r="S127" i="47"/>
  <c r="S142" i="84"/>
  <c r="S122" i="84"/>
  <c r="S123" i="47"/>
  <c r="S121" i="47"/>
  <c r="S128" i="47"/>
  <c r="S125" i="47"/>
  <c r="S126" i="47"/>
  <c r="S131" i="84"/>
  <c r="S128" i="84"/>
  <c r="S127" i="84"/>
  <c r="S124" i="84"/>
  <c r="S120" i="84"/>
  <c r="S125" i="84"/>
  <c r="V339" i="46"/>
  <c r="AA400" i="46"/>
  <c r="AD400" i="46"/>
  <c r="AD942" i="79" s="1"/>
  <c r="AE400" i="46"/>
  <c r="AE942" i="79" s="1"/>
  <c r="AB400" i="46"/>
  <c r="AB942" i="79" s="1"/>
  <c r="W42" i="84"/>
  <c r="W44" i="84" s="1"/>
  <c r="W57" i="84" s="1"/>
  <c r="W59" i="84" s="1"/>
  <c r="S104" i="47"/>
  <c r="S117" i="47" s="1"/>
  <c r="S119" i="47" s="1"/>
  <c r="U104" i="47"/>
  <c r="U117" i="47" s="1"/>
  <c r="U119" i="47" s="1"/>
  <c r="F39" i="43" l="1"/>
  <c r="J102" i="84"/>
  <c r="J104" i="84" s="1"/>
  <c r="J117" i="84" s="1"/>
  <c r="J119" i="84" s="1"/>
  <c r="F36" i="43"/>
  <c r="G36" i="43" s="1"/>
  <c r="J102" i="47"/>
  <c r="J104" i="47" s="1"/>
  <c r="J117" i="47" s="1"/>
  <c r="J119" i="47" s="1"/>
  <c r="H127" i="87"/>
  <c r="H129" i="87" s="1"/>
  <c r="E127" i="87"/>
  <c r="E129" i="87" s="1"/>
  <c r="L15" i="90"/>
  <c r="P104" i="47"/>
  <c r="P117" i="47" s="1"/>
  <c r="P119" i="47" s="1"/>
  <c r="R104" i="47"/>
  <c r="R117" i="47" s="1"/>
  <c r="R119" i="47" s="1"/>
  <c r="R132" i="47" s="1"/>
  <c r="R134" i="47" s="1"/>
  <c r="F41" i="43"/>
  <c r="C106" i="87"/>
  <c r="C122" i="87" s="1"/>
  <c r="C17" i="87"/>
  <c r="I106" i="87"/>
  <c r="I122" i="87" s="1"/>
  <c r="L18" i="89" s="1"/>
  <c r="K87" i="84"/>
  <c r="K89" i="84" s="1"/>
  <c r="K102" i="84" s="1"/>
  <c r="K104" i="84" s="1"/>
  <c r="K117" i="84" s="1"/>
  <c r="K119" i="84" s="1"/>
  <c r="N120" i="47"/>
  <c r="E110" i="87"/>
  <c r="K87" i="47"/>
  <c r="K89" i="47" s="1"/>
  <c r="K102" i="47" s="1"/>
  <c r="K104" i="47" s="1"/>
  <c r="K117" i="47" s="1"/>
  <c r="K119" i="47" s="1"/>
  <c r="N122" i="84"/>
  <c r="C60" i="87"/>
  <c r="I99" i="47"/>
  <c r="I90" i="47"/>
  <c r="I109" i="47"/>
  <c r="I97" i="47"/>
  <c r="I110" i="47"/>
  <c r="I100" i="47"/>
  <c r="I100" i="84"/>
  <c r="W100" i="84" s="1"/>
  <c r="I107" i="84"/>
  <c r="W107" i="84" s="1"/>
  <c r="I111" i="84"/>
  <c r="W111" i="84" s="1"/>
  <c r="I108" i="84"/>
  <c r="W108" i="84" s="1"/>
  <c r="I112" i="47"/>
  <c r="I91" i="47"/>
  <c r="I105" i="47"/>
  <c r="I101" i="47"/>
  <c r="I96" i="84"/>
  <c r="W96" i="84" s="1"/>
  <c r="I99" i="84"/>
  <c r="W99" i="84" s="1"/>
  <c r="I90" i="84"/>
  <c r="W90" i="84" s="1"/>
  <c r="I101" i="84"/>
  <c r="W101" i="84" s="1"/>
  <c r="I105" i="84"/>
  <c r="W105" i="84" s="1"/>
  <c r="I112" i="84"/>
  <c r="W112" i="84" s="1"/>
  <c r="I114" i="84"/>
  <c r="W114" i="84" s="1"/>
  <c r="I116" i="47"/>
  <c r="I98" i="47"/>
  <c r="I94" i="47"/>
  <c r="I115" i="47"/>
  <c r="I97" i="84"/>
  <c r="W97" i="84" s="1"/>
  <c r="I94" i="84"/>
  <c r="W94" i="84" s="1"/>
  <c r="I91" i="84"/>
  <c r="W91" i="84" s="1"/>
  <c r="I95" i="84"/>
  <c r="W95" i="84" s="1"/>
  <c r="I93" i="84"/>
  <c r="W93" i="84" s="1"/>
  <c r="I116" i="84"/>
  <c r="W116" i="84" s="1"/>
  <c r="I110" i="84"/>
  <c r="W110" i="84" s="1"/>
  <c r="AH90" i="47"/>
  <c r="I108" i="47"/>
  <c r="I95" i="47"/>
  <c r="I93" i="47"/>
  <c r="I113" i="47"/>
  <c r="I107" i="47"/>
  <c r="I114" i="47"/>
  <c r="I98" i="84"/>
  <c r="W98" i="84" s="1"/>
  <c r="I92" i="84"/>
  <c r="W92" i="84" s="1"/>
  <c r="I115" i="84"/>
  <c r="W115" i="84" s="1"/>
  <c r="I113" i="84"/>
  <c r="W113" i="84" s="1"/>
  <c r="I109" i="84"/>
  <c r="W109" i="84" s="1"/>
  <c r="I111" i="47"/>
  <c r="I96" i="47"/>
  <c r="R68" i="43"/>
  <c r="B3" i="88" s="1"/>
  <c r="B53" i="88" s="1"/>
  <c r="D53" i="88" s="1"/>
  <c r="I92" i="47"/>
  <c r="I106" i="47"/>
  <c r="I106" i="84"/>
  <c r="W106" i="84" s="1"/>
  <c r="C40" i="87"/>
  <c r="F123" i="87"/>
  <c r="L16" i="90" s="1"/>
  <c r="G123" i="87"/>
  <c r="L17" i="90" s="1"/>
  <c r="G110" i="87"/>
  <c r="F64" i="87"/>
  <c r="F108" i="87"/>
  <c r="F124" i="87" s="1"/>
  <c r="L16" i="91" s="1"/>
  <c r="D123" i="87"/>
  <c r="L14" i="90" s="1"/>
  <c r="D110" i="87"/>
  <c r="H110" i="87"/>
  <c r="I17" i="87"/>
  <c r="I101" i="87"/>
  <c r="I103" i="87" s="1"/>
  <c r="J99" i="87"/>
  <c r="N25" i="88" s="1"/>
  <c r="J89" i="87"/>
  <c r="J96" i="87"/>
  <c r="F40" i="87"/>
  <c r="F101" i="87"/>
  <c r="F103" i="87" s="1"/>
  <c r="N125" i="84"/>
  <c r="N123" i="47"/>
  <c r="N122" i="47"/>
  <c r="N123" i="84"/>
  <c r="N131" i="47"/>
  <c r="N124" i="84"/>
  <c r="N130" i="47"/>
  <c r="O128" i="47"/>
  <c r="O123" i="47"/>
  <c r="AD949" i="79"/>
  <c r="I77" i="43" s="1"/>
  <c r="N141" i="84" s="1"/>
  <c r="W44" i="47"/>
  <c r="W57" i="47" s="1"/>
  <c r="W59" i="47" s="1"/>
  <c r="N127" i="47"/>
  <c r="N124" i="47"/>
  <c r="N120" i="84"/>
  <c r="O131" i="47"/>
  <c r="O127" i="47"/>
  <c r="L124" i="84"/>
  <c r="N125" i="47"/>
  <c r="N131" i="84"/>
  <c r="N128" i="47"/>
  <c r="O125" i="47"/>
  <c r="O124" i="84"/>
  <c r="O120" i="84"/>
  <c r="F33" i="43"/>
  <c r="G33" i="43" s="1"/>
  <c r="O122" i="47"/>
  <c r="O123" i="84"/>
  <c r="N129" i="84"/>
  <c r="N127" i="84"/>
  <c r="N130" i="84"/>
  <c r="N121" i="84"/>
  <c r="N126" i="47"/>
  <c r="N128" i="84"/>
  <c r="N126" i="84"/>
  <c r="N129" i="47"/>
  <c r="O121" i="47"/>
  <c r="O126" i="84"/>
  <c r="O120" i="47"/>
  <c r="O130" i="47"/>
  <c r="O129" i="84"/>
  <c r="O122" i="84"/>
  <c r="O131" i="84"/>
  <c r="O129" i="47"/>
  <c r="O125" i="84"/>
  <c r="F31" i="43"/>
  <c r="G31" i="43" s="1"/>
  <c r="O127" i="84"/>
  <c r="O126" i="47"/>
  <c r="O130" i="84"/>
  <c r="O128" i="84"/>
  <c r="O124" i="47"/>
  <c r="L120" i="84"/>
  <c r="L128" i="84"/>
  <c r="J38" i="87"/>
  <c r="J107" i="87" s="1"/>
  <c r="J123" i="87" s="1"/>
  <c r="L124" i="47"/>
  <c r="AB949" i="79"/>
  <c r="G77" i="43" s="1"/>
  <c r="L139" i="84" s="1"/>
  <c r="L123" i="47"/>
  <c r="L129" i="47"/>
  <c r="AM758" i="79"/>
  <c r="J93" i="43"/>
  <c r="K93" i="43"/>
  <c r="AM941" i="79"/>
  <c r="I32" i="85"/>
  <c r="I35" i="85" s="1"/>
  <c r="I36" i="85" s="1"/>
  <c r="I30" i="85"/>
  <c r="AA765" i="79"/>
  <c r="F74" i="43" s="1"/>
  <c r="K126" i="47" s="1"/>
  <c r="L120" i="47"/>
  <c r="L131" i="47"/>
  <c r="L127" i="47"/>
  <c r="L121" i="47"/>
  <c r="L126" i="84"/>
  <c r="L121" i="84"/>
  <c r="L130" i="47"/>
  <c r="L131" i="84"/>
  <c r="L125" i="84"/>
  <c r="L123" i="84"/>
  <c r="L126" i="47"/>
  <c r="L128" i="47"/>
  <c r="J15" i="87"/>
  <c r="J106" i="87" s="1"/>
  <c r="AE949" i="79"/>
  <c r="J77" i="43" s="1"/>
  <c r="O146" i="84" s="1"/>
  <c r="L122" i="47"/>
  <c r="L130" i="84"/>
  <c r="L125" i="47"/>
  <c r="L127" i="84"/>
  <c r="L122" i="84"/>
  <c r="AA272" i="46"/>
  <c r="AA1124" i="79" s="1"/>
  <c r="AB272" i="46"/>
  <c r="AB1124" i="79" s="1"/>
  <c r="X210" i="46"/>
  <c r="AD272" i="46"/>
  <c r="AD1124" i="79" s="1"/>
  <c r="AE272" i="46"/>
  <c r="AE1124" i="79" s="1"/>
  <c r="S135" i="84"/>
  <c r="S144" i="84"/>
  <c r="W72" i="84"/>
  <c r="W74" i="84" s="1"/>
  <c r="W87" i="84" s="1"/>
  <c r="W89" i="84" s="1"/>
  <c r="S137" i="84"/>
  <c r="M141" i="84"/>
  <c r="M144" i="84"/>
  <c r="S145" i="47"/>
  <c r="S136" i="84"/>
  <c r="S139" i="84"/>
  <c r="S135" i="47"/>
  <c r="M138" i="84"/>
  <c r="M146" i="84"/>
  <c r="P138" i="84"/>
  <c r="U136" i="47"/>
  <c r="P139" i="84"/>
  <c r="P140" i="84"/>
  <c r="P146" i="84"/>
  <c r="P143" i="84"/>
  <c r="P135" i="47"/>
  <c r="P142" i="84"/>
  <c r="S132" i="84"/>
  <c r="S134" i="84" s="1"/>
  <c r="S146" i="47"/>
  <c r="M140" i="47"/>
  <c r="M139" i="84"/>
  <c r="M142" i="47"/>
  <c r="M146" i="47"/>
  <c r="R143" i="84"/>
  <c r="S137" i="47"/>
  <c r="S146" i="84"/>
  <c r="S142" i="47"/>
  <c r="S141" i="47"/>
  <c r="S138" i="47"/>
  <c r="M138" i="47"/>
  <c r="M137" i="84"/>
  <c r="M143" i="47"/>
  <c r="M135" i="47"/>
  <c r="M137" i="47"/>
  <c r="S139" i="47"/>
  <c r="S143" i="84"/>
  <c r="S141" i="84"/>
  <c r="M145" i="84"/>
  <c r="M135" i="84"/>
  <c r="AM1127" i="79"/>
  <c r="S138" i="84"/>
  <c r="S144" i="47"/>
  <c r="S140" i="47"/>
  <c r="S140" i="84"/>
  <c r="M141" i="47"/>
  <c r="M142" i="84"/>
  <c r="Q143" i="47"/>
  <c r="T141" i="84"/>
  <c r="T132" i="84"/>
  <c r="T134" i="84" s="1"/>
  <c r="P142" i="47"/>
  <c r="Q132" i="47"/>
  <c r="Q134" i="47" s="1"/>
  <c r="R132" i="84"/>
  <c r="R134" i="84" s="1"/>
  <c r="L96" i="43"/>
  <c r="M96" i="43" s="1"/>
  <c r="P137" i="47"/>
  <c r="P144" i="47"/>
  <c r="P144" i="84"/>
  <c r="P141" i="47"/>
  <c r="P137" i="84"/>
  <c r="P132" i="84"/>
  <c r="P134" i="84" s="1"/>
  <c r="Q144" i="47"/>
  <c r="T132" i="47"/>
  <c r="T134" i="47" s="1"/>
  <c r="Q142" i="84"/>
  <c r="P139" i="47"/>
  <c r="P146" i="47"/>
  <c r="P145" i="84"/>
  <c r="P136" i="47"/>
  <c r="Q139" i="47"/>
  <c r="P145" i="47"/>
  <c r="P143" i="47"/>
  <c r="P135" i="84"/>
  <c r="P141" i="84"/>
  <c r="Q132" i="84"/>
  <c r="Q134" i="84" s="1"/>
  <c r="T146" i="84"/>
  <c r="U132" i="84"/>
  <c r="U134" i="84" s="1"/>
  <c r="T144" i="47"/>
  <c r="T141" i="47"/>
  <c r="U143" i="47"/>
  <c r="R142" i="47"/>
  <c r="T136" i="47"/>
  <c r="T137" i="47"/>
  <c r="T138" i="84"/>
  <c r="U146" i="84"/>
  <c r="U142" i="84"/>
  <c r="R139" i="47"/>
  <c r="M145" i="47"/>
  <c r="M136" i="84"/>
  <c r="M143" i="84"/>
  <c r="M139" i="47"/>
  <c r="M136" i="47"/>
  <c r="M144" i="47"/>
  <c r="Q144" i="84"/>
  <c r="T139" i="84"/>
  <c r="T144" i="84"/>
  <c r="U135" i="47"/>
  <c r="U132" i="47"/>
  <c r="U134" i="47" s="1"/>
  <c r="BA140" i="46"/>
  <c r="AQ147" i="46" s="1"/>
  <c r="AA942" i="79"/>
  <c r="AA949" i="79" s="1"/>
  <c r="F77" i="43" s="1"/>
  <c r="J94" i="43"/>
  <c r="P138" i="47"/>
  <c r="P140" i="47"/>
  <c r="M132" i="47"/>
  <c r="M134" i="47" s="1"/>
  <c r="AY140" i="46"/>
  <c r="AO147" i="46" s="1"/>
  <c r="Y942" i="79"/>
  <c r="Q137" i="47"/>
  <c r="Q141" i="84"/>
  <c r="Q138" i="84"/>
  <c r="Q145" i="47"/>
  <c r="Q146" i="84"/>
  <c r="Q137" i="84"/>
  <c r="T137" i="84"/>
  <c r="T135" i="47"/>
  <c r="AM759" i="79"/>
  <c r="D74" i="43"/>
  <c r="U145" i="84"/>
  <c r="U139" i="84"/>
  <c r="U144" i="84"/>
  <c r="U140" i="47"/>
  <c r="U141" i="84"/>
  <c r="R139" i="84"/>
  <c r="R137" i="84"/>
  <c r="R140" i="47"/>
  <c r="R135" i="47"/>
  <c r="R136" i="84"/>
  <c r="R146" i="47"/>
  <c r="R138" i="47"/>
  <c r="R136" i="47"/>
  <c r="V146" i="47"/>
  <c r="V120" i="84"/>
  <c r="V124" i="84"/>
  <c r="V125" i="84"/>
  <c r="V144" i="84"/>
  <c r="V136" i="47"/>
  <c r="V142" i="47"/>
  <c r="V123" i="84"/>
  <c r="V136" i="84"/>
  <c r="V142" i="84"/>
  <c r="V144" i="47"/>
  <c r="V139" i="47"/>
  <c r="V127" i="47"/>
  <c r="V131" i="84"/>
  <c r="V146" i="84"/>
  <c r="V121" i="84"/>
  <c r="V125" i="47"/>
  <c r="V130" i="47"/>
  <c r="V135" i="47"/>
  <c r="V120" i="47"/>
  <c r="V122" i="47"/>
  <c r="V141" i="47"/>
  <c r="V139" i="84"/>
  <c r="V128" i="84"/>
  <c r="V141" i="84"/>
  <c r="V123" i="47"/>
  <c r="V124" i="47"/>
  <c r="V122" i="84"/>
  <c r="V121" i="47"/>
  <c r="V129" i="47"/>
  <c r="V130" i="84"/>
  <c r="V140" i="84"/>
  <c r="V138" i="84"/>
  <c r="V143" i="84"/>
  <c r="V126" i="47"/>
  <c r="V127" i="84"/>
  <c r="V138" i="47"/>
  <c r="V126" i="84"/>
  <c r="V135" i="84"/>
  <c r="V143" i="47"/>
  <c r="V131" i="47"/>
  <c r="V129" i="84"/>
  <c r="V137" i="47"/>
  <c r="V145" i="84"/>
  <c r="V140" i="47"/>
  <c r="V137" i="84"/>
  <c r="V145" i="47"/>
  <c r="V128" i="47"/>
  <c r="J120" i="47"/>
  <c r="J131" i="47"/>
  <c r="J128" i="84"/>
  <c r="J121" i="47"/>
  <c r="J131" i="84"/>
  <c r="J123" i="84"/>
  <c r="J128" i="47"/>
  <c r="J124" i="84"/>
  <c r="J130" i="47"/>
  <c r="J127" i="47"/>
  <c r="J125" i="84"/>
  <c r="J130" i="84"/>
  <c r="J129" i="47"/>
  <c r="J121" i="84"/>
  <c r="J126" i="84"/>
  <c r="J126" i="47"/>
  <c r="J124" i="47"/>
  <c r="J122" i="84"/>
  <c r="J127" i="84"/>
  <c r="J122" i="47"/>
  <c r="J125" i="47"/>
  <c r="J123" i="47"/>
  <c r="J120" i="84"/>
  <c r="J129" i="84"/>
  <c r="L289" i="46"/>
  <c r="M289" i="46" s="1"/>
  <c r="AC401" i="46"/>
  <c r="AC1125" i="79" s="1"/>
  <c r="AC1133" i="79" s="1"/>
  <c r="H80" i="43" s="1"/>
  <c r="AL401" i="46"/>
  <c r="AL1125" i="79" s="1"/>
  <c r="AL1133" i="79" s="1"/>
  <c r="Q80" i="43" s="1"/>
  <c r="E41" i="43" s="1"/>
  <c r="AJ401" i="46"/>
  <c r="AJ1125" i="79" s="1"/>
  <c r="AJ1133" i="79" s="1"/>
  <c r="O80" i="43" s="1"/>
  <c r="T155" i="47" s="1"/>
  <c r="Z401" i="46"/>
  <c r="Z1125" i="79" s="1"/>
  <c r="Z1133" i="79" s="1"/>
  <c r="E80" i="43" s="1"/>
  <c r="Y401" i="46"/>
  <c r="Y1125" i="79" s="1"/>
  <c r="AK401" i="46"/>
  <c r="AK1125" i="79" s="1"/>
  <c r="AK1133" i="79" s="1"/>
  <c r="P80" i="43" s="1"/>
  <c r="U152" i="84" s="1"/>
  <c r="AH401" i="46"/>
  <c r="AH1125" i="79" s="1"/>
  <c r="AH1133" i="79" s="1"/>
  <c r="M80" i="43" s="1"/>
  <c r="R150" i="47" s="1"/>
  <c r="AF401" i="46"/>
  <c r="AF1125" i="79" s="1"/>
  <c r="AF1133" i="79" s="1"/>
  <c r="K80" i="43" s="1"/>
  <c r="P152" i="84" s="1"/>
  <c r="AI401" i="46"/>
  <c r="AI1125" i="79" s="1"/>
  <c r="AI1133" i="79" s="1"/>
  <c r="N80" i="43" s="1"/>
  <c r="AG401" i="46"/>
  <c r="AG1125" i="79" s="1"/>
  <c r="AG1133" i="79" s="1"/>
  <c r="L80" i="43" s="1"/>
  <c r="Q157" i="47" s="1"/>
  <c r="P132" i="47"/>
  <c r="P134" i="47" s="1"/>
  <c r="W339" i="46"/>
  <c r="AB401" i="46"/>
  <c r="AB1125" i="79" s="1"/>
  <c r="AD401" i="46"/>
  <c r="AD1125" i="79" s="1"/>
  <c r="AE401" i="46"/>
  <c r="AE1125" i="79" s="1"/>
  <c r="AA401" i="46"/>
  <c r="AA1125" i="79" s="1"/>
  <c r="M132" i="84"/>
  <c r="M134" i="84" s="1"/>
  <c r="Q145" i="84"/>
  <c r="Q135" i="84"/>
  <c r="Q143" i="84"/>
  <c r="Q136" i="84"/>
  <c r="Q140" i="47"/>
  <c r="T135" i="84"/>
  <c r="T142" i="84"/>
  <c r="T143" i="47"/>
  <c r="T140" i="47"/>
  <c r="T146" i="47"/>
  <c r="T139" i="47"/>
  <c r="T142" i="47"/>
  <c r="T136" i="84"/>
  <c r="U139" i="47"/>
  <c r="U136" i="84"/>
  <c r="U144" i="47"/>
  <c r="U140" i="84"/>
  <c r="U138" i="84"/>
  <c r="U138" i="47"/>
  <c r="U142" i="47"/>
  <c r="U143" i="84"/>
  <c r="R141" i="47"/>
  <c r="R140" i="84"/>
  <c r="R144" i="47"/>
  <c r="R145" i="47"/>
  <c r="R135" i="84"/>
  <c r="AZ140" i="46"/>
  <c r="AP147" i="46" s="1"/>
  <c r="Z942" i="79"/>
  <c r="Z949" i="79" s="1"/>
  <c r="E77" i="43" s="1"/>
  <c r="J143" i="84" s="1"/>
  <c r="S132" i="47"/>
  <c r="S134" i="47" s="1"/>
  <c r="Q136" i="47"/>
  <c r="Q138" i="47"/>
  <c r="Q141" i="47"/>
  <c r="Q146" i="47"/>
  <c r="Q140" i="84"/>
  <c r="Q135" i="47"/>
  <c r="Q142" i="47"/>
  <c r="T145" i="84"/>
  <c r="T140" i="84"/>
  <c r="T143" i="84"/>
  <c r="T138" i="47"/>
  <c r="U146" i="47"/>
  <c r="U137" i="84"/>
  <c r="U137" i="47"/>
  <c r="U145" i="47"/>
  <c r="U141" i="47"/>
  <c r="R146" i="84"/>
  <c r="R137" i="47"/>
  <c r="R145" i="84"/>
  <c r="R142" i="84"/>
  <c r="R144" i="84"/>
  <c r="R138" i="84"/>
  <c r="R141" i="84"/>
  <c r="F38" i="43"/>
  <c r="F37" i="43"/>
  <c r="F35" i="43"/>
  <c r="G35" i="43" s="1"/>
  <c r="F40" i="43"/>
  <c r="D105" i="43"/>
  <c r="G41" i="43" l="1"/>
  <c r="F32" i="43"/>
  <c r="G32" i="43" s="1"/>
  <c r="I110" i="87"/>
  <c r="L12" i="90"/>
  <c r="E130" i="87"/>
  <c r="K127" i="84"/>
  <c r="E104" i="43"/>
  <c r="E105" i="43" s="1"/>
  <c r="F30" i="43"/>
  <c r="G30" i="43" s="1"/>
  <c r="J17" i="87"/>
  <c r="N19" i="88" s="1"/>
  <c r="I102" i="47"/>
  <c r="I104" i="47" s="1"/>
  <c r="L13" i="89"/>
  <c r="L12" i="89" s="1"/>
  <c r="O138" i="84"/>
  <c r="N145" i="47"/>
  <c r="D3" i="88"/>
  <c r="W102" i="84"/>
  <c r="W104" i="84" s="1"/>
  <c r="W117" i="84" s="1"/>
  <c r="W119" i="84" s="1"/>
  <c r="I3" i="88"/>
  <c r="J3" i="88" s="1"/>
  <c r="C67" i="87"/>
  <c r="C62" i="87"/>
  <c r="J60" i="87"/>
  <c r="I102" i="84"/>
  <c r="I104" i="84" s="1"/>
  <c r="I117" i="84" s="1"/>
  <c r="I119" i="84" s="1"/>
  <c r="J40" i="87"/>
  <c r="N21" i="88" s="1"/>
  <c r="G127" i="87"/>
  <c r="G129" i="87" s="1"/>
  <c r="G130" i="87" s="1"/>
  <c r="F127" i="87"/>
  <c r="F129" i="87" s="1"/>
  <c r="I127" i="87"/>
  <c r="I129" i="87" s="1"/>
  <c r="I130" i="87" s="1"/>
  <c r="D127" i="87"/>
  <c r="D129" i="87" s="1"/>
  <c r="D130" i="87" s="1"/>
  <c r="F110" i="87"/>
  <c r="J122" i="87"/>
  <c r="H130" i="87"/>
  <c r="N138" i="84"/>
  <c r="N139" i="47"/>
  <c r="N143" i="47"/>
  <c r="N136" i="47"/>
  <c r="O140" i="47"/>
  <c r="K120" i="84"/>
  <c r="N139" i="84"/>
  <c r="N135" i="47"/>
  <c r="N138" i="47"/>
  <c r="N142" i="47"/>
  <c r="N136" i="84"/>
  <c r="N137" i="47"/>
  <c r="N146" i="84"/>
  <c r="N140" i="84"/>
  <c r="N144" i="84"/>
  <c r="N143" i="84"/>
  <c r="N145" i="84"/>
  <c r="N140" i="47"/>
  <c r="N141" i="47"/>
  <c r="N135" i="84"/>
  <c r="N142" i="84"/>
  <c r="N137" i="84"/>
  <c r="N144" i="47"/>
  <c r="N146" i="47"/>
  <c r="K130" i="84"/>
  <c r="O144" i="84"/>
  <c r="K120" i="47"/>
  <c r="O146" i="47"/>
  <c r="N132" i="47"/>
  <c r="N134" i="47" s="1"/>
  <c r="K128" i="47"/>
  <c r="O141" i="84"/>
  <c r="N132" i="84"/>
  <c r="N134" i="84" s="1"/>
  <c r="K123" i="47"/>
  <c r="AD1133" i="79"/>
  <c r="I80" i="43" s="1"/>
  <c r="N158" i="84" s="1"/>
  <c r="O143" i="47"/>
  <c r="O140" i="84"/>
  <c r="O135" i="47"/>
  <c r="K124" i="47"/>
  <c r="K125" i="84"/>
  <c r="K131" i="47"/>
  <c r="O142" i="84"/>
  <c r="O145" i="84"/>
  <c r="O141" i="47"/>
  <c r="O139" i="84"/>
  <c r="O138" i="47"/>
  <c r="K123" i="84"/>
  <c r="K122" i="47"/>
  <c r="K129" i="47"/>
  <c r="K121" i="84"/>
  <c r="K126" i="84"/>
  <c r="K128" i="84"/>
  <c r="O135" i="84"/>
  <c r="O139" i="47"/>
  <c r="K138" i="84"/>
  <c r="O136" i="47"/>
  <c r="O144" i="47"/>
  <c r="O132" i="84"/>
  <c r="O134" i="84" s="1"/>
  <c r="O143" i="84"/>
  <c r="K129" i="84"/>
  <c r="K127" i="47"/>
  <c r="K130" i="47"/>
  <c r="O136" i="84"/>
  <c r="O137" i="84"/>
  <c r="O145" i="47"/>
  <c r="K121" i="47"/>
  <c r="K124" i="84"/>
  <c r="K125" i="47"/>
  <c r="K122" i="84"/>
  <c r="K131" i="84"/>
  <c r="O137" i="47"/>
  <c r="O142" i="47"/>
  <c r="L146" i="84"/>
  <c r="L144" i="47"/>
  <c r="L137" i="84"/>
  <c r="AA1133" i="79"/>
  <c r="F80" i="43" s="1"/>
  <c r="K159" i="84" s="1"/>
  <c r="L140" i="84"/>
  <c r="L145" i="84"/>
  <c r="L138" i="84"/>
  <c r="L140" i="47"/>
  <c r="L145" i="47"/>
  <c r="L146" i="47"/>
  <c r="L142" i="47"/>
  <c r="L143" i="47"/>
  <c r="L132" i="84"/>
  <c r="L134" i="84" s="1"/>
  <c r="L132" i="47"/>
  <c r="L134" i="47" s="1"/>
  <c r="L138" i="47"/>
  <c r="L143" i="84"/>
  <c r="L144" i="84"/>
  <c r="L136" i="84"/>
  <c r="L142" i="84"/>
  <c r="L141" i="84"/>
  <c r="L139" i="47"/>
  <c r="L135" i="47"/>
  <c r="L137" i="47"/>
  <c r="L136" i="47"/>
  <c r="AB1133" i="79"/>
  <c r="G80" i="43" s="1"/>
  <c r="L152" i="84" s="1"/>
  <c r="L141" i="47"/>
  <c r="L135" i="84"/>
  <c r="AM1124" i="79"/>
  <c r="L93" i="43"/>
  <c r="M93" i="43" s="1"/>
  <c r="AE1133" i="79"/>
  <c r="J80" i="43" s="1"/>
  <c r="O155" i="47" s="1"/>
  <c r="AM765" i="79"/>
  <c r="AM767" i="79" s="1"/>
  <c r="J32" i="85"/>
  <c r="J35" i="85" s="1"/>
  <c r="J36" i="85" s="1"/>
  <c r="J30" i="85"/>
  <c r="U151" i="47"/>
  <c r="U159" i="47"/>
  <c r="K137" i="84"/>
  <c r="S147" i="84"/>
  <c r="S149" i="84" s="1"/>
  <c r="Q159" i="47"/>
  <c r="Q158" i="47"/>
  <c r="U160" i="47"/>
  <c r="P147" i="84"/>
  <c r="P149" i="84" s="1"/>
  <c r="M147" i="84"/>
  <c r="M149" i="84" s="1"/>
  <c r="K142" i="84"/>
  <c r="R147" i="47"/>
  <c r="R149" i="47" s="1"/>
  <c r="U161" i="47"/>
  <c r="U161" i="84"/>
  <c r="U154" i="84"/>
  <c r="Q159" i="84"/>
  <c r="Q156" i="47"/>
  <c r="E40" i="43"/>
  <c r="G40" i="43" s="1"/>
  <c r="Q151" i="84"/>
  <c r="K145" i="47"/>
  <c r="Q147" i="47"/>
  <c r="Q149" i="47" s="1"/>
  <c r="Q157" i="84"/>
  <c r="S147" i="47"/>
  <c r="S149" i="47" s="1"/>
  <c r="U157" i="47"/>
  <c r="U154" i="47"/>
  <c r="Q158" i="84"/>
  <c r="V158" i="84"/>
  <c r="V158" i="47"/>
  <c r="T147" i="47"/>
  <c r="T149" i="47" s="1"/>
  <c r="R147" i="84"/>
  <c r="R149" i="84" s="1"/>
  <c r="K139" i="84"/>
  <c r="U147" i="84"/>
  <c r="U149" i="84" s="1"/>
  <c r="Q147" i="84"/>
  <c r="Q149" i="84" s="1"/>
  <c r="K138" i="47"/>
  <c r="V160" i="47"/>
  <c r="Q155" i="47"/>
  <c r="M147" i="47"/>
  <c r="M149" i="47" s="1"/>
  <c r="K141" i="47"/>
  <c r="K143" i="47"/>
  <c r="T147" i="84"/>
  <c r="T149" i="84" s="1"/>
  <c r="K136" i="47"/>
  <c r="K135" i="47"/>
  <c r="K145" i="84"/>
  <c r="K144" i="47"/>
  <c r="K146" i="84"/>
  <c r="R161" i="84"/>
  <c r="V156" i="47"/>
  <c r="T150" i="84"/>
  <c r="V153" i="47"/>
  <c r="V152" i="47"/>
  <c r="R151" i="84"/>
  <c r="R161" i="47"/>
  <c r="T151" i="47"/>
  <c r="T160" i="84"/>
  <c r="Q150" i="84"/>
  <c r="V159" i="84"/>
  <c r="J151" i="47"/>
  <c r="J137" i="84"/>
  <c r="J135" i="84"/>
  <c r="J154" i="84"/>
  <c r="J150" i="47"/>
  <c r="J150" i="84"/>
  <c r="R155" i="47"/>
  <c r="I125" i="84"/>
  <c r="I131" i="84"/>
  <c r="I123" i="47"/>
  <c r="I120" i="84"/>
  <c r="I126" i="47"/>
  <c r="W126" i="47" s="1"/>
  <c r="I120" i="47"/>
  <c r="I121" i="84"/>
  <c r="I129" i="84"/>
  <c r="I128" i="47"/>
  <c r="I123" i="84"/>
  <c r="I131" i="47"/>
  <c r="I121" i="47"/>
  <c r="I122" i="47"/>
  <c r="I128" i="84"/>
  <c r="I126" i="84"/>
  <c r="I130" i="47"/>
  <c r="I127" i="84"/>
  <c r="W127" i="84" s="1"/>
  <c r="I124" i="47"/>
  <c r="I127" i="47"/>
  <c r="I125" i="47"/>
  <c r="I124" i="84"/>
  <c r="I130" i="84"/>
  <c r="I122" i="84"/>
  <c r="I129" i="47"/>
  <c r="T157" i="84"/>
  <c r="R156" i="84"/>
  <c r="T153" i="84"/>
  <c r="T151" i="84"/>
  <c r="K140" i="47"/>
  <c r="K136" i="84"/>
  <c r="K140" i="84"/>
  <c r="P147" i="47"/>
  <c r="P149" i="47" s="1"/>
  <c r="Q152" i="84"/>
  <c r="Q156" i="84"/>
  <c r="Q155" i="84"/>
  <c r="Q160" i="84"/>
  <c r="Q161" i="47"/>
  <c r="Q152" i="47"/>
  <c r="Q160" i="47"/>
  <c r="Q161" i="84"/>
  <c r="U159" i="84"/>
  <c r="U153" i="47"/>
  <c r="U156" i="84"/>
  <c r="U158" i="84"/>
  <c r="U155" i="84"/>
  <c r="U153" i="84"/>
  <c r="U150" i="84"/>
  <c r="U160" i="84"/>
  <c r="J132" i="84"/>
  <c r="J134" i="84" s="1"/>
  <c r="J142" i="47"/>
  <c r="J138" i="47"/>
  <c r="J135" i="47"/>
  <c r="J143" i="47"/>
  <c r="J142" i="84"/>
  <c r="J144" i="84"/>
  <c r="J138" i="84"/>
  <c r="J152" i="84"/>
  <c r="J146" i="47"/>
  <c r="J153" i="47"/>
  <c r="J155" i="47"/>
  <c r="J140" i="47"/>
  <c r="V154" i="84"/>
  <c r="V160" i="84"/>
  <c r="V153" i="84"/>
  <c r="V150" i="84"/>
  <c r="V156" i="84"/>
  <c r="V157" i="84"/>
  <c r="V155" i="47"/>
  <c r="V154" i="47"/>
  <c r="V157" i="47"/>
  <c r="R74" i="43"/>
  <c r="R152" i="84"/>
  <c r="R152" i="47"/>
  <c r="U151" i="84"/>
  <c r="U156" i="47"/>
  <c r="Q150" i="47"/>
  <c r="Q153" i="84"/>
  <c r="P151" i="47"/>
  <c r="U150" i="47"/>
  <c r="E39" i="43"/>
  <c r="G39" i="43" s="1"/>
  <c r="T154" i="47"/>
  <c r="T156" i="47"/>
  <c r="T155" i="84"/>
  <c r="T154" i="84"/>
  <c r="J160" i="84"/>
  <c r="J139" i="47"/>
  <c r="J140" i="84"/>
  <c r="J151" i="84"/>
  <c r="J159" i="84"/>
  <c r="J160" i="47"/>
  <c r="T158" i="47"/>
  <c r="R153" i="47"/>
  <c r="T159" i="47"/>
  <c r="K137" i="47"/>
  <c r="K143" i="84"/>
  <c r="S159" i="84"/>
  <c r="S160" i="47"/>
  <c r="S155" i="84"/>
  <c r="S153" i="47"/>
  <c r="S161" i="47"/>
  <c r="S156" i="84"/>
  <c r="E38" i="43"/>
  <c r="G38" i="43" s="1"/>
  <c r="S158" i="84"/>
  <c r="S156" i="47"/>
  <c r="S157" i="84"/>
  <c r="S157" i="47"/>
  <c r="S159" i="47"/>
  <c r="S155" i="47"/>
  <c r="S150" i="47"/>
  <c r="S152" i="47"/>
  <c r="S151" i="47"/>
  <c r="S160" i="84"/>
  <c r="S161" i="84"/>
  <c r="S154" i="47"/>
  <c r="S154" i="84"/>
  <c r="S153" i="84"/>
  <c r="S158" i="47"/>
  <c r="S150" i="84"/>
  <c r="S151" i="84"/>
  <c r="S152" i="84"/>
  <c r="AM1125" i="79"/>
  <c r="L94" i="43"/>
  <c r="Y1133" i="79"/>
  <c r="D80" i="43" s="1"/>
  <c r="M161" i="84"/>
  <c r="M160" i="47"/>
  <c r="M157" i="84"/>
  <c r="M155" i="47"/>
  <c r="M154" i="84"/>
  <c r="M158" i="84"/>
  <c r="M151" i="47"/>
  <c r="M153" i="84"/>
  <c r="M159" i="84"/>
  <c r="M150" i="47"/>
  <c r="M158" i="47"/>
  <c r="M153" i="47"/>
  <c r="M152" i="47"/>
  <c r="M156" i="84"/>
  <c r="M160" i="84"/>
  <c r="M154" i="47"/>
  <c r="M151" i="84"/>
  <c r="M152" i="84"/>
  <c r="M150" i="84"/>
  <c r="M161" i="47"/>
  <c r="M159" i="47"/>
  <c r="M157" i="47"/>
  <c r="M155" i="84"/>
  <c r="M156" i="47"/>
  <c r="J157" i="84"/>
  <c r="J154" i="47"/>
  <c r="J136" i="47"/>
  <c r="J153" i="84"/>
  <c r="J145" i="84"/>
  <c r="J136" i="84"/>
  <c r="J139" i="84"/>
  <c r="J137" i="47"/>
  <c r="J159" i="47"/>
  <c r="J157" i="47"/>
  <c r="J132" i="47"/>
  <c r="J134" i="47" s="1"/>
  <c r="V155" i="84"/>
  <c r="V152" i="84"/>
  <c r="V161" i="84"/>
  <c r="V150" i="47"/>
  <c r="V159" i="47"/>
  <c r="V132" i="47"/>
  <c r="V134" i="47" s="1"/>
  <c r="V147" i="47" s="1"/>
  <c r="V149" i="47" s="1"/>
  <c r="V151" i="84"/>
  <c r="R157" i="47"/>
  <c r="R157" i="84"/>
  <c r="U157" i="84"/>
  <c r="U158" i="47"/>
  <c r="T159" i="84"/>
  <c r="T153" i="47"/>
  <c r="T150" i="47"/>
  <c r="Q154" i="84"/>
  <c r="Q151" i="47"/>
  <c r="U147" i="47"/>
  <c r="U149" i="47" s="1"/>
  <c r="R159" i="47"/>
  <c r="R156" i="47"/>
  <c r="R158" i="47"/>
  <c r="R158" i="84"/>
  <c r="R151" i="47"/>
  <c r="R155" i="84"/>
  <c r="J145" i="47"/>
  <c r="R159" i="84"/>
  <c r="R154" i="84"/>
  <c r="R160" i="84"/>
  <c r="R153" i="84"/>
  <c r="T152" i="84"/>
  <c r="T158" i="84"/>
  <c r="R150" i="84"/>
  <c r="E37" i="43"/>
  <c r="R160" i="47"/>
  <c r="T156" i="84"/>
  <c r="T152" i="47"/>
  <c r="T160" i="47"/>
  <c r="K142" i="47"/>
  <c r="K139" i="47"/>
  <c r="K141" i="84"/>
  <c r="K146" i="47"/>
  <c r="K144" i="84"/>
  <c r="K135" i="84"/>
  <c r="P157" i="47"/>
  <c r="P154" i="47"/>
  <c r="P150" i="84"/>
  <c r="P160" i="47"/>
  <c r="P161" i="84"/>
  <c r="P153" i="84"/>
  <c r="P156" i="47"/>
  <c r="P155" i="47"/>
  <c r="P159" i="84"/>
  <c r="P158" i="84"/>
  <c r="P154" i="84"/>
  <c r="P151" i="84"/>
  <c r="P150" i="47"/>
  <c r="P161" i="47"/>
  <c r="P152" i="47"/>
  <c r="P160" i="84"/>
  <c r="P153" i="47"/>
  <c r="P159" i="47"/>
  <c r="P155" i="84"/>
  <c r="P157" i="84"/>
  <c r="P156" i="84"/>
  <c r="J141" i="47"/>
  <c r="J144" i="47"/>
  <c r="J161" i="47"/>
  <c r="J158" i="47"/>
  <c r="J156" i="84"/>
  <c r="J146" i="84"/>
  <c r="J156" i="47"/>
  <c r="J152" i="47"/>
  <c r="J161" i="84"/>
  <c r="J141" i="84"/>
  <c r="J155" i="84"/>
  <c r="J158" i="84"/>
  <c r="V161" i="47"/>
  <c r="V151" i="47"/>
  <c r="V132" i="84"/>
  <c r="V134" i="84" s="1"/>
  <c r="V147" i="84" s="1"/>
  <c r="V149" i="84" s="1"/>
  <c r="R154" i="47"/>
  <c r="U155" i="47"/>
  <c r="U152" i="47"/>
  <c r="T157" i="47"/>
  <c r="T161" i="84"/>
  <c r="T161" i="47"/>
  <c r="Q153" i="47"/>
  <c r="Q154" i="47"/>
  <c r="K94" i="43"/>
  <c r="K102" i="43" s="1"/>
  <c r="AM942" i="79"/>
  <c r="AM949" i="79" s="1"/>
  <c r="AM951" i="79" s="1"/>
  <c r="Y949" i="79"/>
  <c r="D77" i="43" s="1"/>
  <c r="R77" i="43" s="1"/>
  <c r="P158" i="47"/>
  <c r="J102" i="43"/>
  <c r="F29" i="43" l="1"/>
  <c r="G29" i="43" s="1"/>
  <c r="N154" i="47"/>
  <c r="L153" i="84"/>
  <c r="L159" i="84"/>
  <c r="N151" i="84"/>
  <c r="C108" i="87"/>
  <c r="C64" i="87"/>
  <c r="J64" i="87" s="1"/>
  <c r="N23" i="88" s="1"/>
  <c r="N28" i="88" s="1"/>
  <c r="N30" i="88" s="1"/>
  <c r="J62" i="87"/>
  <c r="C101" i="87"/>
  <c r="C103" i="87" s="1"/>
  <c r="N152" i="84"/>
  <c r="N157" i="84"/>
  <c r="N155" i="84"/>
  <c r="F130" i="87"/>
  <c r="W125" i="47"/>
  <c r="W129" i="84"/>
  <c r="N157" i="47"/>
  <c r="O159" i="84"/>
  <c r="L102" i="43"/>
  <c r="N153" i="84"/>
  <c r="W120" i="47"/>
  <c r="N160" i="47"/>
  <c r="N161" i="84"/>
  <c r="N156" i="84"/>
  <c r="N160" i="84"/>
  <c r="N152" i="47"/>
  <c r="O152" i="47"/>
  <c r="N150" i="47"/>
  <c r="N150" i="84"/>
  <c r="O153" i="47"/>
  <c r="N151" i="47"/>
  <c r="W128" i="47"/>
  <c r="O151" i="84"/>
  <c r="N159" i="47"/>
  <c r="N154" i="84"/>
  <c r="N147" i="47"/>
  <c r="N149" i="47" s="1"/>
  <c r="N158" i="47"/>
  <c r="N161" i="47"/>
  <c r="N159" i="84"/>
  <c r="L157" i="84"/>
  <c r="N147" i="84"/>
  <c r="N149" i="84" s="1"/>
  <c r="O152" i="84"/>
  <c r="O159" i="47"/>
  <c r="W130" i="84"/>
  <c r="W124" i="47"/>
  <c r="W131" i="84"/>
  <c r="O156" i="84"/>
  <c r="O156" i="47"/>
  <c r="O151" i="47"/>
  <c r="N156" i="47"/>
  <c r="W125" i="84"/>
  <c r="O160" i="47"/>
  <c r="W130" i="47"/>
  <c r="W121" i="47"/>
  <c r="O154" i="84"/>
  <c r="O150" i="47"/>
  <c r="O157" i="47"/>
  <c r="W124" i="84"/>
  <c r="O161" i="84"/>
  <c r="O150" i="84"/>
  <c r="O157" i="84"/>
  <c r="O155" i="84"/>
  <c r="O158" i="47"/>
  <c r="O147" i="84"/>
  <c r="O149" i="84" s="1"/>
  <c r="W126" i="84"/>
  <c r="W123" i="84"/>
  <c r="O154" i="47"/>
  <c r="L160" i="84"/>
  <c r="L161" i="47"/>
  <c r="K132" i="47"/>
  <c r="K134" i="47" s="1"/>
  <c r="K147" i="47" s="1"/>
  <c r="K149" i="47" s="1"/>
  <c r="W121" i="84"/>
  <c r="W123" i="47"/>
  <c r="N153" i="47"/>
  <c r="N155" i="47"/>
  <c r="L154" i="84"/>
  <c r="W122" i="47"/>
  <c r="L151" i="47"/>
  <c r="L147" i="84"/>
  <c r="L149" i="84" s="1"/>
  <c r="K132" i="84"/>
  <c r="K134" i="84" s="1"/>
  <c r="K147" i="84" s="1"/>
  <c r="K149" i="84" s="1"/>
  <c r="K159" i="47"/>
  <c r="K160" i="84"/>
  <c r="K157" i="47"/>
  <c r="W122" i="84"/>
  <c r="W127" i="47"/>
  <c r="W131" i="47"/>
  <c r="W129" i="47"/>
  <c r="K156" i="47"/>
  <c r="K154" i="47"/>
  <c r="W128" i="84"/>
  <c r="K158" i="84"/>
  <c r="K151" i="84"/>
  <c r="K150" i="84"/>
  <c r="K160" i="47"/>
  <c r="K161" i="47"/>
  <c r="K153" i="84"/>
  <c r="K153" i="47"/>
  <c r="L147" i="47"/>
  <c r="L149" i="47" s="1"/>
  <c r="K161" i="84"/>
  <c r="K152" i="47"/>
  <c r="K152" i="84"/>
  <c r="K155" i="84"/>
  <c r="K155" i="47"/>
  <c r="K150" i="47"/>
  <c r="AM1133" i="79"/>
  <c r="AM1135" i="79" s="1"/>
  <c r="K151" i="47"/>
  <c r="K157" i="84"/>
  <c r="K156" i="84"/>
  <c r="K154" i="84"/>
  <c r="O158" i="84"/>
  <c r="O160" i="84"/>
  <c r="O161" i="47"/>
  <c r="K158" i="47"/>
  <c r="O153" i="84"/>
  <c r="L157" i="47"/>
  <c r="L155" i="84"/>
  <c r="L150" i="47"/>
  <c r="L150" i="84"/>
  <c r="L159" i="47"/>
  <c r="L160" i="47"/>
  <c r="L152" i="47"/>
  <c r="L156" i="84"/>
  <c r="L156" i="47"/>
  <c r="R80" i="43"/>
  <c r="L155" i="47"/>
  <c r="L153" i="47"/>
  <c r="L154" i="47"/>
  <c r="L161" i="84"/>
  <c r="L158" i="47"/>
  <c r="L158" i="84"/>
  <c r="L151" i="84"/>
  <c r="K30" i="85"/>
  <c r="K32" i="85"/>
  <c r="K35" i="85" s="1"/>
  <c r="K36" i="85" s="1"/>
  <c r="E42" i="43"/>
  <c r="R162" i="47"/>
  <c r="U162" i="84"/>
  <c r="M94" i="43"/>
  <c r="M102" i="43" s="1"/>
  <c r="P162" i="84"/>
  <c r="R162" i="84"/>
  <c r="U162" i="47"/>
  <c r="T162" i="47"/>
  <c r="M162" i="84"/>
  <c r="M162" i="47"/>
  <c r="S162" i="47"/>
  <c r="Q162" i="47"/>
  <c r="Q162" i="84"/>
  <c r="T162" i="84"/>
  <c r="P162" i="47"/>
  <c r="I157" i="47"/>
  <c r="I159" i="47"/>
  <c r="I137" i="47"/>
  <c r="W137" i="47" s="1"/>
  <c r="I139" i="47"/>
  <c r="W139" i="47" s="1"/>
  <c r="I150" i="84"/>
  <c r="I160" i="47"/>
  <c r="I160" i="84"/>
  <c r="I144" i="47"/>
  <c r="W144" i="47" s="1"/>
  <c r="I156" i="47"/>
  <c r="I136" i="47"/>
  <c r="W136" i="47" s="1"/>
  <c r="I154" i="84"/>
  <c r="I145" i="84"/>
  <c r="W145" i="84" s="1"/>
  <c r="I146" i="84"/>
  <c r="W146" i="84" s="1"/>
  <c r="I150" i="47"/>
  <c r="I161" i="47"/>
  <c r="V162" i="84"/>
  <c r="V162" i="47"/>
  <c r="G37" i="43"/>
  <c r="I143" i="84"/>
  <c r="W143" i="84" s="1"/>
  <c r="I137" i="84"/>
  <c r="W137" i="84" s="1"/>
  <c r="I158" i="84"/>
  <c r="I156" i="84"/>
  <c r="I158" i="47"/>
  <c r="I145" i="47"/>
  <c r="W145" i="47" s="1"/>
  <c r="I153" i="47"/>
  <c r="I154" i="47"/>
  <c r="I152" i="84"/>
  <c r="I144" i="84"/>
  <c r="W144" i="84" s="1"/>
  <c r="I138" i="47"/>
  <c r="W138" i="47" s="1"/>
  <c r="I161" i="84"/>
  <c r="I142" i="47"/>
  <c r="W142" i="47" s="1"/>
  <c r="I152" i="47"/>
  <c r="I138" i="84"/>
  <c r="W138" i="84" s="1"/>
  <c r="I153" i="84"/>
  <c r="I151" i="84"/>
  <c r="W120" i="84"/>
  <c r="I132" i="84"/>
  <c r="I134" i="84" s="1"/>
  <c r="I136" i="84"/>
  <c r="W136" i="84" s="1"/>
  <c r="I141" i="47"/>
  <c r="W141" i="47" s="1"/>
  <c r="I140" i="84"/>
  <c r="W140" i="84" s="1"/>
  <c r="J147" i="47"/>
  <c r="J149" i="47" s="1"/>
  <c r="J162" i="47" s="1"/>
  <c r="S162" i="84"/>
  <c r="J147" i="84"/>
  <c r="J149" i="84" s="1"/>
  <c r="J162" i="84" s="1"/>
  <c r="I142" i="84"/>
  <c r="W142" i="84" s="1"/>
  <c r="I139" i="84"/>
  <c r="W139" i="84" s="1"/>
  <c r="I146" i="47"/>
  <c r="W146" i="47" s="1"/>
  <c r="I140" i="47"/>
  <c r="W140" i="47" s="1"/>
  <c r="I155" i="84"/>
  <c r="I159" i="84"/>
  <c r="I157" i="84"/>
  <c r="I141" i="84"/>
  <c r="W141" i="84" s="1"/>
  <c r="I151" i="47"/>
  <c r="I135" i="84"/>
  <c r="W135" i="84" s="1"/>
  <c r="I155" i="47"/>
  <c r="I135" i="47"/>
  <c r="W135" i="47" s="1"/>
  <c r="I143" i="47"/>
  <c r="W143" i="47" s="1"/>
  <c r="J108" i="87" l="1"/>
  <c r="J101" i="87"/>
  <c r="J103" i="87" s="1"/>
  <c r="C124" i="87"/>
  <c r="C110" i="87"/>
  <c r="W159" i="84"/>
  <c r="N162" i="84"/>
  <c r="W155" i="47"/>
  <c r="W157" i="84"/>
  <c r="W152" i="84"/>
  <c r="K162" i="84"/>
  <c r="O162" i="84"/>
  <c r="N162" i="47"/>
  <c r="W158" i="47"/>
  <c r="W157" i="47"/>
  <c r="W154" i="84"/>
  <c r="W132" i="84"/>
  <c r="W134" i="84" s="1"/>
  <c r="W152" i="47"/>
  <c r="W156" i="47"/>
  <c r="W150" i="84"/>
  <c r="W150" i="47"/>
  <c r="L162" i="84"/>
  <c r="L162" i="47"/>
  <c r="W151" i="84"/>
  <c r="W153" i="84"/>
  <c r="W154" i="47"/>
  <c r="W156" i="84"/>
  <c r="W161" i="47"/>
  <c r="W160" i="84"/>
  <c r="W151" i="47"/>
  <c r="K162" i="47"/>
  <c r="W155" i="84"/>
  <c r="W153" i="47"/>
  <c r="W158" i="84"/>
  <c r="W160" i="47"/>
  <c r="W159" i="47"/>
  <c r="W161" i="84"/>
  <c r="L32" i="85"/>
  <c r="L35" i="85" s="1"/>
  <c r="L30" i="85"/>
  <c r="I147" i="84"/>
  <c r="I149" i="84" s="1"/>
  <c r="I162" i="84" s="1"/>
  <c r="W147" i="84"/>
  <c r="W149" i="84" s="1"/>
  <c r="C127" i="87" l="1"/>
  <c r="C129" i="87" s="1"/>
  <c r="L13" i="91"/>
  <c r="L12" i="91" s="1"/>
  <c r="J124" i="87"/>
  <c r="J127" i="87" s="1"/>
  <c r="J129" i="87" s="1"/>
  <c r="J110" i="87"/>
  <c r="C130" i="87"/>
  <c r="W162" i="84"/>
  <c r="L36" i="85"/>
  <c r="M30" i="85"/>
  <c r="M32" i="85"/>
  <c r="M35" i="85" s="1"/>
  <c r="O60" i="47" s="1" a="1"/>
  <c r="O67" i="47" s="1"/>
  <c r="E125" i="85" l="1"/>
  <c r="AF108" i="47" s="1"/>
  <c r="I125" i="85"/>
  <c r="AF112" i="47" s="1"/>
  <c r="M125" i="85"/>
  <c r="AF116" i="47" s="1"/>
  <c r="E98" i="85"/>
  <c r="AF93" i="47" s="1"/>
  <c r="I98" i="85"/>
  <c r="AF97" i="47" s="1"/>
  <c r="M98" i="85"/>
  <c r="AF101" i="47" s="1"/>
  <c r="F58" i="85"/>
  <c r="AF79" i="47" s="1"/>
  <c r="J58" i="85"/>
  <c r="AF83" i="47" s="1"/>
  <c r="B58" i="85"/>
  <c r="G125" i="85"/>
  <c r="AF110" i="47" s="1"/>
  <c r="K125" i="85"/>
  <c r="AF114" i="47" s="1"/>
  <c r="B125" i="85"/>
  <c r="AF105" i="47" s="1"/>
  <c r="G98" i="85"/>
  <c r="AF95" i="47" s="1"/>
  <c r="D58" i="85"/>
  <c r="AF77" i="47" s="1"/>
  <c r="L58" i="85"/>
  <c r="AF85" i="47" s="1"/>
  <c r="H125" i="85"/>
  <c r="AF111" i="47" s="1"/>
  <c r="C125" i="85"/>
  <c r="AF106" i="47" s="1"/>
  <c r="D98" i="85"/>
  <c r="AF92" i="47" s="1"/>
  <c r="H98" i="85"/>
  <c r="AF96" i="47" s="1"/>
  <c r="E58" i="85"/>
  <c r="M58" i="85"/>
  <c r="F125" i="85"/>
  <c r="AF109" i="47" s="1"/>
  <c r="J125" i="85"/>
  <c r="AF113" i="47" s="1"/>
  <c r="B98" i="85"/>
  <c r="F98" i="85"/>
  <c r="AF94" i="47" s="1"/>
  <c r="J98" i="85"/>
  <c r="AF98" i="47" s="1"/>
  <c r="C58" i="85"/>
  <c r="G58" i="85"/>
  <c r="AF80" i="47" s="1"/>
  <c r="K58" i="85"/>
  <c r="AF84" i="47" s="1"/>
  <c r="C98" i="85"/>
  <c r="AF91" i="47" s="1"/>
  <c r="K98" i="85"/>
  <c r="AF99" i="47" s="1"/>
  <c r="H58" i="85"/>
  <c r="AF81" i="47" s="1"/>
  <c r="D125" i="85"/>
  <c r="AF107" i="47" s="1"/>
  <c r="L125" i="85"/>
  <c r="AF115" i="47" s="1"/>
  <c r="L98" i="85"/>
  <c r="AF100" i="47" s="1"/>
  <c r="I58" i="85"/>
  <c r="J130" i="87"/>
  <c r="W67" i="47"/>
  <c r="AF67" i="47"/>
  <c r="AM67" i="47" s="1"/>
  <c r="O68" i="47"/>
  <c r="O61" i="47"/>
  <c r="O70" i="47"/>
  <c r="O69" i="47"/>
  <c r="O63" i="47"/>
  <c r="O71" i="47"/>
  <c r="B52" i="85"/>
  <c r="B55" i="85" s="1"/>
  <c r="B56" i="85" s="1"/>
  <c r="B50" i="85"/>
  <c r="C59" i="85" s="1"/>
  <c r="AG76" i="47" s="1"/>
  <c r="O64" i="47"/>
  <c r="O65" i="47"/>
  <c r="O60" i="47"/>
  <c r="AF60" i="47" s="1"/>
  <c r="AM60" i="47" s="1"/>
  <c r="O66" i="47"/>
  <c r="O62" i="47"/>
  <c r="M36" i="85"/>
  <c r="N35" i="85"/>
  <c r="B70" i="85" s="1"/>
  <c r="B71" i="85" s="1"/>
  <c r="AF82" i="47" l="1"/>
  <c r="AF90" i="47"/>
  <c r="AF78" i="47"/>
  <c r="C60" i="85"/>
  <c r="AF76" i="47"/>
  <c r="AM76" i="47" s="1"/>
  <c r="AF86" i="47"/>
  <c r="B60" i="85"/>
  <c r="B61" i="85" s="1"/>
  <c r="AF75" i="47"/>
  <c r="AM75" i="47" s="1"/>
  <c r="W60" i="47"/>
  <c r="W65" i="47"/>
  <c r="AF65" i="47"/>
  <c r="AM65" i="47" s="1"/>
  <c r="W71" i="47"/>
  <c r="AF71" i="47"/>
  <c r="AM71" i="47" s="1"/>
  <c r="W61" i="47"/>
  <c r="AF61" i="47"/>
  <c r="AM61" i="47" s="1"/>
  <c r="W62" i="47"/>
  <c r="AF62" i="47"/>
  <c r="AM62" i="47" s="1"/>
  <c r="W64" i="47"/>
  <c r="AF64" i="47"/>
  <c r="AM64" i="47" s="1"/>
  <c r="W63" i="47"/>
  <c r="AF63" i="47"/>
  <c r="AM63" i="47" s="1"/>
  <c r="W68" i="47"/>
  <c r="AF68" i="47"/>
  <c r="AM68" i="47" s="1"/>
  <c r="W66" i="47"/>
  <c r="AF66" i="47"/>
  <c r="AM66" i="47" s="1"/>
  <c r="W69" i="47"/>
  <c r="AF69" i="47"/>
  <c r="AM69" i="47" s="1"/>
  <c r="W70" i="47"/>
  <c r="AF70" i="47"/>
  <c r="AM70" i="47" s="1"/>
  <c r="O72" i="47"/>
  <c r="O74" i="47" s="1"/>
  <c r="C50" i="85"/>
  <c r="D59" i="85" s="1"/>
  <c r="C52" i="85"/>
  <c r="C55" i="85" s="1"/>
  <c r="C56" i="85" s="1"/>
  <c r="D60" i="85" l="1"/>
  <c r="AG77" i="47"/>
  <c r="C61" i="85"/>
  <c r="AM72" i="47"/>
  <c r="AM74" i="47" s="1"/>
  <c r="W72" i="47"/>
  <c r="W74" i="47" s="1"/>
  <c r="AF72" i="47"/>
  <c r="AF74" i="47" s="1"/>
  <c r="AF87" i="47" s="1"/>
  <c r="AF89" i="47" s="1"/>
  <c r="AF102" i="47" s="1"/>
  <c r="AF104" i="47" s="1"/>
  <c r="AF117" i="47" s="1"/>
  <c r="D56" i="85"/>
  <c r="D50" i="85"/>
  <c r="E59" i="85" s="1"/>
  <c r="D52" i="85"/>
  <c r="D55" i="85" s="1"/>
  <c r="AM77" i="47" l="1"/>
  <c r="D61" i="85"/>
  <c r="AG78" i="47"/>
  <c r="AM78" i="47" s="1"/>
  <c r="E60" i="85"/>
  <c r="F104" i="43"/>
  <c r="F105" i="43" s="1"/>
  <c r="E50" i="85"/>
  <c r="F59" i="85" s="1"/>
  <c r="E52" i="85"/>
  <c r="E55" i="85" s="1"/>
  <c r="E56" i="85" s="1"/>
  <c r="F60" i="85" l="1"/>
  <c r="AG79" i="47"/>
  <c r="AM79" i="47" s="1"/>
  <c r="E61" i="85"/>
  <c r="F50" i="85"/>
  <c r="G59" i="85" s="1"/>
  <c r="F52" i="85"/>
  <c r="F55" i="85" s="1"/>
  <c r="F56" i="85" s="1"/>
  <c r="F61" i="85" l="1"/>
  <c r="G60" i="85"/>
  <c r="AG80" i="47"/>
  <c r="AM80" i="47" s="1"/>
  <c r="G56" i="85"/>
  <c r="G52" i="85"/>
  <c r="G55" i="85" s="1"/>
  <c r="G50" i="85"/>
  <c r="H59" i="85" s="1"/>
  <c r="G61" i="85" l="1"/>
  <c r="H60" i="85"/>
  <c r="AG81" i="47"/>
  <c r="H52" i="85"/>
  <c r="H55" i="85" s="1"/>
  <c r="H56" i="85" s="1"/>
  <c r="H50" i="85"/>
  <c r="I59" i="85" s="1"/>
  <c r="AM81" i="47" l="1"/>
  <c r="H61" i="85"/>
  <c r="AG82" i="47"/>
  <c r="AM82" i="47" s="1"/>
  <c r="I60" i="85"/>
  <c r="I52" i="85"/>
  <c r="I55" i="85" s="1"/>
  <c r="I56" i="85" s="1"/>
  <c r="I50" i="85"/>
  <c r="J59" i="85" s="1"/>
  <c r="J60" i="85" l="1"/>
  <c r="AG83" i="47"/>
  <c r="AM83" i="47" s="1"/>
  <c r="I61" i="85"/>
  <c r="J52" i="85"/>
  <c r="J55" i="85" s="1"/>
  <c r="J56" i="85" s="1"/>
  <c r="J50" i="85"/>
  <c r="K59" i="85" s="1"/>
  <c r="K60" i="85" l="1"/>
  <c r="AG84" i="47"/>
  <c r="AM84" i="47" s="1"/>
  <c r="J61" i="85"/>
  <c r="K52" i="85"/>
  <c r="K55" i="85" s="1"/>
  <c r="K56" i="85" s="1"/>
  <c r="K50" i="85"/>
  <c r="L59" i="85" s="1"/>
  <c r="L60" i="85" l="1"/>
  <c r="AG85" i="47"/>
  <c r="AM85" i="47" s="1"/>
  <c r="K61" i="85"/>
  <c r="L52" i="85"/>
  <c r="L55" i="85" s="1"/>
  <c r="L56" i="85" s="1"/>
  <c r="L50" i="85"/>
  <c r="M59" i="85" s="1"/>
  <c r="AG86" i="47" l="1"/>
  <c r="M60" i="85"/>
  <c r="M61" i="85" s="1"/>
  <c r="L61" i="85"/>
  <c r="M52" i="85"/>
  <c r="M55" i="85" s="1"/>
  <c r="M50" i="85"/>
  <c r="G126" i="85" l="1"/>
  <c r="AG110" i="47" s="1"/>
  <c r="K126" i="85"/>
  <c r="AG114" i="47" s="1"/>
  <c r="C126" i="85"/>
  <c r="AG106" i="47" s="1"/>
  <c r="D99" i="85"/>
  <c r="AG92" i="47" s="1"/>
  <c r="H99" i="85"/>
  <c r="AG96" i="47" s="1"/>
  <c r="L99" i="85"/>
  <c r="AG100" i="47" s="1"/>
  <c r="E126" i="85"/>
  <c r="AG108" i="47" s="1"/>
  <c r="I126" i="85"/>
  <c r="AG112" i="47" s="1"/>
  <c r="J99" i="85"/>
  <c r="AG98" i="47" s="1"/>
  <c r="F126" i="85"/>
  <c r="AG109" i="47" s="1"/>
  <c r="C99" i="85"/>
  <c r="AG91" i="47" s="1"/>
  <c r="G99" i="85"/>
  <c r="AG95" i="47" s="1"/>
  <c r="D126" i="85"/>
  <c r="AG107" i="47" s="1"/>
  <c r="H126" i="85"/>
  <c r="AG111" i="47" s="1"/>
  <c r="L126" i="85"/>
  <c r="AG115" i="47" s="1"/>
  <c r="B126" i="85"/>
  <c r="AG105" i="47" s="1"/>
  <c r="E99" i="85"/>
  <c r="AG93" i="47" s="1"/>
  <c r="I99" i="85"/>
  <c r="AG97" i="47" s="1"/>
  <c r="M99" i="85"/>
  <c r="AG101" i="47" s="1"/>
  <c r="M126" i="85"/>
  <c r="AG116" i="47" s="1"/>
  <c r="B99" i="85"/>
  <c r="F99" i="85"/>
  <c r="AG94" i="47" s="1"/>
  <c r="J126" i="85"/>
  <c r="AG113" i="47" s="1"/>
  <c r="K99" i="85"/>
  <c r="AG99" i="47" s="1"/>
  <c r="AM86" i="47"/>
  <c r="AM87" i="47" s="1"/>
  <c r="AM89" i="47" s="1"/>
  <c r="AG87" i="47"/>
  <c r="AG89" i="47" s="1"/>
  <c r="O75" i="47" a="1"/>
  <c r="N55" i="85"/>
  <c r="C70" i="85" s="1"/>
  <c r="M56" i="85"/>
  <c r="B92" i="85"/>
  <c r="B95" i="85" s="1"/>
  <c r="B90" i="85"/>
  <c r="C100" i="85" s="1"/>
  <c r="I117" i="47"/>
  <c r="AG90" i="47" l="1"/>
  <c r="AM90" i="47" s="1"/>
  <c r="B101" i="85"/>
  <c r="B102" i="85" s="1"/>
  <c r="C101" i="85"/>
  <c r="AH91" i="47"/>
  <c r="C90" i="85"/>
  <c r="D100" i="85" s="1"/>
  <c r="C92" i="85"/>
  <c r="O82" i="47"/>
  <c r="W82" i="47" s="1"/>
  <c r="O79" i="47"/>
  <c r="W79" i="47" s="1"/>
  <c r="O83" i="47"/>
  <c r="W83" i="47" s="1"/>
  <c r="O76" i="47"/>
  <c r="W76" i="47" s="1"/>
  <c r="O85" i="47"/>
  <c r="W85" i="47" s="1"/>
  <c r="O75" i="47"/>
  <c r="O77" i="47"/>
  <c r="W77" i="47" s="1"/>
  <c r="O78" i="47"/>
  <c r="W78" i="47" s="1"/>
  <c r="O86" i="47"/>
  <c r="W86" i="47" s="1"/>
  <c r="O81" i="47"/>
  <c r="W81" i="47" s="1"/>
  <c r="O80" i="47"/>
  <c r="W80" i="47" s="1"/>
  <c r="O84" i="47"/>
  <c r="W84" i="47" s="1"/>
  <c r="C71" i="85"/>
  <c r="D70" i="85"/>
  <c r="D71" i="85" s="1"/>
  <c r="F28" i="43"/>
  <c r="I119" i="47"/>
  <c r="I132" i="47" s="1"/>
  <c r="I134" i="47" s="1"/>
  <c r="I147" i="47" s="1"/>
  <c r="I149" i="47" s="1"/>
  <c r="I162" i="47" s="1"/>
  <c r="AG102" i="47" l="1"/>
  <c r="AG104" i="47" s="1"/>
  <c r="AG117" i="47" s="1"/>
  <c r="D101" i="85"/>
  <c r="AH92" i="47"/>
  <c r="AM92" i="47" s="1"/>
  <c r="AM91" i="47"/>
  <c r="C95" i="85"/>
  <c r="C102" i="85" s="1"/>
  <c r="D92" i="85"/>
  <c r="D90" i="85"/>
  <c r="E100" i="85" s="1"/>
  <c r="W75" i="47"/>
  <c r="W87" i="47" s="1"/>
  <c r="O87" i="47"/>
  <c r="O89" i="47" s="1"/>
  <c r="G28" i="43"/>
  <c r="E101" i="85" l="1"/>
  <c r="AH93" i="47"/>
  <c r="C96" i="85"/>
  <c r="D95" i="85"/>
  <c r="D102" i="85" s="1"/>
  <c r="G104" i="43"/>
  <c r="G105" i="43" s="1"/>
  <c r="W89" i="47"/>
  <c r="E90" i="85"/>
  <c r="F100" i="85" s="1"/>
  <c r="E92" i="85"/>
  <c r="F101" i="85" l="1"/>
  <c r="AH94" i="47"/>
  <c r="AM94" i="47" s="1"/>
  <c r="AM93" i="47"/>
  <c r="D96" i="85"/>
  <c r="E95" i="85"/>
  <c r="E102" i="85" s="1"/>
  <c r="F92" i="85"/>
  <c r="F90" i="85"/>
  <c r="G100" i="85" s="1"/>
  <c r="G101" i="85" l="1"/>
  <c r="AH95" i="47"/>
  <c r="AM95" i="47" s="1"/>
  <c r="E96" i="85"/>
  <c r="F95" i="85"/>
  <c r="F102" i="85" s="1"/>
  <c r="G90" i="85"/>
  <c r="H100" i="85" s="1"/>
  <c r="G92" i="85"/>
  <c r="H101" i="85" l="1"/>
  <c r="AH96" i="47"/>
  <c r="AM96" i="47" s="1"/>
  <c r="F96" i="85"/>
  <c r="G95" i="85"/>
  <c r="G102" i="85" s="1"/>
  <c r="H92" i="85"/>
  <c r="H90" i="85"/>
  <c r="I100" i="85" s="1"/>
  <c r="I101" i="85" l="1"/>
  <c r="AH97" i="47"/>
  <c r="AM97" i="47" s="1"/>
  <c r="G96" i="85"/>
  <c r="H95" i="85"/>
  <c r="H102" i="85" s="1"/>
  <c r="I90" i="85"/>
  <c r="J100" i="85" s="1"/>
  <c r="I92" i="85"/>
  <c r="J101" i="85" l="1"/>
  <c r="AH98" i="47"/>
  <c r="AM98" i="47" s="1"/>
  <c r="H96" i="85"/>
  <c r="I95" i="85"/>
  <c r="I102" i="85" s="1"/>
  <c r="J90" i="85"/>
  <c r="K100" i="85" s="1"/>
  <c r="J92" i="85"/>
  <c r="K101" i="85" l="1"/>
  <c r="AH99" i="47"/>
  <c r="AM99" i="47" s="1"/>
  <c r="I96" i="85"/>
  <c r="J95" i="85"/>
  <c r="J102" i="85" s="1"/>
  <c r="K92" i="85"/>
  <c r="K90" i="85"/>
  <c r="L100" i="85" s="1"/>
  <c r="L101" i="85" l="1"/>
  <c r="AH100" i="47"/>
  <c r="AM100" i="47" s="1"/>
  <c r="J96" i="85"/>
  <c r="K95" i="85"/>
  <c r="K102" i="85" s="1"/>
  <c r="L90" i="85"/>
  <c r="M100" i="85" s="1"/>
  <c r="L92" i="85"/>
  <c r="M101" i="85" l="1"/>
  <c r="AH101" i="47"/>
  <c r="K96" i="85"/>
  <c r="L95" i="85"/>
  <c r="L102" i="85" s="1"/>
  <c r="M92" i="85"/>
  <c r="M95" i="85" s="1"/>
  <c r="M102" i="85" s="1"/>
  <c r="M90" i="85"/>
  <c r="AM101" i="47" l="1"/>
  <c r="AM102" i="47" s="1"/>
  <c r="AM104" i="47" s="1"/>
  <c r="AH102" i="47"/>
  <c r="AH104" i="47" s="1"/>
  <c r="E127" i="85"/>
  <c r="I127" i="85"/>
  <c r="M127" i="85"/>
  <c r="C127" i="85"/>
  <c r="B127" i="85"/>
  <c r="G127" i="85"/>
  <c r="K127" i="85"/>
  <c r="F127" i="85"/>
  <c r="J127" i="85"/>
  <c r="D127" i="85"/>
  <c r="H127" i="85"/>
  <c r="L127" i="85"/>
  <c r="L96" i="85"/>
  <c r="B119" i="85"/>
  <c r="B122" i="85" s="1"/>
  <c r="B117" i="85"/>
  <c r="C128" i="85" s="1"/>
  <c r="AI106" i="47" s="1"/>
  <c r="N95" i="85"/>
  <c r="B139" i="85" s="1"/>
  <c r="B140" i="85" s="1"/>
  <c r="O90" i="47" a="1"/>
  <c r="M96" i="85"/>
  <c r="AH113" i="47" l="1"/>
  <c r="AH105" i="47"/>
  <c r="AM105" i="47" s="1"/>
  <c r="B129" i="85"/>
  <c r="B130" i="85" s="1"/>
  <c r="AH108" i="47"/>
  <c r="AH115" i="47"/>
  <c r="AH109" i="47"/>
  <c r="AH106" i="47"/>
  <c r="AM106" i="47" s="1"/>
  <c r="C129" i="85"/>
  <c r="AH107" i="47"/>
  <c r="AH110" i="47"/>
  <c r="AH112" i="47"/>
  <c r="AH111" i="47"/>
  <c r="AH114" i="47"/>
  <c r="AH116" i="47"/>
  <c r="O92" i="47"/>
  <c r="W92" i="47" s="1"/>
  <c r="O91" i="47"/>
  <c r="W91" i="47" s="1"/>
  <c r="O94" i="47"/>
  <c r="W94" i="47" s="1"/>
  <c r="O98" i="47"/>
  <c r="W98" i="47" s="1"/>
  <c r="O97" i="47"/>
  <c r="W97" i="47" s="1"/>
  <c r="O100" i="47"/>
  <c r="W100" i="47" s="1"/>
  <c r="O90" i="47"/>
  <c r="O93" i="47"/>
  <c r="W93" i="47" s="1"/>
  <c r="O101" i="47"/>
  <c r="W101" i="47" s="1"/>
  <c r="O96" i="47"/>
  <c r="W96" i="47" s="1"/>
  <c r="O95" i="47"/>
  <c r="W95" i="47" s="1"/>
  <c r="O99" i="47"/>
  <c r="W99" i="47" s="1"/>
  <c r="B123" i="85"/>
  <c r="C119" i="85"/>
  <c r="C122" i="85" s="1"/>
  <c r="C117" i="85"/>
  <c r="D128" i="85" s="1"/>
  <c r="AI107" i="47" s="1"/>
  <c r="C130" i="85" l="1"/>
  <c r="D129" i="85"/>
  <c r="AM107" i="47"/>
  <c r="AH117" i="47"/>
  <c r="C123" i="85"/>
  <c r="D117" i="85"/>
  <c r="E128" i="85" s="1"/>
  <c r="D119" i="85"/>
  <c r="D122" i="85" s="1"/>
  <c r="W90" i="47"/>
  <c r="W102" i="47" s="1"/>
  <c r="O102" i="47"/>
  <c r="O104" i="47" s="1"/>
  <c r="AI108" i="47" l="1"/>
  <c r="E129" i="85"/>
  <c r="D130" i="85"/>
  <c r="D123" i="85"/>
  <c r="H104" i="43"/>
  <c r="H105" i="43" s="1"/>
  <c r="W104" i="47"/>
  <c r="E119" i="85"/>
  <c r="E122" i="85" s="1"/>
  <c r="E117" i="85"/>
  <c r="F128" i="85" s="1"/>
  <c r="E130" i="85" l="1"/>
  <c r="AI109" i="47"/>
  <c r="AM109" i="47" s="1"/>
  <c r="F129" i="85"/>
  <c r="AM108" i="47"/>
  <c r="E123" i="85"/>
  <c r="F117" i="85"/>
  <c r="G128" i="85" s="1"/>
  <c r="F119" i="85"/>
  <c r="F122" i="85" s="1"/>
  <c r="F130" i="85" l="1"/>
  <c r="AI110" i="47"/>
  <c r="AM110" i="47" s="1"/>
  <c r="G129" i="85"/>
  <c r="F123" i="85"/>
  <c r="G119" i="85"/>
  <c r="G122" i="85" s="1"/>
  <c r="G117" i="85"/>
  <c r="H128" i="85" s="1"/>
  <c r="AI111" i="47" l="1"/>
  <c r="AM111" i="47" s="1"/>
  <c r="H129" i="85"/>
  <c r="G130" i="85"/>
  <c r="G123" i="85"/>
  <c r="H119" i="85"/>
  <c r="H122" i="85" s="1"/>
  <c r="H117" i="85"/>
  <c r="I128" i="85" s="1"/>
  <c r="AI112" i="47" l="1"/>
  <c r="AM112" i="47" s="1"/>
  <c r="I129" i="85"/>
  <c r="H130" i="85"/>
  <c r="H123" i="85"/>
  <c r="I119" i="85"/>
  <c r="I122" i="85" s="1"/>
  <c r="I117" i="85"/>
  <c r="J128" i="85" s="1"/>
  <c r="I130" i="85" l="1"/>
  <c r="AI113" i="47"/>
  <c r="AM113" i="47" s="1"/>
  <c r="J129" i="85"/>
  <c r="I123" i="85"/>
  <c r="J119" i="85"/>
  <c r="J122" i="85" s="1"/>
  <c r="J117" i="85"/>
  <c r="K128" i="85" s="1"/>
  <c r="AI114" i="47" l="1"/>
  <c r="AM114" i="47" s="1"/>
  <c r="K129" i="85"/>
  <c r="J130" i="85"/>
  <c r="J123" i="85"/>
  <c r="K117" i="85"/>
  <c r="L128" i="85" s="1"/>
  <c r="K119" i="85"/>
  <c r="K122" i="85" s="1"/>
  <c r="AI115" i="47" l="1"/>
  <c r="AM115" i="47" s="1"/>
  <c r="L129" i="85"/>
  <c r="K130" i="85"/>
  <c r="K123" i="85"/>
  <c r="L119" i="85"/>
  <c r="L122" i="85" s="1"/>
  <c r="L117" i="85"/>
  <c r="M128" i="85" s="1"/>
  <c r="AI116" i="47" l="1"/>
  <c r="M129" i="85"/>
  <c r="L130" i="85"/>
  <c r="L123" i="85"/>
  <c r="M119" i="85"/>
  <c r="M122" i="85" s="1"/>
  <c r="M117" i="85"/>
  <c r="M130" i="85" l="1"/>
  <c r="AM116" i="47"/>
  <c r="AM117" i="47" s="1"/>
  <c r="AI117" i="47"/>
  <c r="N41" i="88" s="1"/>
  <c r="M123" i="85"/>
  <c r="N122" i="85"/>
  <c r="C139" i="85" s="1"/>
  <c r="C140" i="85" s="1"/>
  <c r="O105" i="47" a="1"/>
  <c r="O107" i="47" s="1"/>
  <c r="W107" i="47" s="1"/>
  <c r="O41" i="88" l="1"/>
  <c r="L21" i="92"/>
  <c r="D139" i="85"/>
  <c r="D140" i="85" s="1"/>
  <c r="O109" i="47"/>
  <c r="W109" i="47" s="1"/>
  <c r="O106" i="47"/>
  <c r="W106" i="47" s="1"/>
  <c r="O116" i="47"/>
  <c r="W116" i="47" s="1"/>
  <c r="O112" i="47"/>
  <c r="W112" i="47" s="1"/>
  <c r="O114" i="47"/>
  <c r="W114" i="47" s="1"/>
  <c r="O115" i="47"/>
  <c r="W115" i="47" s="1"/>
  <c r="O105" i="47"/>
  <c r="W105" i="47" s="1"/>
  <c r="O108" i="47"/>
  <c r="W108" i="47" s="1"/>
  <c r="O110" i="47"/>
  <c r="W110" i="47" s="1"/>
  <c r="O113" i="47"/>
  <c r="W113" i="47" s="1"/>
  <c r="O111" i="47"/>
  <c r="W111" i="47" s="1"/>
  <c r="W117" i="47" l="1"/>
  <c r="O117" i="47"/>
  <c r="I104" i="43" l="1"/>
  <c r="I105" i="43" s="1"/>
  <c r="W119" i="47"/>
  <c r="W132" i="47" s="1"/>
  <c r="J104" i="43" s="1"/>
  <c r="J105" i="43" s="1"/>
  <c r="O119" i="47"/>
  <c r="O132" i="47" s="1"/>
  <c r="O134" i="47" s="1"/>
  <c r="O147" i="47" s="1"/>
  <c r="O149" i="47" s="1"/>
  <c r="O162" i="47" s="1"/>
  <c r="W134" i="47" l="1"/>
  <c r="W147" i="47" s="1"/>
  <c r="W149" i="47" s="1"/>
  <c r="W162" i="47" s="1"/>
  <c r="L104" i="43" s="1"/>
  <c r="L105" i="43" s="1"/>
  <c r="R83" i="43"/>
  <c r="F34" i="43"/>
  <c r="B4" i="88" l="1"/>
  <c r="B54" i="88" s="1"/>
  <c r="D54" i="88" s="1"/>
  <c r="D55" i="88" s="1"/>
  <c r="R84" i="43"/>
  <c r="K104" i="43"/>
  <c r="H20" i="43"/>
  <c r="H21" i="43" s="1"/>
  <c r="L15" i="43" s="1"/>
  <c r="G34" i="43"/>
  <c r="G42" i="43" s="1"/>
  <c r="L16" i="43" s="1"/>
  <c r="F42" i="43"/>
  <c r="B5" i="88" l="1"/>
  <c r="B55" i="88"/>
  <c r="D4" i="88"/>
  <c r="D5" i="88" s="1"/>
  <c r="I4" i="88"/>
  <c r="I5" i="88" s="1"/>
  <c r="J4" i="88"/>
  <c r="J5" i="88" s="1"/>
  <c r="M104" i="43"/>
  <c r="M105" i="43" s="1"/>
  <c r="K105" i="43"/>
  <c r="H25" i="88" l="1"/>
  <c r="O25" i="88" s="1"/>
  <c r="H23" i="88" l="1"/>
  <c r="H22" i="88" l="1"/>
  <c r="H24" i="88"/>
  <c r="O23" i="88" s="1"/>
  <c r="H21" i="88"/>
  <c r="O21" i="88" l="1"/>
  <c r="H20" i="88"/>
  <c r="G28" i="88"/>
  <c r="G53" i="88" l="1"/>
  <c r="G30" i="88"/>
  <c r="G31" i="88" s="1"/>
  <c r="O19" i="88"/>
  <c r="O28" i="88" s="1"/>
  <c r="O30" i="88" s="1"/>
  <c r="H28" i="88"/>
  <c r="H30" i="88" s="1"/>
  <c r="H31" i="88" s="1"/>
  <c r="H53" i="88" l="1"/>
  <c r="J53" i="88" l="1"/>
  <c r="K53" i="88" l="1"/>
  <c r="H40" i="88" l="1"/>
  <c r="J40" i="88" s="1"/>
  <c r="M40" i="88" s="1"/>
  <c r="H39" i="88"/>
  <c r="J39" i="88" s="1"/>
  <c r="M39" i="88" s="1"/>
  <c r="N39" i="88" l="1"/>
  <c r="N40" i="88"/>
  <c r="O40" i="88" l="1"/>
  <c r="L25" i="91"/>
  <c r="O39" i="88"/>
  <c r="L27" i="90"/>
  <c r="H38" i="88" l="1"/>
  <c r="G43" i="88"/>
  <c r="I43" i="88"/>
  <c r="H43" i="88" l="1"/>
  <c r="H45" i="88" s="1"/>
  <c r="J38" i="88"/>
  <c r="I45" i="88"/>
  <c r="I48" i="88" s="1"/>
  <c r="I54" i="88"/>
  <c r="I55" i="88" s="1"/>
  <c r="G45" i="88"/>
  <c r="G54" i="88"/>
  <c r="H48" i="88" l="1"/>
  <c r="H46" i="88"/>
  <c r="G46" i="88"/>
  <c r="G48" i="88"/>
  <c r="G55" i="88"/>
  <c r="H54" i="88"/>
  <c r="M38" i="88"/>
  <c r="J43" i="88"/>
  <c r="J45" i="88" s="1"/>
  <c r="J48" i="88" s="1"/>
  <c r="N38" i="88" l="1"/>
  <c r="M43" i="88"/>
  <c r="M45" i="88" s="1"/>
  <c r="M48" i="88" s="1"/>
  <c r="J54" i="88"/>
  <c r="H55" i="88"/>
  <c r="N43" i="88" l="1"/>
  <c r="N45" i="88" s="1"/>
  <c r="N48" i="88" s="1"/>
  <c r="L25" i="89"/>
  <c r="O38" i="88"/>
  <c r="O43" i="88" s="1"/>
  <c r="O45" i="88" s="1"/>
  <c r="O48" i="88" s="1"/>
  <c r="J55" i="88"/>
  <c r="K54" i="88"/>
  <c r="K55" i="88" s="1"/>
</calcChain>
</file>

<file path=xl/comments1.xml><?xml version="1.0" encoding="utf-8"?>
<comments xmlns="http://schemas.openxmlformats.org/spreadsheetml/2006/main">
  <authors>
    <author>Vitalika Quenville</author>
  </authors>
  <commentList>
    <comment ref="L16" authorId="0" shape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Jing Cheng</author>
  </authors>
  <commentList>
    <comment ref="D30" authorId="0" shapeId="0">
      <text>
        <r>
          <rPr>
            <b/>
            <sz val="9"/>
            <color indexed="81"/>
            <rFont val="Tahoma"/>
            <family val="2"/>
          </rPr>
          <t>Jing Cheng:</t>
        </r>
        <r>
          <rPr>
            <sz val="9"/>
            <color indexed="81"/>
            <rFont val="Tahoma"/>
            <family val="2"/>
          </rPr>
          <t xml:space="preserve">
Per Tom's Email - Full Year rule load forecast
</t>
        </r>
      </text>
    </comment>
  </commentList>
</comments>
</file>

<file path=xl/comments3.xml><?xml version="1.0" encoding="utf-8"?>
<comments xmlns="http://schemas.openxmlformats.org/spreadsheetml/2006/main">
  <authors>
    <author>Vitalika Quenville</author>
  </authors>
  <commentList>
    <comment ref="G14" authorId="0" shapeId="0">
      <text>
        <r>
          <rPr>
            <b/>
            <sz val="8"/>
            <color indexed="81"/>
            <rFont val="Tahoma"/>
            <family val="2"/>
          </rPr>
          <t>Vitalika Quenville:</t>
        </r>
        <r>
          <rPr>
            <sz val="8"/>
            <color indexed="81"/>
            <rFont val="Tahoma"/>
            <family val="2"/>
          </rPr>
          <t xml:space="preserve">
implementation date - Feb 1 2013</t>
        </r>
      </text>
    </comment>
    <comment ref="H14" authorId="0" shapeId="0">
      <text>
        <r>
          <rPr>
            <b/>
            <sz val="8"/>
            <color indexed="81"/>
            <rFont val="Tahoma"/>
            <family val="2"/>
          </rPr>
          <t>Vitalika Quenville:</t>
        </r>
        <r>
          <rPr>
            <sz val="8"/>
            <color indexed="81"/>
            <rFont val="Tahoma"/>
            <family val="2"/>
          </rPr>
          <t xml:space="preserve">
Implementation date - March 1, 2014</t>
        </r>
      </text>
    </comment>
    <comment ref="J14" authorId="0" shapeId="0">
      <text>
        <r>
          <rPr>
            <b/>
            <sz val="8"/>
            <color indexed="81"/>
            <rFont val="Tahoma"/>
            <family val="2"/>
          </rPr>
          <t>Vitalika Quenville:</t>
        </r>
        <r>
          <rPr>
            <sz val="8"/>
            <color indexed="81"/>
            <rFont val="Tahoma"/>
            <family val="2"/>
          </rPr>
          <t xml:space="preserve">
Implementation date - October 1, 2016</t>
        </r>
      </text>
    </comment>
  </commentList>
</comments>
</file>

<file path=xl/comments4.xml><?xml version="1.0" encoding="utf-8"?>
<comments xmlns="http://schemas.openxmlformats.org/spreadsheetml/2006/main">
  <authors>
    <author>Vitalika Quenville</author>
  </authors>
  <commentList>
    <comment ref="Y40" authorId="0" shapeId="0">
      <text>
        <r>
          <rPr>
            <b/>
            <sz val="8"/>
            <color indexed="81"/>
            <rFont val="Tahoma"/>
            <family val="2"/>
          </rPr>
          <t>Vitalika Quenville:</t>
        </r>
        <r>
          <rPr>
            <sz val="8"/>
            <color indexed="81"/>
            <rFont val="Tahoma"/>
            <family val="2"/>
          </rPr>
          <t xml:space="preserve">
DR Programs are excluded from savings</t>
        </r>
      </text>
    </comment>
  </commentList>
</comments>
</file>

<file path=xl/comments5.xml><?xml version="1.0" encoding="utf-8"?>
<comments xmlns="http://schemas.openxmlformats.org/spreadsheetml/2006/main">
  <authors>
    <author>Vitalika Quenville</author>
  </authors>
  <commentList>
    <comment ref="O91" authorId="0" shape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6.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7.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8.xml><?xml version="1.0" encoding="utf-8"?>
<comments xmlns="http://schemas.openxmlformats.org/spreadsheetml/2006/main">
  <authors>
    <author>Enersource</author>
  </authors>
  <commentList>
    <comment ref="N28" authorId="0" shapeId="0">
      <text>
        <r>
          <rPr>
            <b/>
            <sz val="9"/>
            <color indexed="81"/>
            <rFont val="Tahoma"/>
            <family val="2"/>
          </rPr>
          <t>Enersource:</t>
        </r>
        <r>
          <rPr>
            <sz val="9"/>
            <color indexed="81"/>
            <rFont val="Tahoma"/>
            <family val="2"/>
          </rPr>
          <t xml:space="preserve">
Amount Adjusted for NTG
</t>
        </r>
      </text>
    </comment>
    <comment ref="N48" authorId="0" shapeId="0">
      <text>
        <r>
          <rPr>
            <b/>
            <sz val="9"/>
            <color indexed="81"/>
            <rFont val="Tahoma"/>
            <family val="2"/>
          </rPr>
          <t>Enersource:</t>
        </r>
        <r>
          <rPr>
            <sz val="9"/>
            <color indexed="81"/>
            <rFont val="Tahoma"/>
            <family val="2"/>
          </rPr>
          <t xml:space="preserve">
Amount Adjusted for NTG
</t>
        </r>
      </text>
    </comment>
    <comment ref="N88" authorId="0" shapeId="0">
      <text>
        <r>
          <rPr>
            <b/>
            <sz val="9"/>
            <color indexed="81"/>
            <rFont val="Tahoma"/>
            <family val="2"/>
          </rPr>
          <t>Enersource:</t>
        </r>
        <r>
          <rPr>
            <sz val="9"/>
            <color indexed="81"/>
            <rFont val="Tahoma"/>
            <family val="2"/>
          </rPr>
          <t xml:space="preserve">
Amount Adjusted for NTG
</t>
        </r>
      </text>
    </comment>
    <comment ref="N115" authorId="0" shapeId="0">
      <text>
        <r>
          <rPr>
            <b/>
            <sz val="9"/>
            <color indexed="81"/>
            <rFont val="Tahoma"/>
            <family val="2"/>
          </rPr>
          <t>Enersource:</t>
        </r>
        <r>
          <rPr>
            <sz val="9"/>
            <color indexed="81"/>
            <rFont val="Tahoma"/>
            <family val="2"/>
          </rPr>
          <t xml:space="preserve">
Amount Adjusted for NTG
</t>
        </r>
      </text>
    </comment>
  </commentList>
</comments>
</file>

<file path=xl/sharedStrings.xml><?xml version="1.0" encoding="utf-8"?>
<sst xmlns="http://schemas.openxmlformats.org/spreadsheetml/2006/main" count="6089" uniqueCount="1131">
  <si>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</si>
  <si>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</si>
  <si>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</si>
  <si>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</si>
  <si>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</si>
  <si>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</si>
  <si>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</si>
  <si>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</si>
  <si>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</si>
  <si>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</si>
  <si>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</si>
  <si>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</si>
  <si>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</si>
  <si>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</si>
  <si>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</si>
  <si>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</si>
  <si>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</si>
  <si>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</si>
  <si>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</si>
  <si>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</si>
  <si>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</si>
  <si>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</si>
  <si>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</si>
  <si>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</si>
  <si>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</si>
  <si>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</si>
  <si>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</si>
  <si>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</si>
  <si>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</si>
  <si>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</si>
  <si>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</si>
  <si>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</si>
  <si>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</si>
  <si>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</si>
  <si>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</si>
  <si>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</si>
  <si>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</si>
  <si>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</si>
  <si>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</si>
  <si>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</si>
  <si>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</si>
  <si>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</si>
  <si>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</si>
  <si>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</si>
  <si>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</si>
  <si>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</si>
  <si>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</si>
  <si>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</si>
  <si>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</si>
  <si>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</si>
  <si>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</si>
  <si>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</si>
  <si>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</si>
  <si>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</si>
  <si>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</si>
  <si>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</si>
  <si>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</si>
  <si>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</si>
  <si>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</si>
  <si>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</si>
  <si>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</si>
  <si>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</si>
  <si>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</si>
  <si>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</si>
  <si>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</si>
  <si>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</si>
  <si>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</si>
  <si>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</si>
  <si>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</si>
  <si>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</si>
  <si>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</si>
  <si>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</si>
  <si>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</si>
  <si>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</si>
  <si>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</si>
  <si>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</si>
  <si>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</si>
  <si>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</si>
  <si>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</si>
  <si>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</si>
  <si>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</si>
  <si>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</si>
  <si>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</si>
  <si>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</si>
  <si>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</si>
  <si>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</si>
  <si>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</si>
  <si>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</si>
  <si>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</si>
  <si>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</si>
  <si>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</si>
  <si>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</si>
  <si>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</si>
  <si>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</si>
  <si>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</si>
  <si>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</si>
  <si>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</si>
  <si>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</si>
  <si>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</si>
  <si>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</si>
  <si>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</si>
  <si>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</si>
  <si>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</si>
  <si>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</si>
  <si>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</si>
  <si>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</si>
  <si>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</si>
  <si>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</si>
  <si>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</si>
  <si>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</si>
  <si>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</si>
  <si>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</si>
  <si>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</si>
  <si>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</si>
  <si>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</si>
  <si>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</si>
  <si>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</si>
  <si>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</si>
  <si>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</si>
  <si>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</si>
  <si>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</si>
  <si>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</si>
  <si>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</si>
  <si>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</si>
  <si>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</si>
  <si>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</si>
  <si>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</si>
  <si>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</si>
  <si>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</si>
  <si>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</si>
  <si>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</si>
  <si>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</si>
  <si>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</si>
  <si>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</si>
  <si>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</si>
  <si>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</si>
  <si>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</si>
  <si>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</si>
  <si>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</si>
  <si>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</si>
  <si>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</si>
  <si>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</si>
  <si>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</si>
  <si>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</si>
  <si>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</si>
  <si>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</si>
  <si>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</si>
  <si>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</si>
  <si>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</si>
  <si>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</si>
  <si>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</si>
  <si>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</si>
  <si>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</si>
  <si>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</si>
  <si>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</si>
  <si>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</si>
  <si>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</si>
  <si>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</si>
  <si>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</si>
  <si>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</si>
  <si>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</si>
  <si>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</si>
  <si>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</si>
  <si>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</si>
  <si>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</si>
  <si>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</si>
  <si>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</si>
  <si>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</si>
  <si>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</si>
  <si>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</si>
  <si>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</si>
  <si>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</si>
  <si>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</si>
  <si>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</si>
  <si>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</si>
  <si>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</si>
  <si>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</si>
  <si>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</si>
  <si>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</si>
  <si>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</si>
  <si>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</si>
  <si>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</si>
  <si>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</si>
  <si>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</si>
  <si>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</si>
  <si>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</si>
  <si>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</si>
  <si>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</si>
  <si>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</si>
  <si>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</si>
  <si>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</si>
  <si>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</si>
  <si>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</si>
  <si>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</si>
  <si>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</si>
  <si>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</si>
  <si>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</si>
  <si>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</si>
  <si>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</si>
  <si>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</si>
  <si>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</si>
  <si>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</si>
  <si>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</si>
  <si>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</si>
  <si>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</si>
  <si>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</si>
  <si>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</si>
  <si>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</si>
  <si>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</si>
  <si>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</si>
  <si>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</si>
  <si>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</si>
  <si>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</si>
  <si>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</si>
  <si>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</si>
  <si>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</si>
  <si>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</si>
  <si>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</si>
  <si>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</si>
  <si>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</si>
  <si>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</si>
  <si>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</si>
  <si>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</si>
  <si>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</si>
  <si>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</si>
  <si>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</si>
  <si>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</si>
  <si>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</si>
  <si>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</si>
  <si>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</si>
  <si>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</si>
  <si>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</si>
  <si>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</si>
  <si>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</si>
  <si>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</si>
  <si>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</si>
  <si>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</si>
  <si>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</si>
  <si>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</si>
  <si>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</si>
  <si>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</si>
  <si>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</si>
  <si>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</si>
  <si>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</si>
  <si>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</si>
  <si>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</si>
  <si>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</si>
  <si>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</si>
  <si>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</si>
  <si>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</si>
  <si>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</si>
  <si>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</si>
  <si>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</si>
  <si>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</si>
  <si>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</si>
  <si>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</si>
  <si>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</si>
  <si>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</si>
  <si>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</si>
  <si>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</si>
  <si>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</si>
  <si>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</si>
  <si>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</si>
  <si>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</si>
  <si>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</si>
  <si>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</si>
  <si>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</si>
  <si>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</si>
  <si>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</si>
  <si>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</si>
  <si>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</si>
  <si>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</si>
  <si>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</si>
  <si>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</si>
  <si>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</si>
  <si>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</si>
  <si>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</si>
  <si>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</si>
  <si>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</si>
  <si>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</si>
  <si>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</si>
  <si>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</si>
  <si>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</si>
  <si>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</si>
  <si>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</si>
  <si>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</si>
  <si>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</si>
  <si>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</si>
  <si>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</si>
  <si>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</si>
  <si>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</si>
  <si>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</si>
  <si>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</si>
  <si>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</si>
  <si>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</si>
  <si>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</si>
  <si>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</si>
  <si>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</si>
  <si>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</si>
  <si>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</si>
  <si>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</si>
  <si>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</si>
  <si>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</si>
  <si>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</si>
  <si>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</si>
  <si>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</si>
  <si>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</si>
  <si>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</si>
  <si>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</si>
  <si>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</si>
  <si>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</si>
  <si>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</si>
  <si>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</si>
  <si>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</si>
  <si>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</si>
  <si>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</si>
  <si>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</si>
  <si>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</si>
  <si>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</si>
  <si>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</si>
  <si>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</si>
  <si>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</si>
  <si>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</si>
  <si>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</si>
  <si>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</si>
  <si>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</si>
  <si>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</si>
  <si>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</si>
  <si>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</si>
  <si>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</si>
  <si>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</si>
  <si>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</si>
  <si>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</si>
  <si>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</si>
  <si>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</si>
  <si>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</si>
  <si>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</si>
  <si>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</si>
  <si>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</si>
  <si>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</si>
  <si>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</si>
  <si>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</si>
  <si>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</si>
  <si>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</si>
  <si>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</si>
  <si>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</si>
  <si>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</si>
  <si>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</si>
  <si>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</si>
  <si>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</si>
  <si>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</si>
  <si>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</si>
  <si>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</si>
  <si>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</si>
  <si>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</si>
  <si>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</si>
  <si>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</si>
  <si>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</si>
  <si>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</si>
  <si>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</si>
  <si>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</si>
  <si>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</si>
  <si>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</si>
  <si>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</si>
  <si>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</si>
  <si>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</si>
  <si>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</si>
  <si>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</si>
  <si>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</si>
  <si>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</si>
  <si>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</si>
  <si>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</si>
  <si>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</si>
  <si>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</si>
  <si>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</si>
  <si>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</si>
  <si>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</si>
  <si>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</si>
  <si>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</si>
  <si>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</si>
  <si>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</si>
  <si>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</si>
  <si>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</si>
  <si>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</si>
  <si>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</si>
  <si>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</si>
  <si>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</si>
  <si>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</si>
  <si>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</si>
  <si>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</si>
  <si>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</si>
  <si>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</si>
  <si>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</si>
  <si>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</si>
  <si>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</si>
  <si>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</si>
  <si>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</si>
  <si>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</si>
  <si>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</si>
  <si>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</si>
  <si>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</si>
  <si>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</si>
  <si>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</si>
  <si>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</si>
  <si>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</si>
  <si>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</si>
  <si>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</si>
  <si>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</si>
  <si>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</si>
  <si>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</si>
  <si>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</si>
  <si>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</si>
  <si>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</si>
  <si>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</si>
  <si>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</si>
  <si>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</si>
  <si>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</si>
  <si>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</si>
  <si>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</si>
  <si>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</si>
  <si>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</si>
  <si>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</si>
  <si>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</si>
  <si>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</si>
  <si>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</si>
  <si>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</si>
  <si>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</si>
  <si>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</si>
  <si>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</si>
  <si>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</si>
  <si>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</si>
  <si>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</si>
  <si>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</si>
  <si>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</si>
  <si>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</si>
  <si>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</si>
  <si>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</si>
  <si>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</si>
  <si>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</si>
  <si>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</si>
  <si>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</si>
  <si>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</si>
  <si>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</si>
  <si>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</si>
  <si>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</si>
  <si>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</si>
  <si>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</si>
  <si>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</si>
  <si>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</si>
  <si>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</si>
  <si>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</si>
  <si>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</si>
  <si>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</si>
  <si>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</si>
  <si>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</si>
  <si>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</si>
  <si>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</si>
  <si>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</si>
  <si>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</si>
  <si>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</si>
  <si>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</si>
  <si>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</si>
  <si>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</si>
  <si>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</si>
  <si>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</si>
  <si>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</si>
  <si>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</si>
  <si>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</si>
  <si>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</si>
  <si>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</si>
  <si>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</si>
  <si>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</si>
  <si>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</si>
  <si>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</si>
  <si>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</si>
  <si>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</si>
  <si>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</si>
  <si>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</si>
  <si>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</si>
  <si>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</si>
  <si>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</si>
  <si>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</si>
  <si>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</si>
  <si>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</si>
  <si>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</si>
  <si>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</si>
  <si>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</si>
  <si>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</si>
  <si>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</si>
  <si>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</si>
  <si>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</si>
  <si>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</si>
  <si>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</si>
  <si>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</si>
  <si>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</si>
  <si>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</si>
  <si>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</si>
  <si>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</si>
  <si>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</si>
  <si>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</si>
  <si>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</si>
  <si>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</si>
  <si>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</si>
  <si>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</si>
  <si>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</si>
  <si>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</si>
  <si>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</si>
  <si>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</si>
  <si>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</si>
  <si>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</si>
  <si>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</si>
  <si>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</si>
  <si>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</si>
  <si>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</si>
  <si>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</si>
  <si>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</si>
  <si>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</si>
  <si>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</si>
  <si>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</si>
  <si>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</si>
  <si>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</si>
  <si>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</si>
  <si>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</si>
  <si>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</si>
  <si>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</si>
  <si>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</si>
  <si>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</si>
  <si>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</si>
  <si>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</si>
  <si>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</si>
  <si>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</si>
  <si>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</si>
  <si>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</si>
  <si>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</si>
  <si>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</si>
  <si>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</si>
  <si>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</si>
  <si>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</si>
  <si>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</si>
  <si>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</si>
  <si>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</si>
  <si>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</si>
  <si>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</si>
  <si>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</si>
  <si>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</si>
  <si>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</si>
  <si>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</si>
  <si>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</si>
  <si>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</si>
  <si>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</si>
  <si>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</si>
  <si>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</si>
  <si>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</si>
  <si>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</si>
  <si>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</si>
  <si>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</si>
  <si>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</si>
  <si>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</si>
  <si>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</si>
  <si>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</si>
  <si>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</si>
  <si>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</si>
  <si>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</si>
  <si>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</si>
  <si>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</si>
  <si>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</si>
  <si>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</si>
  <si>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</si>
  <si>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</si>
  <si>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</si>
  <si>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</si>
  <si>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</si>
  <si>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</si>
  <si>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</si>
  <si>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</si>
  <si>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</si>
  <si>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</si>
  <si>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</si>
  <si>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</si>
  <si>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</si>
  <si>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</si>
  <si>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</si>
  <si>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</si>
  <si>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</si>
  <si>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</si>
  <si>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</si>
  <si>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</si>
  <si>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</si>
  <si>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</si>
  <si>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</si>
  <si>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</si>
  <si>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</si>
  <si>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</si>
  <si>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</si>
  <si>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</si>
  <si>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</si>
  <si>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</si>
  <si>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</si>
  <si>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</si>
  <si>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</si>
  <si>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</si>
  <si>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</si>
  <si>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</si>
  <si>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</si>
  <si>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</si>
  <si>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</si>
  <si>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</si>
  <si>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</si>
  <si>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</si>
  <si>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</si>
  <si>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</si>
  <si>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</si>
  <si>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</si>
  <si>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</si>
  <si>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</si>
  <si>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</si>
  <si>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</si>
  <si>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</si>
  <si>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</si>
  <si>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</si>
  <si>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</si>
  <si>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</si>
  <si>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</si>
  <si>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</si>
  <si>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</si>
  <si>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</si>
  <si>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</si>
  <si>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</si>
  <si>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</si>
  <si>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</si>
  <si>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</si>
  <si>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</si>
  <si>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</si>
  <si>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</si>
  <si>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</si>
  <si>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</si>
  <si>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</si>
  <si>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</si>
  <si>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</si>
  <si>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</si>
  <si>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</si>
  <si>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</si>
  <si>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</si>
  <si>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</si>
  <si>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</si>
  <si>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</si>
  <si>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</si>
  <si>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</si>
  <si>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</si>
  <si>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</si>
  <si>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</si>
  <si>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</si>
  <si>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</si>
  <si>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</si>
  <si>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</si>
  <si>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</si>
  <si>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</si>
  <si>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</si>
  <si>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</si>
  <si>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</si>
  <si>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</si>
  <si>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</si>
  <si>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</si>
  <si>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</si>
  <si>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</si>
  <si>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</si>
  <si>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</si>
  <si>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</si>
  <si>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</si>
  <si>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</si>
  <si>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</si>
  <si>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</si>
  <si>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</si>
  <si>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</si>
  <si>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</si>
  <si>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</si>
  <si>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</si>
  <si>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</si>
  <si>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</si>
  <si>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</si>
  <si>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</si>
  <si>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</si>
  <si>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</si>
  <si>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</si>
  <si>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</si>
  <si>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</si>
  <si>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</si>
  <si>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</si>
  <si>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</si>
  <si>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</si>
  <si>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</si>
  <si>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</si>
  <si>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</si>
  <si>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</si>
  <si>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</si>
  <si>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</si>
  <si>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</si>
  <si>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</si>
  <si>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</si>
  <si>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</si>
  <si>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</si>
  <si>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</si>
  <si>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</si>
  <si>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</si>
  <si>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</si>
  <si>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</si>
  <si>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</si>
  <si>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</si>
  <si>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</si>
  <si>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</si>
  <si>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</si>
  <si>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</si>
  <si>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</si>
  <si>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</si>
  <si>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</si>
  <si>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</si>
  <si>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</si>
  <si>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</si>
  <si>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</si>
  <si>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</si>
  <si>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</si>
  <si>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</si>
  <si>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</si>
  <si>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</si>
  <si>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</si>
  <si>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</si>
  <si>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s</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</si>
  <si>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</si>
  <si>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</si>
  <si>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</si>
  <si>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</si>
  <si>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</si>
  <si>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</si>
  <si>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</si>
  <si>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</si>
  <si>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</si>
  <si>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</si>
  <si>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</si>
  <si>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</si>
  <si>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</si>
  <si>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</si>
  <si>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</si>
  <si>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</si>
  <si>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</si>
  <si>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</si>
  <si>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</si>
  <si>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</si>
  <si>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</si>
  <si>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</si>
  <si>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</si>
  <si>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</si>
  <si>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</si>
  <si>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</si>
  <si>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</si>
  <si>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</si>
  <si>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</si>
  <si>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</si>
  <si>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</si>
  <si>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</si>
  <si>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</si>
  <si>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</si>
  <si>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</si>
  <si>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</si>
  <si>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</si>
  <si>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</si>
  <si>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</si>
  <si>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</si>
  <si>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</si>
  <si>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</si>
  <si>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</si>
  <si>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</si>
  <si>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</si>
  <si>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</si>
  <si>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</si>
  <si>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</si>
  <si>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</si>
  <si>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</si>
  <si>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</si>
  <si>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</si>
  <si>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</si>
  <si>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</si>
  <si>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</si>
  <si>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</si>
  <si>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</si>
  <si>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</si>
  <si>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</si>
  <si>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</si>
  <si>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</si>
  <si>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</si>
  <si>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</si>
  <si>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</si>
  <si>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</si>
  <si>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</si>
  <si>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</si>
  <si>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</si>
  <si>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</si>
  <si>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</si>
  <si>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</si>
  <si>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</si>
  <si>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</si>
  <si>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</si>
  <si>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</si>
  <si>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</si>
  <si>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</si>
  <si>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</si>
  <si>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</si>
  <si>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</si>
  <si>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</si>
  <si>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</si>
  <si>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</si>
  <si>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</si>
  <si>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</si>
  <si>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</si>
  <si>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</si>
  <si>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</si>
  <si>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</si>
  <si>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</si>
  <si>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</si>
  <si>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</si>
  <si>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</si>
  <si>
    <t>NTG Ratio</t>
  </si>
  <si>
    <t xml:space="preserve">Year </t>
  </si>
  <si>
    <t>Truckload Event Pilot Program</t>
  </si>
  <si>
    <t>Home Depot Home Appliance Market Uplift Conservation Fund Pilot Program</t>
  </si>
  <si>
    <t>Save on Energy Heating &amp; Cooling Program</t>
  </si>
  <si>
    <t>Business Refrigeration Incentives Local Program</t>
  </si>
  <si>
    <t>Table 8-4: Impact on Revenues - 2016 (according to billing dates)</t>
  </si>
  <si>
    <t>Table 8-5: Impact on Revenues - 2017 (according to billing dates)</t>
  </si>
  <si>
    <t>Table 8-6: LRAMVA - Street Light LED Adjustment SUMMARY (2016-2017)</t>
  </si>
  <si>
    <t>K:\Rates Group\SRA\LRAMVA\Street_Lights\[Summary of LED installations with rates from budget file.xlsx]Impact on Revenue since 2014</t>
  </si>
  <si>
    <t>Data copied from</t>
  </si>
  <si>
    <t>Rates switched 2016 &amp; 2017</t>
  </si>
  <si>
    <t>Dec forecasted</t>
  </si>
  <si>
    <t>Application Number</t>
  </si>
  <si>
    <t>City</t>
  </si>
  <si>
    <t>Completion Date</t>
  </si>
  <si>
    <t>Gross Reported Savings (kWh)</t>
  </si>
  <si>
    <t>Gross Verified Savings (kWh)</t>
  </si>
  <si>
    <t>Net Verified Savings (kWh)</t>
  </si>
  <si>
    <t>Persistence (Years)</t>
  </si>
  <si>
    <t>City of Markham</t>
  </si>
  <si>
    <t>8 years @ 100%, then 1 year @ 86.97%, then 1 year @ 82.01%, then 1 year @ 34.58%</t>
  </si>
  <si>
    <t>City of Barrie</t>
  </si>
  <si>
    <t>12 years @ 100%</t>
  </si>
  <si>
    <t>Town of Aurora</t>
  </si>
  <si>
    <t>12 years at 100%</t>
  </si>
  <si>
    <t>City of St Catharines</t>
  </si>
  <si>
    <t>City of Mississauga</t>
  </si>
  <si>
    <t>8 years @ 100%, then 4 more years @ 81.51%</t>
  </si>
  <si>
    <t>City of Hamilton</t>
  </si>
  <si>
    <t>Total NTG Ratio</t>
  </si>
  <si>
    <t xml:space="preserve">Net to Gross Ratio </t>
  </si>
  <si>
    <t>Average NTG Ratio</t>
  </si>
  <si>
    <t>Accum. Revenue Reduction (2014-2016)</t>
  </si>
  <si>
    <t>Accum. Revenue Reduction (2014-2017)</t>
  </si>
  <si>
    <t>Save on Energy Retrofit Program - SL only</t>
  </si>
  <si>
    <t>Save on Energy Retrofit Program reallocation after remove Street Lighting kWh savings</t>
  </si>
  <si>
    <t>Original</t>
  </si>
  <si>
    <t>reallocation</t>
  </si>
  <si>
    <t>GS&gt;50kW</t>
  </si>
  <si>
    <t>Large User (kW)</t>
  </si>
  <si>
    <t>2014 Verified final Actual Quantities</t>
  </si>
  <si>
    <t>2015 Actual Savings:</t>
  </si>
  <si>
    <t>2014 Actual Savings:</t>
  </si>
  <si>
    <t>Savings in 2014 from 2014 programs</t>
  </si>
  <si>
    <t>Savings in 2014 from 2011 programs</t>
  </si>
  <si>
    <t>Savings in 2014 from 2012 programs</t>
  </si>
  <si>
    <t>Savings in 2014 from 2013 programs</t>
  </si>
  <si>
    <t>(Under-achieve) / over-achieve</t>
  </si>
  <si>
    <t>Total Actual Lost Revenues in 2014</t>
  </si>
  <si>
    <t>Distribution Rates in 2014</t>
  </si>
  <si>
    <t>LRAMVA Balance based on Final Result</t>
  </si>
  <si>
    <t>2014 LRAMVA Balance in GL (as of Sep 30, 2017)</t>
  </si>
  <si>
    <t>Variance (true-up JE) (GL1568)</t>
  </si>
  <si>
    <t>Total Actual Lost Revenues in 2014 (calc.)</t>
  </si>
  <si>
    <t>variance</t>
  </si>
  <si>
    <t>Forecast Lost Revenues in 2014 (calc.)</t>
  </si>
  <si>
    <t>Variance</t>
  </si>
  <si>
    <t>2015 Verified final Actual Quantities</t>
  </si>
  <si>
    <t>Savings in 2015 from 2011 programs</t>
  </si>
  <si>
    <t>Savings in 2015 from 2012 programs</t>
  </si>
  <si>
    <t>Savings in 2015 from 2013 programs</t>
  </si>
  <si>
    <t>Savings in 2015 from 2015 programs</t>
  </si>
  <si>
    <t>Distribution Rates in 2015</t>
  </si>
  <si>
    <t>Total Actual Lost Revenues in 2015</t>
  </si>
  <si>
    <t>2015 LRAMVA Balance in GL (as of Sep 30, 2017)</t>
  </si>
  <si>
    <t>Total Actual Lost Revenues in 2015 (calc.)</t>
  </si>
  <si>
    <t>Forecast Lost Revenues in 2015 (calc.)</t>
  </si>
  <si>
    <t>Savings in 2015 from 2014 programs</t>
  </si>
  <si>
    <t>2016 Verified final Actual Quantities</t>
  </si>
  <si>
    <t>2016 Actual Savings:</t>
  </si>
  <si>
    <t>Savings in 2016 from 2011 programs</t>
  </si>
  <si>
    <t>Savings in 2016 from 2012 programs</t>
  </si>
  <si>
    <t>Savings in 2016 from 2013 programs</t>
  </si>
  <si>
    <t>Savings in 2016 from 2014 programs</t>
  </si>
  <si>
    <t>Savings in 2016 from 2016 programs</t>
  </si>
  <si>
    <t>Distribution Rates in 2016</t>
  </si>
  <si>
    <t>Total Actual Lost Revenues in 2016</t>
  </si>
  <si>
    <t>2016 LRAMVA Balance in GL (as of Sep 30, 2017)</t>
  </si>
  <si>
    <t>Total Actual Lost Revenues in 2016 (calc.)</t>
  </si>
  <si>
    <t>Forecast Lost Revenues in 2016 (calc.)</t>
  </si>
  <si>
    <t>Savings in 2016 from 2015 programs</t>
  </si>
  <si>
    <t>2017 Verified final Actual Quantities</t>
  </si>
  <si>
    <t>2017 Actual Savings:</t>
  </si>
  <si>
    <t>Savings in 2017 from 2011 programs</t>
  </si>
  <si>
    <t>Savings in 2017 from 2012 programs</t>
  </si>
  <si>
    <t>Savings in 2017 from 2013 programs</t>
  </si>
  <si>
    <t>Savings in 2017 from 2014 programs</t>
  </si>
  <si>
    <t>Savings in 2017 from 2015 programs</t>
  </si>
  <si>
    <t>Savings in 2017 from 2017 programs</t>
  </si>
  <si>
    <t>Distribution Rates in 2017</t>
  </si>
  <si>
    <t>Total Actual Lost Revenues in 2017</t>
  </si>
  <si>
    <t>Total Actual Lost Revenues in 2017 (calc.)</t>
  </si>
  <si>
    <t>Forecast Lost Revenues in 2017 (calc.)</t>
  </si>
  <si>
    <t>Savings in 2017 from 2016 programs</t>
  </si>
  <si>
    <t>2017 LRAMVA Balance in GL (as of Jan 31, 2017)</t>
  </si>
  <si>
    <t>Variance (2017 Q4 JE) (GL1568)</t>
  </si>
  <si>
    <t>Note: Q3 entry (JE0947) will be reversed.</t>
  </si>
  <si>
    <t>Note: variance due to OEB approved rate was applied, rather than equivalent calendar rate in the Rates table</t>
  </si>
  <si>
    <t>Total LRAMVA based on Final Result (2014-2017)</t>
  </si>
  <si>
    <t>Total LRAMVA Balance in GL</t>
  </si>
  <si>
    <t>2017 LRAMVA based on Final Result</t>
  </si>
  <si>
    <t>2017 LRAMVA Balance in GL (Feb-Sep, 2017)</t>
  </si>
  <si>
    <t>Variance (Q4, not revise Q3 entry)</t>
  </si>
  <si>
    <t>Principale</t>
  </si>
  <si>
    <t>Full Year Savings</t>
  </si>
  <si>
    <t>Half Year Savings</t>
  </si>
  <si>
    <t>Provision</t>
  </si>
  <si>
    <t>2014-2016 G/L</t>
  </si>
  <si>
    <t>Jan/Feb Stub Pd. G/L</t>
  </si>
  <si>
    <t>Feb-Nov G/L</t>
  </si>
  <si>
    <t>Cumulative GL Balance</t>
  </si>
  <si>
    <t>YTD LRAMVA Revenue</t>
  </si>
  <si>
    <t>D</t>
  </si>
  <si>
    <t>E</t>
  </si>
  <si>
    <t>F</t>
  </si>
  <si>
    <t>G=D+E+F</t>
  </si>
  <si>
    <t>H=A-G</t>
  </si>
  <si>
    <t>I=F+H</t>
  </si>
  <si>
    <t>2016 Closing G/L</t>
  </si>
  <si>
    <t>Principal</t>
  </si>
  <si>
    <t>2014 LRAMVA</t>
  </si>
  <si>
    <t>2015 LRAMVA</t>
  </si>
  <si>
    <t>2016 LRAMVA</t>
  </si>
  <si>
    <t>2017 LRAMVA</t>
  </si>
  <si>
    <t>Total Principal</t>
  </si>
  <si>
    <t>cc</t>
  </si>
  <si>
    <t>Jan Activities</t>
  </si>
  <si>
    <t>Feb-Nov Activities</t>
  </si>
  <si>
    <t>2014 Street Light</t>
  </si>
  <si>
    <t>2015 Street Light</t>
  </si>
  <si>
    <t>2016 Street Light</t>
  </si>
  <si>
    <t>2017 Street Light</t>
  </si>
  <si>
    <t>GL 1568 Balance</t>
  </si>
  <si>
    <t>Opening Balance</t>
  </si>
  <si>
    <t>Calculate balance</t>
  </si>
  <si>
    <t>Nov Ending Balance per GL</t>
  </si>
  <si>
    <t>Var</t>
  </si>
  <si>
    <t>Nov Balance</t>
  </si>
  <si>
    <t>2014-2017 LRAMVA Subtotal</t>
  </si>
  <si>
    <t xml:space="preserve">Revised 2017 Q4 LRAMVA </t>
  </si>
  <si>
    <t>Interest on 2013 Balance</t>
  </si>
  <si>
    <t>Interest on 2011-2012 Balance</t>
  </si>
  <si>
    <t>2011-2012 LRAMVA</t>
  </si>
  <si>
    <t>2013 LRAMVA</t>
  </si>
  <si>
    <t>Interest on 2014 Balance</t>
  </si>
  <si>
    <t>Interest on 2015 Balance</t>
  </si>
  <si>
    <t>Interest on 2016 Balance</t>
  </si>
  <si>
    <t>Interest on 2017 Balance</t>
  </si>
  <si>
    <t>2014-2017 Interest Subtotal</t>
  </si>
  <si>
    <t>Total Interest</t>
  </si>
  <si>
    <t>Prior 2014 LRAMVA Subtotal</t>
  </si>
  <si>
    <t>Interest on Prior 2014 Balance</t>
  </si>
  <si>
    <t>Dec Clean up</t>
  </si>
  <si>
    <t>Dec Interest</t>
  </si>
  <si>
    <t>Dec Balance Before Clean up</t>
  </si>
  <si>
    <t>Transfer to GL1595</t>
  </si>
  <si>
    <t>Balance after transfer</t>
  </si>
  <si>
    <t>K</t>
  </si>
  <si>
    <t>H=A-G-K</t>
  </si>
  <si>
    <t>Dec Interest Booked</t>
  </si>
  <si>
    <t>I=F+H+K</t>
  </si>
  <si>
    <t>Q4 Entry</t>
  </si>
  <si>
    <t>Ending Balance</t>
  </si>
  <si>
    <t>Prescribed
Interest Rate</t>
  </si>
  <si>
    <t>Interest by Year</t>
  </si>
  <si>
    <t># of days</t>
  </si>
  <si>
    <t>Daily Rate</t>
  </si>
  <si>
    <t>Interest on 2015 Activities</t>
  </si>
  <si>
    <t>Interest on 2016 Activities</t>
  </si>
  <si>
    <t>Interest on 2017 Activities</t>
  </si>
  <si>
    <t>Dec Rider</t>
  </si>
  <si>
    <t>Dec Balance before Clean up</t>
  </si>
  <si>
    <t>Total Balance (Principal + Interest)</t>
  </si>
  <si>
    <t>True-up JE</t>
  </si>
  <si>
    <t>Final total</t>
  </si>
  <si>
    <t>Sep Q3 Entry</t>
  </si>
  <si>
    <t>Balance In GL</t>
  </si>
  <si>
    <t>2017 September Q3 reversal</t>
  </si>
  <si>
    <t>2017 Jan Entry</t>
  </si>
  <si>
    <t>Journal Entry</t>
  </si>
  <si>
    <t>ALECTRA PowerStream Inc.</t>
  </si>
  <si>
    <t>Document type / Number / Co</t>
  </si>
  <si>
    <t>JE / 12321 / 900</t>
  </si>
  <si>
    <t>Model                          ______</t>
  </si>
  <si>
    <t>Reverse or Void:           ______</t>
  </si>
  <si>
    <t>Remark:</t>
  </si>
  <si>
    <t>LRAMVA 2014 True-up</t>
  </si>
  <si>
    <t>[PS rate zone]</t>
  </si>
  <si>
    <t>A13-G26</t>
  </si>
  <si>
    <t>G/L Date:</t>
  </si>
  <si>
    <t xml:space="preserve">Batch #  </t>
  </si>
  <si>
    <t>Document #</t>
  </si>
  <si>
    <t>BU.Object.Subsidiary</t>
  </si>
  <si>
    <t>Subledger</t>
  </si>
  <si>
    <t>Type</t>
  </si>
  <si>
    <t xml:space="preserve">Description </t>
  </si>
  <si>
    <t>Debit</t>
  </si>
  <si>
    <t>Credit</t>
  </si>
  <si>
    <t>900.1568.7612</t>
  </si>
  <si>
    <t>True-up 2014 for LRAMVA  - Residential</t>
  </si>
  <si>
    <t>900.1568.7622</t>
  </si>
  <si>
    <t>True-up 2014 for LRAMVA - GS&lt;50</t>
  </si>
  <si>
    <t>900.1568.7672</t>
  </si>
  <si>
    <t>True-up 2014 for LRAMVA - GS&gt;50</t>
  </si>
  <si>
    <t>900.1568.7642</t>
  </si>
  <si>
    <t>True-up 2014 for LRAMVA - S/L</t>
  </si>
  <si>
    <t>900.1568.7632</t>
  </si>
  <si>
    <t>True-up 2014 for LRAMVA - LU</t>
  </si>
  <si>
    <t>900.1568.7652</t>
  </si>
  <si>
    <t>True-up 2014 for LRAMVA - Sentinel</t>
  </si>
  <si>
    <t>995.4080.7612</t>
  </si>
  <si>
    <t>True-up 2014 for LRAMVA - Residential</t>
  </si>
  <si>
    <t>995.4080.7622</t>
  </si>
  <si>
    <t>995.4080.7672</t>
  </si>
  <si>
    <t>995.4080.7642</t>
  </si>
  <si>
    <t>995.4080.7632</t>
  </si>
  <si>
    <t>995.4080.7652</t>
  </si>
  <si>
    <t>900.1568.9030</t>
  </si>
  <si>
    <t>Interest on 2014 balance</t>
  </si>
  <si>
    <t>995.4405.9030</t>
  </si>
  <si>
    <t>Interest income nonrsva reg. asset</t>
  </si>
  <si>
    <t>CONTROL TOTAL :</t>
  </si>
  <si>
    <t xml:space="preserve"> </t>
  </si>
  <si>
    <t>TOTAL :</t>
  </si>
  <si>
    <t xml:space="preserve">Prepared by : </t>
  </si>
  <si>
    <t>Roland Yumul</t>
  </si>
  <si>
    <t>RJ Yumul</t>
  </si>
  <si>
    <t>Date:</t>
  </si>
  <si>
    <t>Authorized by :</t>
  </si>
  <si>
    <t>Tom Barrett</t>
  </si>
  <si>
    <t>Input by:</t>
  </si>
  <si>
    <t>Posted by:</t>
  </si>
  <si>
    <t xml:space="preserve">  </t>
  </si>
  <si>
    <t>JE / 12322 / 900</t>
  </si>
  <si>
    <t>LRAMVA 2015 True-up</t>
  </si>
  <si>
    <t>A13-G28</t>
  </si>
  <si>
    <t>True-up 2015 for LRAMVA  - Residential</t>
  </si>
  <si>
    <t>True-up 2015 for LRAMVA - GS&lt;50</t>
  </si>
  <si>
    <t>True-up 2015 for LRAMVA - GS&gt;50</t>
  </si>
  <si>
    <t>True-up 2015 for LRAMVA - S/L</t>
  </si>
  <si>
    <t>True-up 2015 for LRAMVA - LU</t>
  </si>
  <si>
    <t>900.1568.7662</t>
  </si>
  <si>
    <t>True-up 2015 for LRAMVA - USL</t>
  </si>
  <si>
    <t>True-up 2015 for LRAMVA - Sentinel</t>
  </si>
  <si>
    <t>True-up 2015 for LRAMVA - Residential</t>
  </si>
  <si>
    <t>995.4080.7662</t>
  </si>
  <si>
    <t>Interest on 2015 balance</t>
  </si>
  <si>
    <t>JE / 12323 / 900</t>
  </si>
  <si>
    <t>LRAMVA 2016 True-up</t>
  </si>
  <si>
    <t>True-up 2016 for LRAMVA  - Residential</t>
  </si>
  <si>
    <t>True-up 2016 for LRAMVA - GS&lt;50</t>
  </si>
  <si>
    <t>True-up 2016 for LRAMVA - GS&gt;50</t>
  </si>
  <si>
    <t>True-up 2016 for LRAMVA - S/L</t>
  </si>
  <si>
    <t>True-up 2016 for LRAMVA - LU</t>
  </si>
  <si>
    <t>True-up 2016 for LRAMVA - Sentinel</t>
  </si>
  <si>
    <t>True-up 2016 for LRAMVA - Residential</t>
  </si>
  <si>
    <t>Interest on 2016 balance</t>
  </si>
  <si>
    <t>JE / 12324 / 900</t>
  </si>
  <si>
    <t xml:space="preserve">2017 Q4 LRAMVA </t>
  </si>
  <si>
    <t>A13-G22</t>
  </si>
  <si>
    <t>Q4 Accrual for LRAMVA  - Residential</t>
  </si>
  <si>
    <t>Q4 Accrual for LRAMVA - GS&lt;50</t>
  </si>
  <si>
    <t>Q4 Accrual for LRAMVA - GS&gt;50</t>
  </si>
  <si>
    <t>Q4 Accrual for LRAMVA - S/L</t>
  </si>
  <si>
    <t>Q4 Accrual for LRAMVA - Residential</t>
  </si>
  <si>
    <t>Interest on 2017 balance</t>
  </si>
  <si>
    <t>JE / 12326 / 900</t>
  </si>
  <si>
    <t>Reversal Q3 LRAMVA Feb-Sept YTD</t>
  </si>
  <si>
    <t>A13-G20</t>
  </si>
  <si>
    <t>Accrual for LRAMVA  - Residential</t>
  </si>
  <si>
    <t>Accrual for LRAMVA - GS&lt;50</t>
  </si>
  <si>
    <t>Accrual for LRAMVA - S/L</t>
  </si>
  <si>
    <t>Accrual for LRAMVA - GS&gt;50</t>
  </si>
  <si>
    <t>Accrual for LRAMVA - Residential</t>
  </si>
  <si>
    <t>cheque amt</t>
  </si>
  <si>
    <t>DIFF</t>
  </si>
  <si>
    <t>bulk</t>
  </si>
  <si>
    <t>gst</t>
  </si>
  <si>
    <t>JE / 12325 / 900</t>
  </si>
  <si>
    <t>TAB:</t>
  </si>
  <si>
    <t>Sheet1</t>
  </si>
  <si>
    <t>RANGE:</t>
  </si>
  <si>
    <t>To Transfer LRAMVA Balance</t>
  </si>
  <si>
    <t>Batch #</t>
  </si>
  <si>
    <t>BU.GL.ELE</t>
  </si>
  <si>
    <t>W/O</t>
  </si>
  <si>
    <t>Debit (+)</t>
  </si>
  <si>
    <t>Credit (-)</t>
  </si>
  <si>
    <t>To Transfer 2011-2012 LRAMVA Bal</t>
  </si>
  <si>
    <t>300.1595.0000</t>
  </si>
  <si>
    <t>To Transfer 2013 LRAMVA Balance</t>
  </si>
  <si>
    <t>Jing Cheng</t>
  </si>
  <si>
    <t>Ties to 2017 DVA Balance</t>
  </si>
  <si>
    <t>Conservation Instant Coupons Initiative</t>
  </si>
  <si>
    <t>SBL</t>
  </si>
  <si>
    <t>Commissioning</t>
  </si>
  <si>
    <t>Audit Funding</t>
  </si>
  <si>
    <t>EEM</t>
  </si>
  <si>
    <t>REM</t>
  </si>
  <si>
    <t>Low Income</t>
  </si>
  <si>
    <t>HAP</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</si>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</sst>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 numFmtId="286" formatCode="[$-409]d\-mmm\-yyyy;@"/>
    <numFmt numFmtId="287" formatCode="dd\-mmm\-yy_)"/>
    <numFmt numFmtId="288" formatCode="[$-1009]d/mmm/yy;@"/>
  </numFmts>
  <fonts count="275">
    <font>
      <sz val="11"/>
      <color theme="1"/>
      <name val="Calibri"/>
      <family val="2"/>
      <scheme val="minor"/>
    </font>
    <font>
      <sz val="11"/>
      <color theme="1"/>
      <name val="Calibri"/>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
      <b/>
      <sz val="11"/>
      <color rgb="FF000000"/>
      <name val="Arial"/>
      <family val="2"/>
    </font>
    <font>
      <i/>
      <sz val="8"/>
      <color theme="1"/>
      <name val="Calibri"/>
      <family val="2"/>
      <scheme val="minor"/>
    </font>
    <font>
      <i/>
      <sz val="10"/>
      <color theme="5" tint="-0.249977111117893"/>
      <name val="Calibri"/>
      <family val="2"/>
      <scheme val="minor"/>
    </font>
    <font>
      <i/>
      <sz val="8"/>
      <color theme="5" tint="-0.249977111117893"/>
      <name val="Calibri"/>
      <family val="2"/>
      <scheme val="minor"/>
    </font>
    <font>
      <b/>
      <sz val="10"/>
      <color rgb="FF00B050"/>
      <name val="Arial Narrow"/>
      <family val="2"/>
    </font>
    <font>
      <b/>
      <sz val="18"/>
      <name val="Arial"/>
      <family val="2"/>
    </font>
    <font>
      <sz val="18"/>
      <name val="Arial"/>
      <family val="2"/>
    </font>
    <font>
      <b/>
      <i/>
      <sz val="14"/>
      <name val="Arial"/>
      <family val="2"/>
    </font>
    <font>
      <sz val="14"/>
      <name val="Arial"/>
      <family val="2"/>
    </font>
    <font>
      <b/>
      <u/>
      <sz val="14"/>
      <name val="Arial"/>
      <family val="2"/>
    </font>
    <font>
      <u/>
      <sz val="10"/>
      <name val="Arial"/>
      <family val="2"/>
    </font>
    <font>
      <u/>
      <sz val="14"/>
      <name val="Arial"/>
      <family val="2"/>
    </font>
    <font>
      <b/>
      <i/>
      <sz val="10"/>
      <name val="SWISS"/>
    </font>
    <font>
      <b/>
      <sz val="12"/>
      <name val="SWISS"/>
    </font>
    <font>
      <sz val="12"/>
      <name val="SWISS"/>
    </font>
    <font>
      <sz val="14"/>
      <name val="Freestyle Script"/>
      <family val="4"/>
    </font>
    <font>
      <sz val="16"/>
      <color theme="4"/>
      <name val="Rage Italic"/>
      <family val="4"/>
    </font>
    <font>
      <sz val="11"/>
      <name val="SWISS"/>
    </font>
    <font>
      <sz val="10"/>
      <name val="SWISS"/>
    </font>
    <font>
      <sz val="8"/>
      <name val="SWISS"/>
    </font>
    <font>
      <b/>
      <sz val="10"/>
      <name val="SWISS"/>
    </font>
    <font>
      <sz val="16"/>
      <color rgb="FF0070C0"/>
      <name val="Rage Italic"/>
      <family val="4"/>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99"/>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bottom style="medium">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9772">
    <xf numFmtId="0" fontId="0" fillId="0" borderId="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44"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78" fontId="13" fillId="0" borderId="0" applyFont="0" applyFill="0" applyBorder="0" applyAlignment="0" applyProtection="0"/>
    <xf numFmtId="0" fontId="79" fillId="0" borderId="0"/>
    <xf numFmtId="0" fontId="80" fillId="0" borderId="0" applyFont="0" applyFill="0" applyBorder="0" applyAlignment="0" applyProtection="0"/>
    <xf numFmtId="179" fontId="13" fillId="0" borderId="0" applyFont="0" applyFill="0" applyBorder="0" applyAlignment="0" applyProtection="0"/>
    <xf numFmtId="175" fontId="13" fillId="0" borderId="0" applyFont="0" applyFill="0" applyBorder="0" applyAlignment="0" applyProtection="0"/>
    <xf numFmtId="180" fontId="81" fillId="0" borderId="0" applyFont="0" applyFill="0" applyBorder="0" applyAlignment="0" applyProtection="0"/>
    <xf numFmtId="181"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2" fontId="13" fillId="0" borderId="0" applyFont="0" applyFill="0" applyBorder="0" applyAlignment="0" applyProtection="0"/>
    <xf numFmtId="183" fontId="81"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186" fontId="81"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Protection="0">
      <alignment horizontal="right"/>
    </xf>
    <xf numFmtId="190" fontId="81" fillId="0" borderId="0" applyFont="0" applyFill="0" applyBorder="0" applyAlignment="0" applyProtection="0"/>
    <xf numFmtId="41" fontId="81" fillId="0" borderId="0" applyFont="0" applyFill="0" applyBorder="0" applyAlignment="0" applyProtection="0"/>
    <xf numFmtId="191" fontId="13" fillId="0" borderId="0" applyFont="0" applyFill="0" applyBorder="0" applyAlignment="0" applyProtection="0"/>
    <xf numFmtId="172" fontId="13" fillId="0" borderId="0" applyFont="0" applyFill="0" applyBorder="0" applyAlignment="0" applyProtection="0"/>
    <xf numFmtId="192" fontId="81"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43"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196" fontId="80" fillId="0" borderId="0" applyNumberFormat="0" applyFill="0">
      <alignment horizontal="left" vertical="center" wrapText="1"/>
    </xf>
    <xf numFmtId="5" fontId="84" fillId="0" borderId="0" applyFont="0" applyFill="0" applyBorder="0" applyAlignment="0" applyProtection="0"/>
    <xf numFmtId="8" fontId="84" fillId="0" borderId="0" applyFont="0" applyFill="0" applyBorder="0" applyAlignment="0" applyProtection="0"/>
    <xf numFmtId="0" fontId="85" fillId="0" borderId="0" applyFont="0" applyFill="0" applyBorder="0" applyAlignment="0" applyProtection="0"/>
    <xf numFmtId="197" fontId="85" fillId="0" borderId="0" applyFont="0" applyFill="0" applyBorder="0" applyAlignment="0" applyProtection="0"/>
    <xf numFmtId="0" fontId="80" fillId="25" borderId="0" applyFont="0" applyFill="0" applyProtection="0"/>
    <xf numFmtId="178" fontId="13" fillId="0" borderId="0"/>
    <xf numFmtId="198"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9"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42" fontId="88" fillId="0" borderId="0" applyFont="0"/>
    <xf numFmtId="42" fontId="88" fillId="0" borderId="65" applyFont="0"/>
    <xf numFmtId="41" fontId="88" fillId="0" borderId="0" applyFont="0"/>
    <xf numFmtId="200" fontId="89" fillId="0" borderId="10">
      <alignment horizontal="right"/>
    </xf>
    <xf numFmtId="200" fontId="89" fillId="0" borderId="10" applyFill="0">
      <alignment horizontal="right"/>
    </xf>
    <xf numFmtId="3" fontId="13" fillId="0" borderId="10" applyFill="0">
      <alignment horizontal="right"/>
    </xf>
    <xf numFmtId="201" fontId="89" fillId="0" borderId="10" applyFill="0">
      <alignment horizontal="right"/>
    </xf>
    <xf numFmtId="202" fontId="12" fillId="62" borderId="66">
      <alignment horizontal="center" vertical="center"/>
    </xf>
    <xf numFmtId="0" fontId="13" fillId="0" borderId="0"/>
    <xf numFmtId="178" fontId="90" fillId="0" borderId="0"/>
    <xf numFmtId="0" fontId="13" fillId="0" borderId="0"/>
    <xf numFmtId="203" fontId="13" fillId="0" borderId="10">
      <alignment horizontal="right"/>
      <protection locked="0"/>
    </xf>
    <xf numFmtId="6" fontId="89" fillId="0" borderId="10" applyNumberFormat="0" applyFont="0" applyBorder="0" applyProtection="0">
      <alignment horizontal="right"/>
    </xf>
    <xf numFmtId="204"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5"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06" fontId="81" fillId="0" borderId="0" applyFill="0" applyBorder="0" applyAlignment="0"/>
    <xf numFmtId="207" fontId="81" fillId="0" borderId="0" applyFill="0" applyBorder="0" applyAlignment="0"/>
    <xf numFmtId="169" fontId="81" fillId="0" borderId="0" applyFill="0" applyBorder="0" applyAlignment="0"/>
    <xf numFmtId="208" fontId="81" fillId="0" borderId="0" applyFill="0" applyBorder="0" applyAlignment="0"/>
    <xf numFmtId="169" fontId="13"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78" fontId="99" fillId="66" borderId="0" applyNumberFormat="0" applyFont="0" applyBorder="0" applyAlignment="0">
      <alignment horizontal="left"/>
    </xf>
    <xf numFmtId="0" fontId="27" fillId="0" borderId="20" applyNumberFormat="0" applyFill="0" applyAlignment="0" applyProtection="0"/>
    <xf numFmtId="209"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0"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67" fontId="86" fillId="0" borderId="0" applyBorder="0">
      <alignment horizontal="right"/>
    </xf>
    <xf numFmtId="167" fontId="86" fillId="0" borderId="68" applyAlignment="0">
      <alignment horizontal="right"/>
    </xf>
    <xf numFmtId="211" fontId="81" fillId="0" borderId="0"/>
    <xf numFmtId="211" fontId="81" fillId="0" borderId="0"/>
    <xf numFmtId="211" fontId="81" fillId="0" borderId="0"/>
    <xf numFmtId="211" fontId="81" fillId="0" borderId="0"/>
    <xf numFmtId="211" fontId="81" fillId="0" borderId="0"/>
    <xf numFmtId="211" fontId="81" fillId="0" borderId="0"/>
    <xf numFmtId="211" fontId="81" fillId="0" borderId="0"/>
    <xf numFmtId="211" fontId="81" fillId="0" borderId="0"/>
    <xf numFmtId="41" fontId="104" fillId="0" borderId="0" applyFont="0" applyBorder="0">
      <alignment horizontal="right"/>
    </xf>
    <xf numFmtId="206" fontId="81" fillId="0" borderId="0" applyFont="0" applyFill="0" applyBorder="0" applyAlignment="0" applyProtection="0"/>
    <xf numFmtId="212"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2" fontId="13" fillId="0" borderId="0" applyFont="0" applyFill="0" applyBorder="0" applyAlignment="0" applyProtection="0">
      <alignment horizontal="right"/>
    </xf>
    <xf numFmtId="21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3" fillId="0" borderId="0" applyFont="0" applyFill="0" applyBorder="0" applyAlignment="0" applyProtection="0"/>
    <xf numFmtId="43" fontId="106"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02" fillId="0" borderId="0" applyFont="0" applyFill="0" applyBorder="0" applyAlignment="0" applyProtection="0"/>
    <xf numFmtId="43" fontId="10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4" fontId="10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10" fillId="0" borderId="0" applyFont="0" applyFill="0" applyBorder="0" applyAlignment="0" applyProtection="0"/>
    <xf numFmtId="178"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5" fontId="13" fillId="0" borderId="0" applyFill="0" applyBorder="0">
      <alignment horizontal="right"/>
      <protection locked="0"/>
    </xf>
    <xf numFmtId="207" fontId="81" fillId="0" borderId="0" applyFont="0" applyFill="0" applyBorder="0" applyAlignment="0" applyProtection="0"/>
    <xf numFmtId="216" fontId="38" fillId="0" borderId="0">
      <alignment horizontal="right"/>
    </xf>
    <xf numFmtId="8" fontId="114" fillId="0" borderId="70">
      <protection locked="0"/>
    </xf>
    <xf numFmtId="0" fontId="105" fillId="0" borderId="0" applyFont="0" applyFill="0" applyBorder="0" applyProtection="0">
      <alignment horizontal="right"/>
    </xf>
    <xf numFmtId="187" fontId="1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78" fillId="0" borderId="0" applyFont="0" applyFill="0" applyBorder="0" applyAlignment="0" applyProtection="0"/>
    <xf numFmtId="44" fontId="92" fillId="0" borderId="0" applyFont="0" applyFill="0" applyBorder="0" applyAlignment="0" applyProtection="0"/>
    <xf numFmtId="1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5" fontId="108" fillId="0" borderId="0" applyFont="0" applyFill="0" applyBorder="0" applyAlignment="0" applyProtection="0"/>
    <xf numFmtId="165" fontId="13" fillId="0" borderId="0" applyFont="0" applyFill="0" applyBorder="0" applyAlignment="0" applyProtection="0"/>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44" fontId="13" fillId="0" borderId="0" applyFont="0" applyFill="0" applyBorder="0" applyAlignment="0" applyProtection="0"/>
    <xf numFmtId="44" fontId="20" fillId="0" borderId="0" applyFont="0" applyFill="0" applyBorder="0" applyAlignment="0" applyProtection="0"/>
    <xf numFmtId="165" fontId="7" fillId="0" borderId="0" applyFont="0" applyFill="0" applyBorder="0" applyAlignment="0" applyProtection="0"/>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8" fontId="1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65" fontId="109" fillId="0" borderId="0" applyFont="0" applyFill="0" applyBorder="0" applyAlignment="0" applyProtection="0"/>
    <xf numFmtId="44" fontId="78"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19" fontId="81" fillId="0" borderId="0" applyFont="0" applyFill="0" applyBorder="0" applyProtection="0">
      <alignment horizontal="right"/>
    </xf>
    <xf numFmtId="220" fontId="109" fillId="0" borderId="71" applyFont="0" applyFill="0" applyBorder="0" applyAlignment="0" applyProtection="0"/>
    <xf numFmtId="221" fontId="89" fillId="0" borderId="0" applyFont="0" applyFill="0" applyBorder="0" applyAlignment="0" applyProtection="0">
      <alignment vertical="center"/>
    </xf>
    <xf numFmtId="222"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3" fontId="79" fillId="0" borderId="72" applyNumberFormat="0" applyFill="0">
      <alignment horizontal="right"/>
    </xf>
    <xf numFmtId="223" fontId="79" fillId="0" borderId="72" applyNumberFormat="0" applyFill="0">
      <alignment horizontal="right"/>
    </xf>
    <xf numFmtId="1" fontId="116" fillId="0" borderId="0"/>
    <xf numFmtId="224" fontId="99" fillId="0" borderId="0" applyFont="0" applyFill="0" applyBorder="0" applyProtection="0">
      <alignment horizontal="right"/>
    </xf>
    <xf numFmtId="225" fontId="82" fillId="65" borderId="9" applyFont="0" applyFill="0" applyBorder="0" applyAlignment="0" applyProtection="0"/>
    <xf numFmtId="226" fontId="109" fillId="0" borderId="0" applyFont="0" applyFill="0" applyBorder="0" applyAlignment="0" applyProtection="0"/>
    <xf numFmtId="226" fontId="109" fillId="0" borderId="0" applyFont="0" applyFill="0" applyBorder="0" applyAlignment="0" applyProtection="0"/>
    <xf numFmtId="227" fontId="86" fillId="0" borderId="5" applyFont="0" applyFill="0" applyBorder="0" applyAlignment="0" applyProtection="0"/>
    <xf numFmtId="179" fontId="13" fillId="0" borderId="0" applyFont="0" applyFill="0" applyBorder="0" applyAlignment="0" applyProtection="0"/>
    <xf numFmtId="228" fontId="107" fillId="0" borderId="0" applyFont="0" applyFill="0" applyBorder="0" applyAlignment="0" applyProtection="0"/>
    <xf numFmtId="14" fontId="20" fillId="0" borderId="0" applyFill="0" applyBorder="0" applyAlignment="0"/>
    <xf numFmtId="0" fontId="13" fillId="0" borderId="0">
      <alignment horizontal="left" vertical="top"/>
    </xf>
    <xf numFmtId="42" fontId="117" fillId="0" borderId="0"/>
    <xf numFmtId="0" fontId="109" fillId="0" borderId="0"/>
    <xf numFmtId="41" fontId="13" fillId="0" borderId="0" applyFont="0" applyFill="0" applyBorder="0" applyAlignment="0" applyProtection="0"/>
    <xf numFmtId="43" fontId="13" fillId="0" borderId="0" applyFont="0" applyFill="0" applyBorder="0" applyAlignment="0" applyProtection="0"/>
    <xf numFmtId="0" fontId="118" fillId="0" borderId="0">
      <protection locked="0"/>
    </xf>
    <xf numFmtId="0" fontId="13" fillId="0" borderId="0"/>
    <xf numFmtId="42" fontId="81" fillId="0" borderId="0"/>
    <xf numFmtId="167" fontId="13" fillId="0" borderId="73" applyNumberFormat="0" applyFont="0" applyFill="0" applyAlignment="0" applyProtection="0"/>
    <xf numFmtId="167" fontId="13" fillId="0" borderId="73" applyNumberFormat="0" applyFont="0" applyFill="0" applyAlignment="0" applyProtection="0"/>
    <xf numFmtId="167" fontId="13" fillId="0" borderId="73" applyNumberFormat="0" applyFont="0" applyFill="0" applyAlignment="0" applyProtection="0"/>
    <xf numFmtId="42" fontId="119" fillId="0" borderId="0" applyFill="0" applyBorder="0" applyAlignment="0" applyProtection="0"/>
    <xf numFmtId="1" fontId="99" fillId="0" borderId="0"/>
    <xf numFmtId="229" fontId="120" fillId="0" borderId="0">
      <protection locked="0"/>
    </xf>
    <xf numFmtId="229" fontId="120" fillId="0" borderId="0">
      <protection locked="0"/>
    </xf>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26" fillId="8" borderId="29" applyNumberFormat="0" applyAlignment="0" applyProtection="0"/>
    <xf numFmtId="230"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1" fontId="102" fillId="68" borderId="11">
      <alignment horizontal="left"/>
    </xf>
    <xf numFmtId="1" fontId="122" fillId="69" borderId="43" applyNumberFormat="0" applyBorder="0" applyAlignment="0">
      <alignment horizontal="centerContinuous" vertical="center"/>
      <protection locked="0"/>
    </xf>
    <xf numFmtId="232" fontId="13" fillId="0" borderId="0">
      <protection locked="0"/>
    </xf>
    <xf numFmtId="210"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3" fontId="13" fillId="71" borderId="34" applyNumberFormat="0" applyFont="0" applyBorder="0" applyAlignment="0" applyProtection="0"/>
    <xf numFmtId="182" fontId="13" fillId="0" borderId="0" applyFont="0" applyFill="0" applyBorder="0" applyAlignment="0" applyProtection="0">
      <alignment horizontal="right"/>
    </xf>
    <xf numFmtId="178"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4" fontId="88" fillId="0" borderId="0">
      <alignment horizontal="centerContinuous"/>
    </xf>
    <xf numFmtId="0" fontId="135" fillId="0" borderId="75" applyNumberFormat="0" applyFill="0" applyBorder="0" applyAlignment="0" applyProtection="0">
      <alignment horizontal="left"/>
    </xf>
    <xf numFmtId="234"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5"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36"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37"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38" fontId="146" fillId="0" borderId="78" applyFont="0" applyFill="0" applyBorder="0" applyAlignment="0" applyProtection="0"/>
    <xf numFmtId="239"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0" fontId="153" fillId="75" borderId="0" applyBorder="0" applyAlignment="0">
      <alignment horizontal="right"/>
    </xf>
    <xf numFmtId="41"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242" fontId="7" fillId="0" borderId="0" applyFont="0" applyFill="0" applyBorder="0" applyAlignment="0" applyProtection="0"/>
    <xf numFmtId="243"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4" fontId="13" fillId="0" borderId="0" applyFont="0" applyFill="0" applyBorder="0" applyAlignment="0" applyProtection="0"/>
    <xf numFmtId="245" fontId="7" fillId="0" borderId="0" applyFont="0" applyFill="0" applyBorder="0" applyAlignment="0" applyProtection="0"/>
    <xf numFmtId="246" fontId="13" fillId="0" borderId="0" applyFont="0" applyFill="0" applyBorder="0" applyAlignment="0" applyProtection="0"/>
    <xf numFmtId="247" fontId="13" fillId="0" borderId="0">
      <protection locked="0"/>
    </xf>
    <xf numFmtId="227" fontId="109" fillId="65" borderId="0">
      <alignment horizontal="center"/>
    </xf>
    <xf numFmtId="248" fontId="107" fillId="0" borderId="0" applyFont="0" applyFill="0" applyBorder="0" applyProtection="0">
      <alignment horizontal="right"/>
    </xf>
    <xf numFmtId="249" fontId="13" fillId="0" borderId="0" applyFont="0" applyFill="0" applyBorder="0" applyAlignment="0" applyProtection="0"/>
    <xf numFmtId="175"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67"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37"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37" fontId="157" fillId="0" borderId="0" applyNumberFormat="0" applyFill="0" applyBorder="0" applyAlignment="0" applyProtection="0">
      <alignment vertical="center"/>
    </xf>
    <xf numFmtId="1" fontId="85" fillId="0" borderId="0"/>
    <xf numFmtId="250" fontId="158" fillId="0" borderId="0"/>
    <xf numFmtId="37" fontId="82" fillId="77" borderId="0" applyFont="0" applyFill="0" applyBorder="0" applyAlignment="0" applyProtection="0"/>
    <xf numFmtId="229" fontId="13" fillId="0" borderId="0" applyFont="0" applyFill="0" applyBorder="0" applyAlignment="0"/>
    <xf numFmtId="251" fontId="109" fillId="0" borderId="0" applyFont="0" applyFill="0" applyBorder="0" applyAlignment="0"/>
    <xf numFmtId="252" fontId="109" fillId="0" borderId="0" applyFont="0" applyFill="0" applyBorder="0" applyAlignment="0"/>
    <xf numFmtId="251" fontId="109" fillId="0" borderId="0" applyFont="0" applyFill="0" applyBorder="0" applyAlignment="0"/>
    <xf numFmtId="253"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5" fontId="13" fillId="0" borderId="0"/>
    <xf numFmtId="0" fontId="102" fillId="0" borderId="0"/>
    <xf numFmtId="0" fontId="102" fillId="0" borderId="0"/>
    <xf numFmtId="235" fontId="13" fillId="0" borderId="0"/>
    <xf numFmtId="0" fontId="35"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5" fillId="0" borderId="0"/>
    <xf numFmtId="0" fontId="126" fillId="0" borderId="0"/>
    <xf numFmtId="0" fontId="13" fillId="0" borderId="0"/>
    <xf numFmtId="235" fontId="13" fillId="0" borderId="0"/>
    <xf numFmtId="235"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5"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235" fontId="13" fillId="0" borderId="0"/>
    <xf numFmtId="235" fontId="13" fillId="0" borderId="0"/>
    <xf numFmtId="0"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5" fontId="13" fillId="0" borderId="0"/>
    <xf numFmtId="235" fontId="13" fillId="0" borderId="0"/>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53" fontId="7" fillId="0" borderId="0"/>
    <xf numFmtId="0" fontId="7" fillId="0" borderId="0"/>
    <xf numFmtId="0" fontId="108" fillId="0" borderId="0"/>
    <xf numFmtId="235" fontId="13" fillId="0" borderId="0"/>
    <xf numFmtId="0" fontId="13" fillId="0" borderId="0"/>
    <xf numFmtId="235" fontId="13" fillId="0" borderId="0"/>
    <xf numFmtId="0" fontId="78" fillId="0" borderId="0"/>
    <xf numFmtId="0" fontId="7" fillId="0" borderId="0"/>
    <xf numFmtId="0" fontId="78" fillId="0" borderId="0"/>
    <xf numFmtId="235" fontId="13"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0" fontId="7" fillId="0" borderId="0"/>
    <xf numFmtId="235" fontId="13" fillId="0" borderId="0"/>
    <xf numFmtId="235" fontId="13" fillId="0" borderId="0"/>
    <xf numFmtId="235" fontId="13" fillId="0" borderId="0"/>
    <xf numFmtId="0" fontId="7" fillId="0" borderId="0"/>
    <xf numFmtId="0" fontId="13" fillId="0" borderId="0"/>
    <xf numFmtId="0" fontId="13" fillId="0" borderId="0"/>
    <xf numFmtId="0" fontId="13" fillId="0" borderId="0"/>
    <xf numFmtId="0" fontId="13" fillId="0" borderId="0"/>
    <xf numFmtId="235" fontId="13" fillId="0" borderId="0"/>
    <xf numFmtId="0"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235" fontId="13" fillId="0" borderId="0"/>
    <xf numFmtId="235" fontId="13" fillId="0" borderId="0"/>
    <xf numFmtId="0" fontId="13" fillId="0" borderId="0">
      <alignment wrapText="1"/>
    </xf>
    <xf numFmtId="0" fontId="13" fillId="0" borderId="0">
      <alignment wrapText="1"/>
    </xf>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0" fontId="13" fillId="0" borderId="0"/>
    <xf numFmtId="0" fontId="7"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235" fontId="13" fillId="0" borderId="0"/>
    <xf numFmtId="235"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235" fontId="13" fillId="0" borderId="0"/>
    <xf numFmtId="0" fontId="102" fillId="0" borderId="0"/>
    <xf numFmtId="0" fontId="13" fillId="0" borderId="0">
      <alignment wrapText="1"/>
    </xf>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alignment wrapText="1"/>
    </xf>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3"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5"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3"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3"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0" fontId="160" fillId="0" borderId="0"/>
    <xf numFmtId="0" fontId="13" fillId="0" borderId="0"/>
    <xf numFmtId="0" fontId="161" fillId="0" borderId="0"/>
    <xf numFmtId="255"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56" fontId="163" fillId="0" borderId="0" applyBorder="0" applyProtection="0">
      <alignment horizontal="right"/>
    </xf>
    <xf numFmtId="256" fontId="164" fillId="78" borderId="0" applyBorder="0" applyProtection="0">
      <alignment horizontal="right"/>
    </xf>
    <xf numFmtId="256" fontId="165" fillId="0" borderId="33" applyBorder="0"/>
    <xf numFmtId="256" fontId="163" fillId="0" borderId="0" applyBorder="0" applyProtection="0">
      <alignment horizontal="right"/>
    </xf>
    <xf numFmtId="257" fontId="163" fillId="0" borderId="0" applyBorder="0" applyProtection="0">
      <alignment horizontal="right"/>
    </xf>
    <xf numFmtId="257" fontId="166" fillId="78" borderId="0" applyProtection="0">
      <alignment horizontal="right"/>
    </xf>
    <xf numFmtId="37" fontId="80" fillId="0" borderId="0" applyFill="0" applyBorder="0" applyProtection="0">
      <alignment horizontal="right"/>
    </xf>
    <xf numFmtId="188" fontId="82" fillId="0" borderId="0" applyFont="0" applyFill="0" applyBorder="0" applyProtection="0">
      <alignment horizontal="right"/>
    </xf>
    <xf numFmtId="258"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37" fontId="171" fillId="0" borderId="5">
      <alignment vertical="center"/>
    </xf>
    <xf numFmtId="2" fontId="99" fillId="0" borderId="0"/>
    <xf numFmtId="233" fontId="172" fillId="0" borderId="0" applyFill="0" applyBorder="0" applyAlignment="0" applyProtection="0"/>
    <xf numFmtId="169" fontId="13" fillId="0" borderId="0" applyFont="0" applyFill="0" applyBorder="0" applyAlignment="0" applyProtection="0"/>
    <xf numFmtId="259" fontId="81" fillId="0" borderId="0" applyFont="0" applyFill="0" applyBorder="0" applyAlignment="0" applyProtection="0"/>
    <xf numFmtId="260" fontId="173" fillId="65" borderId="34" applyFill="0" applyBorder="0" applyAlignment="0" applyProtection="0">
      <alignment horizontal="right"/>
      <protection locked="0"/>
    </xf>
    <xf numFmtId="261"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2" fontId="163" fillId="0" borderId="0" applyBorder="0" applyProtection="0">
      <alignment horizontal="right"/>
    </xf>
    <xf numFmtId="262" fontId="164" fillId="78" borderId="0" applyProtection="0">
      <alignment horizontal="right"/>
    </xf>
    <xf numFmtId="262"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3"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3" fontId="99" fillId="0" borderId="0" applyFont="0" applyFill="0" applyBorder="0" applyProtection="0">
      <alignment horizontal="right"/>
    </xf>
    <xf numFmtId="9" fontId="13" fillId="0" borderId="0"/>
    <xf numFmtId="264" fontId="13" fillId="0" borderId="0" applyFill="0" applyBorder="0">
      <alignment horizontal="right"/>
      <protection locked="0"/>
    </xf>
    <xf numFmtId="1" fontId="85" fillId="0" borderId="0"/>
    <xf numFmtId="247" fontId="13" fillId="0" borderId="0">
      <protection locked="0"/>
    </xf>
    <xf numFmtId="233" fontId="13" fillId="0" borderId="0" applyFont="0" applyFill="0" applyBorder="0" applyAlignment="0" applyProtection="0"/>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10" fontId="99" fillId="0" borderId="0"/>
    <xf numFmtId="10" fontId="99" fillId="73" borderId="0"/>
    <xf numFmtId="9" fontId="99" fillId="0" borderId="0" applyFont="0" applyFill="0" applyBorder="0" applyAlignment="0" applyProtection="0"/>
    <xf numFmtId="167" fontId="20" fillId="0" borderId="0"/>
    <xf numFmtId="265"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29"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66"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42" fontId="179" fillId="0" borderId="0" applyFill="0" applyBorder="0" applyAlignment="0" applyProtection="0"/>
    <xf numFmtId="41" fontId="180" fillId="0" borderId="0"/>
    <xf numFmtId="0" fontId="109" fillId="0" borderId="0"/>
    <xf numFmtId="0" fontId="181" fillId="0" borderId="0">
      <alignment horizontal="right"/>
    </xf>
    <xf numFmtId="0" fontId="116" fillId="0" borderId="0">
      <alignment horizontal="left"/>
    </xf>
    <xf numFmtId="233" fontId="182" fillId="0" borderId="76"/>
    <xf numFmtId="267"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41"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3"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43"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8"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8"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69"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67"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37" fontId="13" fillId="25" borderId="83" applyNumberFormat="0" applyAlignment="0">
      <alignment vertical="center"/>
    </xf>
    <xf numFmtId="237" fontId="195" fillId="86" borderId="84" applyNumberFormat="0" applyBorder="0" applyAlignment="0" applyProtection="0">
      <alignment vertical="center"/>
    </xf>
    <xf numFmtId="237" fontId="13" fillId="25" borderId="83" applyNumberFormat="0" applyProtection="0">
      <alignment horizontal="centerContinuous" vertical="center"/>
    </xf>
    <xf numFmtId="237" fontId="196" fillId="87" borderId="0" applyNumberFormat="0" applyBorder="0" applyAlignment="0" applyProtection="0">
      <alignment vertical="center"/>
    </xf>
    <xf numFmtId="237"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0" fontId="81" fillId="0" borderId="0" applyFill="0" applyBorder="0" applyAlignment="0"/>
    <xf numFmtId="271"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2"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3"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6" fontId="194" fillId="0" borderId="65" applyFill="0" applyAlignment="0" applyProtection="0"/>
    <xf numFmtId="167" fontId="86" fillId="0" borderId="85"/>
    <xf numFmtId="0" fontId="205" fillId="0" borderId="0">
      <alignment horizontal="fill"/>
    </xf>
    <xf numFmtId="274" fontId="174" fillId="70" borderId="11" applyBorder="0">
      <alignment horizontal="right" vertical="center"/>
      <protection locked="0"/>
    </xf>
    <xf numFmtId="42" fontId="13" fillId="0" borderId="0" applyFont="0" applyFill="0" applyBorder="0" applyAlignment="0" applyProtection="0"/>
    <xf numFmtId="275"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273"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76" fontId="99" fillId="0" borderId="0" applyFont="0" applyFill="0" applyBorder="0" applyProtection="0">
      <alignment horizontal="right"/>
    </xf>
    <xf numFmtId="277" fontId="13" fillId="0" borderId="0"/>
    <xf numFmtId="278" fontId="163" fillId="0" borderId="0" applyFill="0" applyBorder="0" applyProtection="0"/>
    <xf numFmtId="0" fontId="13" fillId="0" borderId="0">
      <alignment horizontal="center"/>
    </xf>
    <xf numFmtId="279" fontId="80" fillId="0" borderId="5">
      <alignment horizontal="right"/>
    </xf>
    <xf numFmtId="280" fontId="13" fillId="0" borderId="0" applyFont="0" applyFill="0" applyBorder="0" applyAlignment="0" applyProtection="0"/>
    <xf numFmtId="281" fontId="91" fillId="0" borderId="0" applyFont="0" applyFill="0" applyBorder="0" applyProtection="0">
      <alignment horizontal="right"/>
    </xf>
    <xf numFmtId="0" fontId="13" fillId="0" borderId="0"/>
    <xf numFmtId="166" fontId="13" fillId="0" borderId="0" applyFont="0" applyFill="0" applyBorder="0" applyAlignment="0" applyProtection="0"/>
    <xf numFmtId="253"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99" fontId="13" fillId="0" borderId="88">
      <alignment horizontal="right"/>
    </xf>
    <xf numFmtId="200" fontId="89" fillId="0" borderId="88">
      <alignment horizontal="right"/>
    </xf>
    <xf numFmtId="200" fontId="89" fillId="0" borderId="88" applyFill="0">
      <alignment horizontal="right"/>
    </xf>
    <xf numFmtId="3" fontId="13" fillId="0" borderId="88" applyFill="0">
      <alignment horizontal="right"/>
    </xf>
    <xf numFmtId="201" fontId="89" fillId="0" borderId="88" applyFill="0">
      <alignment horizontal="right"/>
    </xf>
    <xf numFmtId="203" fontId="13" fillId="0" borderId="88">
      <alignment horizontal="right"/>
      <protection locked="0"/>
    </xf>
    <xf numFmtId="6"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5" fontId="82" fillId="65" borderId="87" applyFont="0" applyFill="0" applyBorder="0" applyAlignment="0" applyProtection="0"/>
    <xf numFmtId="227" fontId="86" fillId="0" borderId="86" applyFont="0" applyFill="0" applyBorder="0" applyAlignment="0" applyProtection="0"/>
    <xf numFmtId="231"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7" fontId="13" fillId="0" borderId="86" applyBorder="0" applyProtection="0">
      <alignment horizontal="right" vertical="center"/>
    </xf>
    <xf numFmtId="166"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4" fontId="174" fillId="70" borderId="89" applyBorder="0">
      <alignment horizontal="right" vertical="center"/>
      <protection locked="0"/>
    </xf>
    <xf numFmtId="279"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8" fontId="114" fillId="0" borderId="91">
      <protection locked="0"/>
    </xf>
    <xf numFmtId="204"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37" fontId="195" fillId="86" borderId="93" applyNumberFormat="0" applyBorder="0" applyAlignment="0" applyProtection="0">
      <alignment vertical="center"/>
    </xf>
    <xf numFmtId="167"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242">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164"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3"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Border="1" applyAlignment="1">
      <alignment vertical="top"/>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76"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174" fontId="52" fillId="2" borderId="0" xfId="40" applyNumberFormat="1" applyFont="1" applyFill="1" applyBorder="1" applyAlignment="1">
      <alignment vertical="center"/>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76"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76" fontId="46" fillId="28" borderId="45" xfId="70" applyNumberFormat="1" applyFont="1" applyFill="1" applyBorder="1" applyAlignment="1" applyProtection="1">
      <alignment horizontal="center"/>
      <protection locked="0"/>
    </xf>
    <xf numFmtId="0" fontId="6" fillId="2" borderId="0" xfId="0" applyFont="1" applyFill="1" applyBorder="1"/>
    <xf numFmtId="176"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76" fontId="46" fillId="2" borderId="89" xfId="70" applyNumberFormat="1" applyFont="1" applyFill="1" applyBorder="1" applyAlignment="1" applyProtection="1">
      <alignment horizontal="center"/>
      <protection locked="0"/>
    </xf>
    <xf numFmtId="176" fontId="46" fillId="2" borderId="4" xfId="70" applyNumberFormat="1" applyFont="1" applyFill="1" applyBorder="1" applyAlignment="1" applyProtection="1">
      <alignment horizontal="center"/>
      <protection locked="0"/>
    </xf>
    <xf numFmtId="176" fontId="46" fillId="2" borderId="5" xfId="70" applyNumberFormat="1" applyFont="1" applyFill="1" applyBorder="1" applyAlignment="1" applyProtection="1">
      <alignment horizontal="center"/>
      <protection locked="0"/>
    </xf>
    <xf numFmtId="176" fontId="46" fillId="2" borderId="45" xfId="70" applyNumberFormat="1" applyFont="1" applyFill="1" applyBorder="1" applyAlignment="1" applyProtection="1">
      <alignment horizontal="center"/>
      <protection locked="0"/>
    </xf>
    <xf numFmtId="176"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76" fontId="46" fillId="2" borderId="0" xfId="70" applyNumberFormat="1" applyFont="1" applyFill="1" applyBorder="1" applyAlignment="1" applyProtection="1">
      <alignment horizontal="center" vertical="center"/>
      <protection locked="0"/>
    </xf>
    <xf numFmtId="176"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4" fontId="52" fillId="28" borderId="28" xfId="40" applyNumberFormat="1" applyFont="1" applyFill="1" applyBorder="1" applyAlignment="1">
      <alignment horizontal="left" vertical="center"/>
    </xf>
    <xf numFmtId="174" fontId="52" fillId="2" borderId="28" xfId="40" applyNumberFormat="1" applyFont="1" applyFill="1" applyBorder="1" applyAlignment="1">
      <alignment horizontal="left" vertical="center"/>
    </xf>
    <xf numFmtId="174"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1"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2"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4"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4"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4" fontId="213" fillId="90" borderId="28" xfId="40" applyNumberFormat="1" applyFont="1" applyFill="1" applyBorder="1" applyAlignment="1">
      <alignment horizontal="left" vertical="center"/>
    </xf>
    <xf numFmtId="174" fontId="213" fillId="2" borderId="28" xfId="40" applyNumberFormat="1" applyFont="1" applyFill="1" applyBorder="1" applyAlignment="1">
      <alignment horizontal="left" vertical="center"/>
    </xf>
    <xf numFmtId="0" fontId="51" fillId="2" borderId="0" xfId="0" applyFont="1" applyFill="1" applyAlignment="1">
      <alignment horizontal="center"/>
    </xf>
    <xf numFmtId="283" fontId="217" fillId="2" borderId="28" xfId="70" applyNumberFormat="1" applyFont="1" applyFill="1" applyBorder="1" applyAlignment="1">
      <alignment horizontal="left" vertical="center"/>
    </xf>
    <xf numFmtId="44" fontId="213" fillId="28" borderId="28" xfId="70" applyFont="1" applyFill="1" applyBorder="1" applyAlignment="1">
      <alignment horizontal="left" vertical="center"/>
    </xf>
    <xf numFmtId="170" fontId="214" fillId="26" borderId="118" xfId="6" applyNumberFormat="1" applyFont="1" applyFill="1" applyBorder="1" applyAlignment="1">
      <alignment horizontal="center" vertical="center" wrapText="1"/>
    </xf>
    <xf numFmtId="170" fontId="214" fillId="26" borderId="103" xfId="6" applyNumberFormat="1" applyFont="1" applyFill="1" applyBorder="1" applyAlignment="1">
      <alignment horizontal="center" vertical="center" wrapText="1"/>
    </xf>
    <xf numFmtId="170" fontId="214" fillId="26" borderId="110" xfId="6" applyNumberFormat="1" applyFont="1" applyFill="1" applyBorder="1" applyAlignment="1">
      <alignment horizontal="center" vertical="center" wrapText="1"/>
    </xf>
    <xf numFmtId="0" fontId="218" fillId="2" borderId="0" xfId="0" applyFont="1" applyFill="1"/>
    <xf numFmtId="169" fontId="92" fillId="2" borderId="13" xfId="0" applyNumberFormat="1" applyFont="1" applyFill="1" applyBorder="1" applyAlignment="1">
      <alignment horizontal="center"/>
    </xf>
    <xf numFmtId="169" fontId="92" fillId="2" borderId="34" xfId="0" applyNumberFormat="1" applyFont="1" applyFill="1" applyBorder="1" applyAlignment="1">
      <alignment horizontal="center"/>
    </xf>
    <xf numFmtId="0" fontId="218" fillId="2" borderId="9" xfId="0" applyFont="1" applyFill="1" applyBorder="1"/>
    <xf numFmtId="171" fontId="92" fillId="2" borderId="13" xfId="0" applyNumberFormat="1" applyFont="1" applyFill="1" applyBorder="1" applyAlignment="1">
      <alignment horizontal="center"/>
    </xf>
    <xf numFmtId="171" fontId="92" fillId="2" borderId="119" xfId="0" applyNumberFormat="1" applyFont="1" applyFill="1" applyBorder="1" applyAlignment="1">
      <alignment horizontal="center"/>
    </xf>
    <xf numFmtId="171" fontId="92" fillId="2" borderId="8" xfId="0" applyNumberFormat="1" applyFont="1" applyFill="1" applyBorder="1" applyAlignment="1">
      <alignment horizontal="center"/>
    </xf>
    <xf numFmtId="171" fontId="92" fillId="2" borderId="38" xfId="0" applyNumberFormat="1" applyFont="1" applyFill="1" applyBorder="1" applyAlignment="1">
      <alignment horizontal="center"/>
    </xf>
    <xf numFmtId="171" fontId="92" fillId="2" borderId="9" xfId="0" applyNumberFormat="1" applyFont="1" applyFill="1" applyBorder="1" applyAlignment="1">
      <alignment horizontal="center"/>
    </xf>
    <xf numFmtId="171" fontId="92" fillId="2" borderId="5" xfId="0" applyNumberFormat="1" applyFont="1" applyFill="1" applyBorder="1" applyAlignment="1">
      <alignment horizontal="center"/>
    </xf>
    <xf numFmtId="171" fontId="45" fillId="2" borderId="9" xfId="0" applyNumberFormat="1" applyFont="1" applyFill="1" applyBorder="1" applyAlignment="1">
      <alignment horizontal="center"/>
    </xf>
    <xf numFmtId="164" fontId="219" fillId="2" borderId="0" xfId="0" applyNumberFormat="1" applyFont="1" applyFill="1" applyBorder="1" applyAlignment="1">
      <alignment horizontal="center"/>
    </xf>
    <xf numFmtId="0" fontId="220" fillId="2" borderId="0" xfId="0" applyFont="1" applyFill="1" applyBorder="1"/>
    <xf numFmtId="164" fontId="220" fillId="2" borderId="0" xfId="0" applyNumberFormat="1" applyFont="1" applyFill="1" applyBorder="1" applyAlignment="1">
      <alignment horizontal="center"/>
    </xf>
    <xf numFmtId="171" fontId="92" fillId="2" borderId="95" xfId="0" applyNumberFormat="1" applyFont="1" applyFill="1" applyBorder="1" applyAlignment="1">
      <alignment horizontal="center"/>
    </xf>
    <xf numFmtId="164" fontId="92" fillId="2" borderId="96" xfId="0" applyNumberFormat="1" applyFont="1" applyFill="1" applyBorder="1" applyAlignment="1">
      <alignment horizontal="center"/>
    </xf>
    <xf numFmtId="164" fontId="92" fillId="2" borderId="97" xfId="0" applyNumberFormat="1" applyFont="1" applyFill="1" applyBorder="1" applyAlignment="1">
      <alignment horizontal="center"/>
    </xf>
    <xf numFmtId="164" fontId="14" fillId="2" borderId="0" xfId="0" applyNumberFormat="1" applyFont="1" applyFill="1" applyBorder="1" applyAlignment="1">
      <alignment horizontal="center"/>
    </xf>
    <xf numFmtId="173" fontId="14" fillId="2" borderId="0" xfId="0" applyNumberFormat="1" applyFont="1" applyFill="1"/>
    <xf numFmtId="171" fontId="92" fillId="2" borderId="89" xfId="0" applyNumberFormat="1" applyFont="1" applyFill="1" applyBorder="1" applyAlignment="1">
      <alignment horizontal="center"/>
    </xf>
    <xf numFmtId="171" fontId="92" fillId="2" borderId="0" xfId="0" applyNumberFormat="1" applyFont="1" applyFill="1" applyBorder="1" applyAlignment="1">
      <alignment horizontal="center"/>
    </xf>
    <xf numFmtId="164" fontId="92" fillId="2" borderId="0" xfId="0" applyNumberFormat="1" applyFont="1" applyFill="1" applyBorder="1" applyAlignment="1">
      <alignment horizontal="center"/>
    </xf>
    <xf numFmtId="164" fontId="92" fillId="2" borderId="12" xfId="0" applyNumberFormat="1" applyFont="1" applyFill="1" applyBorder="1" applyAlignment="1">
      <alignment horizontal="center"/>
    </xf>
    <xf numFmtId="164" fontId="14" fillId="2" borderId="0" xfId="0" applyNumberFormat="1" applyFont="1" applyFill="1"/>
    <xf numFmtId="164" fontId="218" fillId="2" borderId="0" xfId="0" applyNumberFormat="1" applyFont="1" applyFill="1" applyBorder="1" applyAlignment="1">
      <alignment horizontal="center"/>
    </xf>
    <xf numFmtId="164" fontId="92" fillId="28" borderId="35" xfId="0" applyNumberFormat="1" applyFont="1" applyFill="1" applyBorder="1" applyAlignment="1">
      <alignment horizontal="center"/>
    </xf>
    <xf numFmtId="164" fontId="92" fillId="28" borderId="120" xfId="0" applyNumberFormat="1" applyFont="1" applyFill="1" applyBorder="1" applyAlignment="1">
      <alignment horizontal="center"/>
    </xf>
    <xf numFmtId="164" fontId="92" fillId="28" borderId="45" xfId="0" applyNumberFormat="1" applyFont="1" applyFill="1" applyBorder="1" applyAlignment="1">
      <alignment horizontal="center"/>
    </xf>
    <xf numFmtId="0" fontId="14" fillId="2" borderId="0" xfId="0" applyFont="1" applyFill="1" applyBorder="1"/>
    <xf numFmtId="164" fontId="49" fillId="2" borderId="0" xfId="0" applyNumberFormat="1" applyFont="1" applyFill="1" applyBorder="1" applyAlignment="1">
      <alignment horizontal="center"/>
    </xf>
    <xf numFmtId="164" fontId="92" fillId="28" borderId="116" xfId="0" applyNumberFormat="1" applyFont="1" applyFill="1" applyBorder="1" applyAlignment="1">
      <alignment horizontal="center"/>
    </xf>
    <xf numFmtId="164" fontId="92" fillId="28" borderId="117"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0"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14" fillId="28" borderId="0" xfId="0" applyFont="1" applyFill="1" applyBorder="1"/>
    <xf numFmtId="0" fontId="14" fillId="28" borderId="0" xfId="0" applyFont="1" applyFill="1"/>
    <xf numFmtId="0" fontId="49" fillId="2" borderId="133" xfId="0" applyFont="1" applyFill="1" applyBorder="1" applyAlignment="1">
      <alignment vertical="center"/>
    </xf>
    <xf numFmtId="0" fontId="14" fillId="2" borderId="0" xfId="0" applyFont="1" applyFill="1" applyAlignment="1">
      <alignment horizontal="left"/>
    </xf>
    <xf numFmtId="171" fontId="92" fillId="2" borderId="88" xfId="0" applyNumberFormat="1" applyFont="1" applyFill="1" applyBorder="1" applyAlignment="1">
      <alignment horizontal="left"/>
    </xf>
    <xf numFmtId="0" fontId="49" fillId="2" borderId="88" xfId="0" applyFont="1" applyFill="1" applyBorder="1" applyAlignment="1">
      <alignment horizontal="center"/>
    </xf>
    <xf numFmtId="171" fontId="92" fillId="2" borderId="88" xfId="0" applyNumberFormat="1" applyFont="1" applyFill="1" applyBorder="1" applyAlignment="1">
      <alignment horizontal="center"/>
    </xf>
    <xf numFmtId="0" fontId="49" fillId="2" borderId="0" xfId="0" applyFont="1" applyFill="1" applyBorder="1" applyAlignment="1">
      <alignment vertical="center" wrapText="1"/>
    </xf>
    <xf numFmtId="0" fontId="92" fillId="2" borderId="88" xfId="0" applyNumberFormat="1" applyFont="1" applyFill="1" applyBorder="1" applyAlignment="1">
      <alignment horizontal="left"/>
    </xf>
    <xf numFmtId="0" fontId="49" fillId="2" borderId="88" xfId="0" applyFont="1" applyFill="1" applyBorder="1" applyAlignment="1">
      <alignment horizontal="left"/>
    </xf>
    <xf numFmtId="0" fontId="14" fillId="2" borderId="0" xfId="0" applyFont="1" applyFill="1" applyAlignment="1">
      <alignment horizontal="left" vertical="center"/>
    </xf>
    <xf numFmtId="0" fontId="14" fillId="2" borderId="88" xfId="0" applyFont="1" applyFill="1" applyBorder="1"/>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3" fontId="217" fillId="2" borderId="123" xfId="70" applyNumberFormat="1" applyFont="1" applyFill="1" applyBorder="1" applyAlignment="1">
      <alignment horizontal="lef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0"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0" fontId="14" fillId="2" borderId="9" xfId="0" applyFont="1" applyFill="1" applyBorder="1" applyAlignment="1"/>
    <xf numFmtId="0" fontId="14" fillId="2" borderId="0" xfId="0" applyFont="1" applyFill="1" applyBorder="1" applyAlignment="1"/>
    <xf numFmtId="44" fontId="49" fillId="2" borderId="0" xfId="70" applyFont="1" applyFill="1"/>
    <xf numFmtId="0" fontId="45" fillId="2" borderId="0" xfId="0" applyFont="1" applyFill="1"/>
    <xf numFmtId="0" fontId="49" fillId="2" borderId="110" xfId="0" applyFont="1" applyFill="1" applyBorder="1" applyAlignment="1">
      <alignment horizontal="center"/>
    </xf>
    <xf numFmtId="44" fontId="45" fillId="2" borderId="0" xfId="70" applyFont="1" applyFill="1"/>
    <xf numFmtId="171" fontId="4" fillId="2" borderId="0" xfId="0" applyNumberFormat="1" applyFont="1" applyFill="1"/>
    <xf numFmtId="170" fontId="53" fillId="26" borderId="49" xfId="6" applyNumberFormat="1" applyFont="1" applyFill="1" applyBorder="1" applyAlignment="1">
      <alignment horizontal="center" vertical="center" wrapText="1"/>
    </xf>
    <xf numFmtId="170" fontId="53" fillId="26" borderId="34" xfId="6" applyNumberFormat="1" applyFont="1" applyFill="1" applyBorder="1" applyAlignment="1">
      <alignment horizontal="center" vertical="center" wrapText="1"/>
    </xf>
    <xf numFmtId="170" fontId="53" fillId="2" borderId="0" xfId="6" applyNumberFormat="1" applyFont="1" applyFill="1" applyBorder="1" applyAlignment="1">
      <alignment horizontal="center" vertical="center" wrapText="1"/>
    </xf>
    <xf numFmtId="170"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69" fontId="46" fillId="0" borderId="7" xfId="70" applyNumberFormat="1" applyFont="1" applyFill="1" applyBorder="1"/>
    <xf numFmtId="169"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69"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69" fontId="42" fillId="28" borderId="7" xfId="0" applyNumberFormat="1" applyFont="1" applyFill="1" applyBorder="1" applyProtection="1">
      <protection locked="0"/>
    </xf>
    <xf numFmtId="169"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69" fontId="50" fillId="2" borderId="7" xfId="0" applyNumberFormat="1" applyFont="1" applyFill="1" applyBorder="1"/>
    <xf numFmtId="10" fontId="46" fillId="2" borderId="8" xfId="0" applyNumberFormat="1" applyFont="1" applyFill="1" applyBorder="1" applyAlignment="1">
      <alignment horizontal="center"/>
    </xf>
    <xf numFmtId="169" fontId="46" fillId="2" borderId="7" xfId="70" applyNumberFormat="1" applyFont="1" applyFill="1" applyBorder="1"/>
    <xf numFmtId="169"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49" fillId="2" borderId="9" xfId="0" applyFont="1" applyFill="1" applyBorder="1" applyAlignment="1">
      <alignment vertical="center"/>
    </xf>
    <xf numFmtId="0" fontId="223" fillId="2" borderId="0" xfId="0" applyFont="1" applyFill="1" applyAlignment="1">
      <alignment vertical="center"/>
    </xf>
    <xf numFmtId="0" fontId="92" fillId="2" borderId="10" xfId="0" applyFont="1" applyFill="1" applyBorder="1" applyAlignment="1">
      <alignment vertical="center"/>
    </xf>
    <xf numFmtId="0" fontId="92" fillId="2" borderId="10" xfId="0" applyFont="1" applyFill="1" applyBorder="1" applyAlignment="1">
      <alignment vertical="center" wrapText="1"/>
    </xf>
    <xf numFmtId="283" fontId="217" fillId="2" borderId="124" xfId="70" applyNumberFormat="1" applyFont="1" applyFill="1" applyBorder="1" applyAlignment="1">
      <alignment horizontal="left" vertical="center"/>
    </xf>
    <xf numFmtId="170" fontId="214" fillId="27" borderId="110" xfId="0" applyNumberFormat="1" applyFont="1" applyFill="1" applyBorder="1" applyAlignment="1">
      <alignment horizontal="center" vertical="center" wrapText="1"/>
    </xf>
    <xf numFmtId="170"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103" xfId="0" applyFont="1" applyFill="1" applyBorder="1" applyAlignment="1">
      <alignment vertical="top"/>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14" fillId="2" borderId="89" xfId="0" applyFont="1" applyFill="1" applyBorder="1"/>
    <xf numFmtId="0" fontId="14" fillId="2" borderId="109" xfId="0" applyFont="1" applyFill="1" applyBorder="1" applyAlignment="1">
      <alignment horizontal="right"/>
    </xf>
    <xf numFmtId="0" fontId="14" fillId="28" borderId="12" xfId="0" applyFont="1" applyFill="1" applyBorder="1"/>
    <xf numFmtId="0" fontId="14" fillId="28" borderId="0" xfId="0" quotePrefix="1" applyFont="1" applyFill="1" applyBorder="1"/>
    <xf numFmtId="0" fontId="14" fillId="28" borderId="5" xfId="0" applyFont="1" applyFill="1" applyBorder="1"/>
    <xf numFmtId="0" fontId="14" fillId="28" borderId="112" xfId="0" applyFont="1" applyFill="1" applyBorder="1"/>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4"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4" fontId="213" fillId="2" borderId="28" xfId="40" applyNumberFormat="1" applyFont="1" applyFill="1" applyBorder="1" applyAlignment="1" applyProtection="1">
      <alignment horizontal="left" vertical="center"/>
      <protection locked="0"/>
    </xf>
    <xf numFmtId="174"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2" fontId="46" fillId="2" borderId="0" xfId="0" applyNumberFormat="1" applyFont="1" applyFill="1" applyBorder="1" applyAlignment="1" applyProtection="1">
      <alignment horizontal="center" vertical="center"/>
      <protection locked="0"/>
    </xf>
    <xf numFmtId="171"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69" fontId="9" fillId="2" borderId="0" xfId="71" applyNumberFormat="1" applyFont="1" applyFill="1" applyBorder="1" applyAlignment="1" applyProtection="1">
      <alignment horizontal="center" vertical="center"/>
      <protection locked="0"/>
    </xf>
    <xf numFmtId="169" fontId="9" fillId="2" borderId="0" xfId="0" applyNumberFormat="1" applyFont="1" applyFill="1" applyBorder="1" applyAlignment="1" applyProtection="1">
      <alignment horizontal="center" vertical="center"/>
      <protection locked="0"/>
    </xf>
    <xf numFmtId="44"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3" fontId="9" fillId="2" borderId="0" xfId="70" applyNumberFormat="1" applyFont="1" applyFill="1" applyBorder="1" applyAlignment="1" applyProtection="1">
      <alignment horizontal="center" vertical="center"/>
      <protection locked="0"/>
    </xf>
    <xf numFmtId="168" fontId="9" fillId="2" borderId="0" xfId="0" applyNumberFormat="1" applyFont="1" applyFill="1" applyBorder="1" applyAlignment="1" applyProtection="1">
      <alignment horizontal="center" vertical="center"/>
      <protection locked="0"/>
    </xf>
    <xf numFmtId="171"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44" fontId="46" fillId="2" borderId="12" xfId="70" applyFont="1" applyFill="1" applyBorder="1" applyAlignment="1" applyProtection="1">
      <alignment horizontal="center" vertical="center"/>
      <protection locked="0"/>
    </xf>
    <xf numFmtId="169" fontId="46" fillId="2" borderId="0" xfId="71" applyNumberFormat="1" applyFont="1" applyFill="1" applyBorder="1" applyAlignment="1" applyProtection="1">
      <alignment horizontal="center" vertical="center"/>
      <protection locked="0"/>
    </xf>
    <xf numFmtId="169"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69"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69" fontId="9" fillId="2" borderId="12" xfId="70" applyNumberFormat="1" applyFont="1" applyFill="1" applyBorder="1" applyAlignment="1" applyProtection="1">
      <alignment horizontal="center" vertical="center"/>
      <protection locked="0"/>
    </xf>
    <xf numFmtId="171"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69"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68"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4"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166" fontId="9" fillId="2" borderId="0" xfId="71" applyFont="1" applyFill="1" applyBorder="1" applyAlignment="1" applyProtection="1">
      <alignment vertical="center"/>
      <protection locked="0"/>
    </xf>
    <xf numFmtId="166" fontId="9" fillId="2" borderId="0" xfId="71" applyFont="1" applyFill="1" applyBorder="1" applyAlignment="1" applyProtection="1">
      <protection locked="0"/>
    </xf>
    <xf numFmtId="176"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166"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76"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68" fontId="46" fillId="28" borderId="137" xfId="0" applyNumberFormat="1" applyFont="1" applyFill="1" applyBorder="1" applyAlignment="1" applyProtection="1">
      <alignment horizontal="center"/>
    </xf>
    <xf numFmtId="284" fontId="42" fillId="28" borderId="103" xfId="0" applyNumberFormat="1" applyFont="1" applyFill="1" applyBorder="1" applyAlignment="1" applyProtection="1">
      <alignment horizontal="center"/>
    </xf>
    <xf numFmtId="284" fontId="46" fillId="28" borderId="137" xfId="0" applyNumberFormat="1" applyFont="1" applyFill="1" applyBorder="1" applyAlignment="1" applyProtection="1">
      <alignment horizontal="center"/>
    </xf>
    <xf numFmtId="168" fontId="46" fillId="28" borderId="107" xfId="0" applyNumberFormat="1" applyFont="1" applyFill="1" applyBorder="1" applyAlignment="1" applyProtection="1">
      <alignment horizontal="center"/>
    </xf>
    <xf numFmtId="284" fontId="42" fillId="28" borderId="37" xfId="0" applyNumberFormat="1" applyFont="1" applyFill="1" applyBorder="1" applyAlignment="1" applyProtection="1">
      <alignment horizontal="center"/>
    </xf>
    <xf numFmtId="284" fontId="46" fillId="28" borderId="107" xfId="0" applyNumberFormat="1" applyFont="1" applyFill="1" applyBorder="1" applyAlignment="1" applyProtection="1">
      <alignment horizontal="center"/>
    </xf>
    <xf numFmtId="168" fontId="46" fillId="28" borderId="48" xfId="0" applyNumberFormat="1" applyFont="1" applyFill="1" applyBorder="1" applyAlignment="1" applyProtection="1">
      <alignment horizontal="center"/>
    </xf>
    <xf numFmtId="284" fontId="42" fillId="28" borderId="55" xfId="0" applyNumberFormat="1" applyFont="1" applyFill="1" applyBorder="1" applyAlignment="1" applyProtection="1">
      <alignment horizontal="center"/>
    </xf>
    <xf numFmtId="284" fontId="46" fillId="28" borderId="48" xfId="0" applyNumberFormat="1" applyFont="1" applyFill="1" applyBorder="1" applyAlignment="1" applyProtection="1">
      <alignment horizontal="center"/>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1"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 borderId="88" xfId="0" applyFont="1" applyFill="1" applyBorder="1" applyAlignment="1">
      <alignment vertical="center"/>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44" fontId="42" fillId="2" borderId="110" xfId="0" applyNumberFormat="1" applyFont="1" applyFill="1" applyBorder="1"/>
    <xf numFmtId="44" fontId="42" fillId="2" borderId="134" xfId="70" applyFont="1" applyFill="1" applyBorder="1"/>
    <xf numFmtId="44" fontId="42" fillId="2" borderId="110" xfId="70" applyFont="1" applyFill="1" applyBorder="1"/>
    <xf numFmtId="44" fontId="42" fillId="2" borderId="122" xfId="70" applyFont="1" applyFill="1" applyBorder="1"/>
    <xf numFmtId="44" fontId="42" fillId="2" borderId="137" xfId="70" applyFont="1" applyFill="1" applyBorder="1"/>
    <xf numFmtId="44" fontId="42" fillId="2" borderId="0" xfId="70" applyFont="1" applyFill="1"/>
    <xf numFmtId="0" fontId="48" fillId="88" borderId="95" xfId="0" applyNumberFormat="1" applyFont="1" applyFill="1" applyBorder="1" applyAlignment="1">
      <alignment horizontal="center" vertical="center" wrapText="1"/>
    </xf>
    <xf numFmtId="170"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0"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4"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0" fontId="48" fillId="88" borderId="110" xfId="0" applyNumberFormat="1" applyFont="1" applyFill="1" applyBorder="1" applyAlignment="1">
      <alignment horizontal="left" vertical="center" wrapText="1"/>
    </xf>
    <xf numFmtId="170"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4"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0" fontId="46" fillId="88" borderId="122" xfId="0" applyNumberFormat="1" applyFont="1" applyFill="1" applyBorder="1" applyAlignment="1">
      <alignment horizontal="center" vertical="center" wrapText="1"/>
    </xf>
    <xf numFmtId="170" fontId="46" fillId="88" borderId="138" xfId="0" applyNumberFormat="1" applyFont="1" applyFill="1" applyBorder="1" applyAlignment="1">
      <alignment horizontal="center" vertical="center" wrapText="1"/>
    </xf>
    <xf numFmtId="170" fontId="46" fillId="88" borderId="134" xfId="0" applyNumberFormat="1" applyFont="1" applyFill="1" applyBorder="1" applyAlignment="1">
      <alignment horizontal="center" vertical="center" wrapText="1"/>
    </xf>
    <xf numFmtId="170" fontId="92" fillId="88" borderId="122" xfId="0" applyNumberFormat="1" applyFont="1" applyFill="1" applyBorder="1" applyAlignment="1">
      <alignment horizontal="center" vertical="center" wrapText="1"/>
    </xf>
    <xf numFmtId="0" fontId="220" fillId="2" borderId="138" xfId="0" applyFont="1" applyFill="1" applyBorder="1"/>
    <xf numFmtId="170" fontId="92" fillId="88" borderId="138" xfId="0" applyNumberFormat="1" applyFont="1" applyFill="1" applyBorder="1" applyAlignment="1">
      <alignment horizontal="center" vertical="center" wrapText="1"/>
    </xf>
    <xf numFmtId="170"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4" fontId="52" fillId="2" borderId="0" xfId="40" applyNumberFormat="1" applyFont="1" applyFill="1" applyBorder="1" applyAlignment="1">
      <alignment horizontal="left" vertical="center"/>
    </xf>
    <xf numFmtId="174"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76"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2" fillId="2" borderId="12" xfId="0" applyNumberFormat="1" applyFont="1" applyFill="1" applyBorder="1" applyAlignment="1">
      <alignment horizontal="left"/>
    </xf>
    <xf numFmtId="171" fontId="92" fillId="2" borderId="12" xfId="0" applyNumberFormat="1" applyFont="1" applyFill="1" applyBorder="1" applyAlignment="1">
      <alignment horizontal="left"/>
    </xf>
    <xf numFmtId="0" fontId="92" fillId="2" borderId="112" xfId="0" applyNumberFormat="1" applyFont="1" applyFill="1" applyBorder="1" applyAlignment="1">
      <alignment horizontal="left"/>
    </xf>
    <xf numFmtId="171" fontId="92" fillId="2" borderId="88" xfId="0" quotePrefix="1" applyNumberFormat="1" applyFont="1" applyFill="1" applyBorder="1" applyAlignment="1">
      <alignment horizontal="left" vertical="center"/>
    </xf>
    <xf numFmtId="171" fontId="222" fillId="2" borderId="88" xfId="0" applyNumberFormat="1" applyFont="1" applyFill="1" applyBorder="1" applyAlignment="1">
      <alignment horizontal="left" vertical="center"/>
    </xf>
    <xf numFmtId="171" fontId="48" fillId="2" borderId="88" xfId="0" applyNumberFormat="1" applyFont="1" applyFill="1" applyBorder="1" applyAlignment="1">
      <alignment horizontal="left" vertical="center"/>
    </xf>
    <xf numFmtId="171" fontId="48" fillId="2" borderId="88" xfId="0" quotePrefix="1" applyNumberFormat="1" applyFont="1" applyFill="1" applyBorder="1" applyAlignment="1">
      <alignment horizontal="left" vertical="center"/>
    </xf>
    <xf numFmtId="171" fontId="48" fillId="2" borderId="9" xfId="0" quotePrefix="1" applyNumberFormat="1" applyFont="1" applyFill="1" applyBorder="1" applyAlignment="1">
      <alignment horizontal="left"/>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4"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45" fillId="92" borderId="0" xfId="0" applyFont="1" applyFill="1" applyAlignment="1">
      <alignment vertical="top"/>
    </xf>
    <xf numFmtId="0" fontId="39" fillId="92" borderId="0" xfId="73" applyFill="1"/>
    <xf numFmtId="0" fontId="92" fillId="2" borderId="0" xfId="0" applyFont="1" applyFill="1" applyBorder="1" applyAlignment="1">
      <alignment vertical="center" wrapText="1"/>
    </xf>
    <xf numFmtId="171" fontId="48" fillId="28" borderId="110" xfId="0" applyNumberFormat="1" applyFont="1" applyFill="1" applyBorder="1" applyAlignment="1">
      <alignment horizontal="center"/>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164" fontId="92" fillId="2" borderId="35" xfId="0" applyNumberFormat="1" applyFont="1" applyFill="1" applyBorder="1" applyAlignment="1">
      <alignment horizontal="center"/>
    </xf>
    <xf numFmtId="164" fontId="237" fillId="2" borderId="54" xfId="73" applyNumberFormat="1" applyFont="1" applyFill="1" applyBorder="1" applyAlignment="1">
      <alignment horizontal="center" vertical="center"/>
    </xf>
    <xf numFmtId="171" fontId="48" fillId="2" borderId="110" xfId="0" applyNumberFormat="1" applyFont="1" applyFill="1" applyBorder="1" applyAlignment="1">
      <alignment horizontal="center"/>
    </xf>
    <xf numFmtId="171" fontId="48" fillId="2" borderId="34" xfId="0" applyNumberFormat="1" applyFont="1" applyFill="1" applyBorder="1" applyAlignment="1">
      <alignment horizontal="center"/>
    </xf>
    <xf numFmtId="164"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92" fillId="2" borderId="49" xfId="0" applyFont="1" applyFill="1" applyBorder="1" applyAlignment="1">
      <alignment vertical="center" wrapText="1"/>
    </xf>
    <xf numFmtId="0" fontId="92" fillId="2" borderId="88" xfId="0" applyFont="1" applyFill="1" applyBorder="1" applyAlignment="1">
      <alignment vertical="center" wrapText="1"/>
    </xf>
    <xf numFmtId="0" fontId="237" fillId="0" borderId="88" xfId="73" applyFont="1" applyBorder="1" applyAlignment="1">
      <alignment vertical="center"/>
    </xf>
    <xf numFmtId="174" fontId="238" fillId="28" borderId="89" xfId="40" applyNumberFormat="1" applyFont="1" applyFill="1" applyBorder="1" applyAlignment="1">
      <alignment vertical="center"/>
    </xf>
    <xf numFmtId="177" fontId="49" fillId="2" borderId="34" xfId="71" applyNumberFormat="1" applyFont="1" applyFill="1" applyBorder="1" applyAlignment="1" applyProtection="1">
      <alignment horizontal="center"/>
      <protection locked="0"/>
    </xf>
    <xf numFmtId="177" fontId="49" fillId="28" borderId="34" xfId="71" applyNumberFormat="1" applyFont="1" applyFill="1" applyBorder="1" applyAlignment="1" applyProtection="1">
      <alignment horizontal="center"/>
      <protection locked="0"/>
    </xf>
    <xf numFmtId="177" fontId="14" fillId="2" borderId="0" xfId="71" applyNumberFormat="1" applyFont="1" applyFill="1"/>
    <xf numFmtId="177" fontId="14" fillId="2" borderId="110" xfId="71" applyNumberFormat="1" applyFont="1" applyFill="1" applyBorder="1" applyAlignment="1">
      <alignment horizontal="center"/>
    </xf>
    <xf numFmtId="0" fontId="51" fillId="2" borderId="0" xfId="0" applyFont="1" applyFill="1" applyAlignment="1">
      <alignment horizontal="center" wrapText="1"/>
    </xf>
    <xf numFmtId="0" fontId="58" fillId="2" borderId="0" xfId="0" applyFont="1" applyFill="1" applyAlignment="1">
      <alignment horizontal="center" wrapText="1"/>
    </xf>
    <xf numFmtId="0" fontId="42" fillId="92" borderId="0" xfId="0" applyFont="1" applyFill="1"/>
    <xf numFmtId="0" fontId="42" fillId="2" borderId="0" xfId="0" applyFont="1" applyFill="1" applyBorder="1"/>
    <xf numFmtId="0" fontId="237" fillId="2" borderId="0" xfId="73" applyFont="1" applyFill="1"/>
    <xf numFmtId="0" fontId="243" fillId="2" borderId="110" xfId="0" applyFont="1" applyFill="1" applyBorder="1" applyAlignment="1">
      <alignment horizontal="left" vertical="top" wrapText="1"/>
    </xf>
    <xf numFmtId="0" fontId="241" fillId="2" borderId="103" xfId="0" applyFont="1" applyFill="1" applyBorder="1" applyAlignment="1">
      <alignment vertical="top"/>
    </xf>
    <xf numFmtId="0" fontId="243" fillId="2" borderId="122" xfId="0" applyFont="1" applyFill="1" applyBorder="1" applyAlignment="1">
      <alignment vertical="top"/>
    </xf>
    <xf numFmtId="0" fontId="241" fillId="2" borderId="138" xfId="0" applyFont="1" applyFill="1" applyBorder="1" applyAlignment="1">
      <alignment vertical="top"/>
    </xf>
    <xf numFmtId="0" fontId="241" fillId="2" borderId="134" xfId="0" applyFont="1" applyFill="1" applyBorder="1" applyAlignment="1">
      <alignment vertical="top"/>
    </xf>
    <xf numFmtId="0" fontId="241" fillId="2" borderId="0" xfId="0" applyFont="1" applyFill="1" applyBorder="1" applyAlignment="1">
      <alignment vertical="top"/>
    </xf>
    <xf numFmtId="0" fontId="241" fillId="2" borderId="0" xfId="0" applyFont="1" applyFill="1" applyAlignment="1">
      <alignment vertical="top"/>
    </xf>
    <xf numFmtId="0" fontId="241" fillId="2" borderId="110" xfId="0" applyFont="1" applyFill="1" applyBorder="1" applyAlignment="1">
      <alignment horizontal="left" vertical="top" wrapText="1"/>
    </xf>
    <xf numFmtId="0" fontId="243" fillId="2" borderId="110" xfId="0" applyFont="1" applyFill="1" applyBorder="1" applyAlignment="1">
      <alignment horizontal="center" vertical="center" textRotation="180"/>
    </xf>
    <xf numFmtId="0" fontId="241" fillId="2" borderId="89" xfId="0" applyFont="1" applyFill="1" applyBorder="1"/>
    <xf numFmtId="0" fontId="241" fillId="28" borderId="0" xfId="0" applyFont="1" applyFill="1" applyBorder="1"/>
    <xf numFmtId="175" fontId="241" fillId="28" borderId="0" xfId="71" applyNumberFormat="1" applyFont="1" applyFill="1" applyBorder="1"/>
    <xf numFmtId="175" fontId="241" fillId="2" borderId="0" xfId="71" applyNumberFormat="1" applyFont="1" applyFill="1" applyBorder="1"/>
    <xf numFmtId="0" fontId="241" fillId="2" borderId="0" xfId="0" applyFont="1" applyFill="1"/>
    <xf numFmtId="175" fontId="241" fillId="28" borderId="12" xfId="71" applyNumberFormat="1" applyFont="1" applyFill="1" applyBorder="1"/>
    <xf numFmtId="0" fontId="241" fillId="28" borderId="0" xfId="0" quotePrefix="1" applyFont="1" applyFill="1" applyBorder="1"/>
    <xf numFmtId="0" fontId="241" fillId="2" borderId="109" xfId="0" applyFont="1" applyFill="1" applyBorder="1"/>
    <xf numFmtId="0" fontId="241" fillId="28" borderId="86" xfId="0" applyFont="1" applyFill="1" applyBorder="1"/>
    <xf numFmtId="175" fontId="241" fillId="28" borderId="86" xfId="71" applyNumberFormat="1" applyFont="1" applyFill="1" applyBorder="1"/>
    <xf numFmtId="175" fontId="241" fillId="28" borderId="112" xfId="71" applyNumberFormat="1" applyFont="1" applyFill="1" applyBorder="1"/>
    <xf numFmtId="0" fontId="44" fillId="2" borderId="110" xfId="0" applyFont="1" applyFill="1" applyBorder="1" applyAlignment="1">
      <alignment horizontal="center" vertical="center" textRotation="180"/>
    </xf>
    <xf numFmtId="0" fontId="241" fillId="2" borderId="110" xfId="0" applyFont="1" applyFill="1" applyBorder="1" applyAlignment="1">
      <alignment horizontal="center" vertical="top" wrapText="1"/>
    </xf>
    <xf numFmtId="0" fontId="241" fillId="2" borderId="0" xfId="0" applyFont="1" applyFill="1" applyBorder="1" applyAlignment="1">
      <alignment horizontal="center" vertical="top"/>
    </xf>
    <xf numFmtId="0" fontId="241" fillId="2" borderId="0" xfId="0" applyFont="1" applyFill="1" applyAlignment="1">
      <alignment horizontal="center" vertical="top"/>
    </xf>
    <xf numFmtId="177" fontId="241" fillId="28" borderId="0" xfId="71" applyNumberFormat="1" applyFont="1" applyFill="1" applyBorder="1"/>
    <xf numFmtId="0" fontId="241" fillId="2" borderId="0" xfId="0" applyFont="1" applyFill="1" applyBorder="1"/>
    <xf numFmtId="0" fontId="241" fillId="28" borderId="12" xfId="0" applyFont="1" applyFill="1" applyBorder="1"/>
    <xf numFmtId="0" fontId="241" fillId="2" borderId="109" xfId="0" applyFont="1" applyFill="1" applyBorder="1" applyAlignment="1">
      <alignment horizontal="right"/>
    </xf>
    <xf numFmtId="0" fontId="241" fillId="28" borderId="5" xfId="0" applyFont="1" applyFill="1" applyBorder="1"/>
    <xf numFmtId="0" fontId="241" fillId="28" borderId="112" xfId="0" applyFont="1" applyFill="1" applyBorder="1"/>
    <xf numFmtId="0" fontId="243" fillId="2" borderId="103" xfId="0" applyFont="1" applyFill="1" applyBorder="1" applyAlignment="1">
      <alignment vertical="top"/>
    </xf>
    <xf numFmtId="166" fontId="241" fillId="28" borderId="0" xfId="71" applyNumberFormat="1" applyFont="1" applyFill="1" applyBorder="1"/>
    <xf numFmtId="43" fontId="241" fillId="2" borderId="0" xfId="0" applyNumberFormat="1" applyFont="1" applyFill="1"/>
    <xf numFmtId="166" fontId="241" fillId="28" borderId="97" xfId="71" applyNumberFormat="1" applyFont="1" applyFill="1" applyBorder="1"/>
    <xf numFmtId="166" fontId="241" fillId="28" borderId="12" xfId="71" applyNumberFormat="1" applyFont="1" applyFill="1" applyBorder="1"/>
    <xf numFmtId="0" fontId="243" fillId="28" borderId="0" xfId="0" applyFont="1" applyFill="1" applyBorder="1"/>
    <xf numFmtId="0" fontId="243" fillId="28" borderId="5" xfId="0" applyFont="1" applyFill="1" applyBorder="1"/>
    <xf numFmtId="0" fontId="243" fillId="2" borderId="0" xfId="0" applyFont="1" applyFill="1" applyBorder="1" applyAlignment="1">
      <alignment horizontal="center" vertical="top"/>
    </xf>
    <xf numFmtId="3" fontId="241" fillId="28" borderId="0" xfId="0" applyNumberFormat="1" applyFont="1" applyFill="1" applyBorder="1"/>
    <xf numFmtId="3" fontId="241" fillId="28" borderId="103" xfId="0" applyNumberFormat="1" applyFont="1" applyFill="1" applyBorder="1"/>
    <xf numFmtId="3" fontId="241" fillId="28" borderId="97" xfId="0" applyNumberFormat="1" applyFont="1" applyFill="1" applyBorder="1"/>
    <xf numFmtId="3" fontId="241" fillId="28" borderId="12" xfId="0" applyNumberFormat="1" applyFont="1" applyFill="1" applyBorder="1"/>
    <xf numFmtId="175" fontId="241" fillId="28" borderId="5" xfId="71" applyNumberFormat="1" applyFont="1" applyFill="1" applyBorder="1"/>
    <xf numFmtId="3" fontId="244" fillId="2" borderId="89" xfId="0" applyNumberFormat="1" applyFont="1" applyFill="1" applyBorder="1" applyAlignment="1" applyProtection="1">
      <alignment horizontal="left" vertical="center"/>
      <protection locked="0"/>
    </xf>
    <xf numFmtId="3" fontId="244" fillId="2" borderId="89" xfId="0" applyNumberFormat="1" applyFont="1" applyFill="1" applyBorder="1" applyAlignment="1" applyProtection="1">
      <alignment vertical="center" wrapText="1"/>
      <protection locked="0"/>
    </xf>
    <xf numFmtId="0" fontId="243" fillId="2" borderId="89" xfId="0" applyFont="1" applyFill="1" applyBorder="1"/>
    <xf numFmtId="175" fontId="243" fillId="28" borderId="0" xfId="71" applyNumberFormat="1" applyFont="1" applyFill="1" applyBorder="1"/>
    <xf numFmtId="0" fontId="243" fillId="2" borderId="0" xfId="0" applyFont="1" applyFill="1" applyBorder="1"/>
    <xf numFmtId="0" fontId="243" fillId="2" borderId="0" xfId="0" applyFont="1" applyFill="1"/>
    <xf numFmtId="0" fontId="243" fillId="94" borderId="0" xfId="0" applyFont="1" applyFill="1"/>
    <xf numFmtId="0" fontId="243" fillId="94" borderId="89" xfId="0" applyFont="1" applyFill="1" applyBorder="1"/>
    <xf numFmtId="0" fontId="243" fillId="94" borderId="0" xfId="0" applyFont="1" applyFill="1" applyBorder="1"/>
    <xf numFmtId="175" fontId="243" fillId="94" borderId="0" xfId="71" applyNumberFormat="1" applyFont="1" applyFill="1" applyBorder="1"/>
    <xf numFmtId="175" fontId="243" fillId="94" borderId="12" xfId="71" applyNumberFormat="1" applyFont="1" applyFill="1" applyBorder="1"/>
    <xf numFmtId="0" fontId="243" fillId="95" borderId="89" xfId="0" applyFont="1" applyFill="1" applyBorder="1"/>
    <xf numFmtId="0" fontId="243" fillId="95" borderId="0" xfId="0" applyFont="1" applyFill="1" applyBorder="1"/>
    <xf numFmtId="175" fontId="243" fillId="95" borderId="0" xfId="71" applyNumberFormat="1" applyFont="1" applyFill="1" applyBorder="1"/>
    <xf numFmtId="175" fontId="243" fillId="95" borderId="97" xfId="71" applyNumberFormat="1" applyFont="1" applyFill="1" applyBorder="1"/>
    <xf numFmtId="0" fontId="243" fillId="95" borderId="0" xfId="0" applyFont="1" applyFill="1"/>
    <xf numFmtId="175" fontId="243" fillId="95" borderId="12" xfId="71" applyNumberFormat="1" applyFont="1" applyFill="1" applyBorder="1"/>
    <xf numFmtId="0" fontId="244" fillId="2" borderId="89" xfId="0" applyNumberFormat="1" applyFont="1" applyFill="1" applyBorder="1" applyAlignment="1" applyProtection="1">
      <alignment vertical="top" wrapText="1"/>
      <protection locked="0"/>
    </xf>
    <xf numFmtId="0" fontId="243" fillId="90" borderId="0" xfId="0" applyFont="1" applyFill="1"/>
    <xf numFmtId="0" fontId="243" fillId="90" borderId="89" xfId="0" applyFont="1" applyFill="1" applyBorder="1"/>
    <xf numFmtId="0" fontId="243" fillId="90" borderId="0" xfId="0" applyFont="1" applyFill="1" applyBorder="1"/>
    <xf numFmtId="177" fontId="243" fillId="90" borderId="0" xfId="71" applyNumberFormat="1" applyFont="1" applyFill="1" applyBorder="1"/>
    <xf numFmtId="175" fontId="243" fillId="90" borderId="0" xfId="71" applyNumberFormat="1" applyFont="1" applyFill="1" applyBorder="1"/>
    <xf numFmtId="175" fontId="243" fillId="90" borderId="12" xfId="71" applyNumberFormat="1" applyFont="1" applyFill="1" applyBorder="1"/>
    <xf numFmtId="0" fontId="243" fillId="28" borderId="0" xfId="0" quotePrefix="1" applyFont="1" applyFill="1" applyBorder="1"/>
    <xf numFmtId="173" fontId="14" fillId="2" borderId="0" xfId="0" applyNumberFormat="1" applyFont="1" applyFill="1" applyBorder="1"/>
    <xf numFmtId="173" fontId="220" fillId="2" borderId="0" xfId="0" applyNumberFormat="1" applyFont="1" applyFill="1" applyBorder="1"/>
    <xf numFmtId="233" fontId="35" fillId="2" borderId="0" xfId="72" applyNumberFormat="1" applyFont="1" applyFill="1" applyProtection="1">
      <protection locked="0"/>
    </xf>
    <xf numFmtId="3" fontId="35" fillId="2" borderId="0" xfId="0" applyNumberFormat="1" applyFont="1" applyFill="1" applyProtection="1">
      <protection locked="0"/>
    </xf>
    <xf numFmtId="233" fontId="35" fillId="2" borderId="0" xfId="72" applyNumberFormat="1" applyFont="1" applyFill="1" applyAlignment="1" applyProtection="1">
      <alignment horizontal="center"/>
      <protection locked="0"/>
    </xf>
    <xf numFmtId="3" fontId="57" fillId="2" borderId="0" xfId="0" applyNumberFormat="1" applyFont="1" applyFill="1" applyBorder="1" applyAlignment="1" applyProtection="1">
      <alignment horizontal="center" wrapText="1"/>
      <protection locked="0"/>
    </xf>
    <xf numFmtId="9" fontId="35" fillId="2" borderId="0" xfId="72" applyFont="1" applyFill="1" applyAlignment="1" applyProtection="1">
      <alignment horizontal="center"/>
      <protection locked="0"/>
    </xf>
    <xf numFmtId="233" fontId="35" fillId="96" borderId="0" xfId="72" applyNumberFormat="1" applyFont="1" applyFill="1" applyAlignment="1" applyProtection="1">
      <alignment horizontal="center"/>
      <protection locked="0"/>
    </xf>
    <xf numFmtId="0" fontId="234" fillId="2" borderId="0" xfId="0" applyFont="1" applyFill="1" applyAlignment="1" applyProtection="1">
      <alignment horizontal="center"/>
      <protection locked="0"/>
    </xf>
    <xf numFmtId="3" fontId="245" fillId="2" borderId="89" xfId="0" applyNumberFormat="1" applyFont="1" applyFill="1" applyBorder="1" applyAlignment="1" applyProtection="1">
      <alignment horizontal="left" vertical="center"/>
      <protection locked="0"/>
    </xf>
    <xf numFmtId="3" fontId="50" fillId="2" borderId="0" xfId="0" applyNumberFormat="1" applyFont="1" applyFill="1" applyBorder="1" applyAlignment="1" applyProtection="1">
      <alignment horizontal="left" vertical="center"/>
      <protection locked="0"/>
    </xf>
    <xf numFmtId="3" fontId="50" fillId="2" borderId="35" xfId="0" applyNumberFormat="1" applyFont="1" applyFill="1" applyBorder="1" applyAlignment="1" applyProtection="1">
      <alignment horizontal="center" vertical="center"/>
      <protection locked="0"/>
    </xf>
    <xf numFmtId="0" fontId="246" fillId="2" borderId="0" xfId="0" applyFont="1" applyFill="1" applyBorder="1" applyProtection="1">
      <protection locked="0"/>
    </xf>
    <xf numFmtId="0" fontId="246" fillId="2" borderId="0" xfId="0" applyFont="1" applyFill="1" applyProtection="1">
      <protection locked="0"/>
    </xf>
    <xf numFmtId="0" fontId="247" fillId="2" borderId="0" xfId="0" applyFont="1" applyFill="1" applyAlignment="1" applyProtection="1">
      <alignment horizontal="center" vertical="center"/>
      <protection locked="0"/>
    </xf>
    <xf numFmtId="3" fontId="245" fillId="2" borderId="118" xfId="0" applyNumberFormat="1" applyFont="1" applyFill="1" applyBorder="1" applyAlignment="1" applyProtection="1">
      <alignment horizontal="left" vertical="center"/>
      <protection locked="0"/>
    </xf>
    <xf numFmtId="3" fontId="50" fillId="2" borderId="96" xfId="0" applyNumberFormat="1" applyFont="1" applyFill="1" applyBorder="1" applyAlignment="1" applyProtection="1">
      <alignment horizontal="left" vertical="center"/>
      <protection locked="0"/>
    </xf>
    <xf numFmtId="3" fontId="50" fillId="2" borderId="96" xfId="0" applyNumberFormat="1" applyFont="1" applyFill="1" applyBorder="1" applyAlignment="1" applyProtection="1">
      <alignment horizontal="center" vertical="center"/>
      <protection locked="0"/>
    </xf>
    <xf numFmtId="0" fontId="246" fillId="2" borderId="96" xfId="0" applyFont="1" applyFill="1" applyBorder="1" applyProtection="1">
      <protection locked="0"/>
    </xf>
    <xf numFmtId="3" fontId="50" fillId="2" borderId="103" xfId="0" applyNumberFormat="1" applyFont="1" applyFill="1" applyBorder="1" applyAlignment="1" applyProtection="1">
      <alignment horizontal="center" vertical="center"/>
      <protection locked="0"/>
    </xf>
    <xf numFmtId="3" fontId="50" fillId="2" borderId="97" xfId="0" applyNumberFormat="1" applyFont="1" applyFill="1" applyBorder="1" applyAlignment="1" applyProtection="1">
      <alignment horizontal="center" vertical="center"/>
      <protection locked="0"/>
    </xf>
    <xf numFmtId="0" fontId="248" fillId="2" borderId="0" xfId="0" applyFont="1" applyFill="1" applyProtection="1">
      <protection locked="0"/>
    </xf>
    <xf numFmtId="3" fontId="50" fillId="2" borderId="40" xfId="0" applyNumberFormat="1" applyFont="1" applyFill="1" applyBorder="1" applyAlignment="1" applyProtection="1">
      <alignment horizontal="center" vertical="center"/>
      <protection locked="0"/>
    </xf>
    <xf numFmtId="3" fontId="42" fillId="2" borderId="0" xfId="0" applyNumberFormat="1" applyFont="1" applyFill="1" applyProtection="1">
      <protection locked="0"/>
    </xf>
    <xf numFmtId="0" fontId="247" fillId="2" borderId="0" xfId="0" applyFont="1" applyFill="1" applyAlignment="1" applyProtection="1">
      <alignment horizontal="center"/>
      <protection locked="0"/>
    </xf>
    <xf numFmtId="0" fontId="245" fillId="2" borderId="89" xfId="0" applyNumberFormat="1" applyFont="1" applyFill="1" applyBorder="1" applyAlignment="1" applyProtection="1">
      <alignment vertical="top" wrapText="1"/>
      <protection locked="0"/>
    </xf>
    <xf numFmtId="3" fontId="249" fillId="2" borderId="0" xfId="0" applyNumberFormat="1" applyFont="1" applyFill="1" applyBorder="1" applyAlignment="1" applyProtection="1">
      <alignment horizontal="center" vertical="center"/>
      <protection locked="0"/>
    </xf>
    <xf numFmtId="3" fontId="249" fillId="28" borderId="35" xfId="0" applyNumberFormat="1" applyFont="1" applyFill="1" applyBorder="1" applyAlignment="1" applyProtection="1">
      <alignment horizontal="center" vertical="center"/>
      <protection locked="0"/>
    </xf>
    <xf numFmtId="10" fontId="249" fillId="28" borderId="0" xfId="72" applyNumberFormat="1" applyFont="1" applyFill="1" applyBorder="1" applyAlignment="1" applyProtection="1">
      <alignment horizontal="center" vertical="center"/>
      <protection locked="0"/>
    </xf>
    <xf numFmtId="9" fontId="249" fillId="28" borderId="12" xfId="72" applyFont="1" applyFill="1" applyBorder="1" applyAlignment="1" applyProtection="1">
      <alignment horizontal="center" vertical="center"/>
      <protection locked="0"/>
    </xf>
    <xf numFmtId="0" fontId="250" fillId="2" borderId="0" xfId="0" applyFont="1" applyFill="1" applyProtection="1">
      <protection locked="0"/>
    </xf>
    <xf numFmtId="3" fontId="245" fillId="2" borderId="89" xfId="0" applyNumberFormat="1" applyFont="1" applyFill="1" applyBorder="1" applyAlignment="1" applyProtection="1">
      <alignment vertical="center" wrapText="1"/>
      <protection locked="0"/>
    </xf>
    <xf numFmtId="10" fontId="249" fillId="2" borderId="0" xfId="0" applyNumberFormat="1" applyFont="1" applyFill="1" applyBorder="1" applyAlignment="1" applyProtection="1">
      <alignment horizontal="center" vertical="center"/>
    </xf>
    <xf numFmtId="9" fontId="250" fillId="2" borderId="12" xfId="72" applyFont="1" applyFill="1" applyBorder="1" applyAlignment="1" applyProtection="1">
      <alignment horizontal="center" vertical="center"/>
      <protection locked="0"/>
    </xf>
    <xf numFmtId="175" fontId="243" fillId="28" borderId="142" xfId="71" applyNumberFormat="1" applyFont="1" applyFill="1" applyBorder="1"/>
    <xf numFmtId="0" fontId="92" fillId="97" borderId="89" xfId="0" applyNumberFormat="1" applyFont="1" applyFill="1" applyBorder="1" applyAlignment="1" applyProtection="1">
      <alignment vertical="top" wrapText="1"/>
      <protection locked="0"/>
    </xf>
    <xf numFmtId="3" fontId="92" fillId="97" borderId="89" xfId="0" applyNumberFormat="1" applyFont="1" applyFill="1" applyBorder="1" applyAlignment="1" applyProtection="1">
      <alignment vertical="center"/>
      <protection locked="0"/>
    </xf>
    <xf numFmtId="3" fontId="42" fillId="2" borderId="0" xfId="0" applyNumberFormat="1" applyFont="1" applyFill="1" applyAlignment="1" applyProtection="1">
      <alignment horizontal="center" vertical="center"/>
      <protection locked="0"/>
    </xf>
    <xf numFmtId="282" fontId="42" fillId="2" borderId="0" xfId="0" applyNumberFormat="1" applyFont="1" applyFill="1" applyAlignment="1" applyProtection="1">
      <alignment horizontal="center" vertical="center"/>
      <protection locked="0"/>
    </xf>
    <xf numFmtId="171" fontId="42" fillId="2" borderId="0" xfId="0" applyNumberFormat="1" applyFont="1" applyFill="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43" fillId="2" borderId="0" xfId="0" applyFont="1" applyFill="1" applyAlignment="1" applyProtection="1">
      <alignment horizontal="center" vertical="center"/>
      <protection locked="0"/>
    </xf>
    <xf numFmtId="0" fontId="42" fillId="2" borderId="0" xfId="0" applyFont="1" applyFill="1" applyAlignment="1" applyProtection="1">
      <alignment horizontal="center"/>
      <protection locked="0"/>
    </xf>
    <xf numFmtId="171" fontId="43" fillId="2" borderId="143" xfId="0" applyNumberFormat="1" applyFont="1" applyFill="1" applyBorder="1" applyAlignment="1" applyProtection="1">
      <alignment horizontal="center" vertical="center"/>
      <protection locked="0"/>
    </xf>
    <xf numFmtId="3" fontId="43" fillId="2" borderId="0" xfId="0" applyNumberFormat="1" applyFont="1" applyFill="1" applyAlignment="1" applyProtection="1">
      <alignment horizontal="right" vertical="center"/>
      <protection locked="0"/>
    </xf>
    <xf numFmtId="0" fontId="53" fillId="26" borderId="110" xfId="0" applyFont="1" applyFill="1" applyBorder="1" applyProtection="1">
      <protection locked="0"/>
    </xf>
    <xf numFmtId="0" fontId="53" fillId="26" borderId="110" xfId="0" applyFont="1" applyFill="1" applyBorder="1" applyAlignment="1" applyProtection="1">
      <alignment horizontal="center" vertical="center" wrapText="1"/>
      <protection locked="0"/>
    </xf>
    <xf numFmtId="0" fontId="53" fillId="26" borderId="110" xfId="0" applyFont="1" applyFill="1" applyBorder="1" applyAlignment="1" applyProtection="1">
      <alignment horizontal="center" vertical="center"/>
      <protection locked="0"/>
    </xf>
    <xf numFmtId="0" fontId="209" fillId="2" borderId="0" xfId="0" applyFont="1" applyFill="1" applyAlignment="1" applyProtection="1">
      <alignment horizontal="center"/>
      <protection locked="0"/>
    </xf>
    <xf numFmtId="0" fontId="92" fillId="0" borderId="89" xfId="0" applyNumberFormat="1" applyFont="1" applyFill="1" applyBorder="1" applyAlignment="1" applyProtection="1">
      <alignment vertical="top" wrapText="1"/>
      <protection locked="0"/>
    </xf>
    <xf numFmtId="10" fontId="46" fillId="28" borderId="0" xfId="0" applyNumberFormat="1" applyFont="1" applyFill="1" applyBorder="1" applyAlignment="1" applyProtection="1">
      <alignment horizontal="center" vertical="center"/>
      <protection locked="0"/>
    </xf>
    <xf numFmtId="9" fontId="46" fillId="28" borderId="12" xfId="72" applyFont="1" applyFill="1" applyBorder="1" applyAlignment="1" applyProtection="1">
      <alignment horizontal="center" vertical="center"/>
      <protection locked="0"/>
    </xf>
    <xf numFmtId="0" fontId="13" fillId="2" borderId="0" xfId="0" applyFont="1" applyFill="1" applyProtection="1">
      <protection locked="0"/>
    </xf>
    <xf numFmtId="10" fontId="46" fillId="2" borderId="0" xfId="0" applyNumberFormat="1" applyFont="1" applyFill="1" applyBorder="1" applyAlignment="1" applyProtection="1">
      <alignment horizontal="center" vertical="center"/>
    </xf>
    <xf numFmtId="0" fontId="13" fillId="2" borderId="12" xfId="0" applyFont="1" applyFill="1" applyBorder="1" applyAlignment="1" applyProtection="1">
      <alignment horizontal="center" vertical="center"/>
      <protection locked="0"/>
    </xf>
    <xf numFmtId="0" fontId="45" fillId="0" borderId="0" xfId="0" applyFont="1" applyAlignment="1">
      <alignment horizontal="left" vertical="center"/>
    </xf>
    <xf numFmtId="0" fontId="49" fillId="0" borderId="0" xfId="0" applyFont="1" applyAlignment="1">
      <alignment horizontal="center" vertical="center"/>
    </xf>
    <xf numFmtId="177" fontId="49" fillId="0" borderId="0" xfId="71" applyNumberFormat="1" applyFont="1" applyBorder="1" applyAlignment="1">
      <alignment horizontal="center" vertical="center"/>
    </xf>
    <xf numFmtId="0" fontId="49" fillId="0" borderId="0" xfId="0" applyFont="1" applyBorder="1" applyAlignment="1">
      <alignment horizontal="center" vertical="center"/>
    </xf>
    <xf numFmtId="0" fontId="49" fillId="0" borderId="0" xfId="0" applyNumberFormat="1" applyFont="1" applyAlignment="1">
      <alignment horizontal="center" vertical="center"/>
    </xf>
    <xf numFmtId="194" fontId="49" fillId="0" borderId="0" xfId="71" applyNumberFormat="1" applyFont="1" applyBorder="1" applyAlignment="1">
      <alignment horizontal="center" vertical="center"/>
    </xf>
    <xf numFmtId="0" fontId="49" fillId="0" borderId="0" xfId="0" applyFont="1" applyFill="1" applyBorder="1" applyAlignment="1">
      <alignment horizontal="center" vertical="center"/>
    </xf>
    <xf numFmtId="0" fontId="49" fillId="0" borderId="137" xfId="0" applyFont="1" applyBorder="1" applyAlignment="1">
      <alignment horizontal="center" vertical="center"/>
    </xf>
    <xf numFmtId="0" fontId="49" fillId="0" borderId="0" xfId="0" applyFont="1" applyFill="1" applyBorder="1" applyAlignment="1">
      <alignment horizontal="left" vertical="center"/>
    </xf>
    <xf numFmtId="0" fontId="45" fillId="0" borderId="0" xfId="0" applyNumberFormat="1" applyFont="1" applyBorder="1"/>
    <xf numFmtId="168" fontId="49" fillId="0" borderId="9" xfId="0" applyNumberFormat="1" applyFont="1" applyBorder="1" applyAlignment="1">
      <alignment horizontal="center" vertical="center"/>
    </xf>
    <xf numFmtId="172" fontId="49" fillId="0" borderId="0" xfId="0" applyNumberFormat="1" applyFont="1" applyFill="1" applyBorder="1" applyAlignment="1">
      <alignment horizontal="center" vertical="center"/>
    </xf>
    <xf numFmtId="166" fontId="49" fillId="0" borderId="0" xfId="0" applyNumberFormat="1" applyFont="1" applyFill="1" applyBorder="1" applyAlignment="1">
      <alignment horizontal="center" vertical="center"/>
    </xf>
    <xf numFmtId="166" fontId="49" fillId="0" borderId="0" xfId="0" applyNumberFormat="1" applyFont="1" applyBorder="1" applyAlignment="1">
      <alignment horizontal="center" vertical="center"/>
    </xf>
    <xf numFmtId="0" fontId="49" fillId="0" borderId="0" xfId="0" applyFont="1" applyBorder="1" applyAlignment="1">
      <alignment horizontal="left" vertical="center"/>
    </xf>
    <xf numFmtId="10" fontId="49" fillId="0" borderId="0" xfId="72" applyNumberFormat="1" applyFont="1" applyBorder="1" applyAlignment="1">
      <alignment horizontal="center" vertical="center"/>
    </xf>
    <xf numFmtId="165" fontId="49" fillId="0" borderId="0" xfId="1798" applyFont="1" applyBorder="1" applyAlignment="1">
      <alignment horizontal="center" vertical="center"/>
    </xf>
    <xf numFmtId="165" fontId="45" fillId="0" borderId="0" xfId="1798" applyFont="1" applyFill="1" applyBorder="1" applyAlignment="1">
      <alignment horizontal="center" vertical="center"/>
    </xf>
    <xf numFmtId="0" fontId="49" fillId="0" borderId="0" xfId="1798" applyNumberFormat="1" applyFont="1" applyAlignment="1">
      <alignment horizontal="center" vertical="center"/>
    </xf>
    <xf numFmtId="10" fontId="49" fillId="0" borderId="0" xfId="72" applyNumberFormat="1" applyFont="1" applyAlignment="1">
      <alignment horizontal="center" vertical="center"/>
    </xf>
    <xf numFmtId="0" fontId="49" fillId="0" borderId="0" xfId="0" applyFont="1" applyAlignment="1">
      <alignment horizontal="left" vertical="center"/>
    </xf>
    <xf numFmtId="0" fontId="52" fillId="0" borderId="0" xfId="0" applyFont="1" applyAlignment="1">
      <alignment vertical="center"/>
    </xf>
    <xf numFmtId="0" fontId="49" fillId="98" borderId="146" xfId="0" applyFont="1" applyFill="1" applyBorder="1" applyAlignment="1">
      <alignment horizontal="left" vertical="center" wrapText="1"/>
    </xf>
    <xf numFmtId="165" fontId="45" fillId="98" borderId="147" xfId="1798" applyFont="1" applyFill="1" applyBorder="1" applyAlignment="1">
      <alignment horizontal="center" vertical="center"/>
    </xf>
    <xf numFmtId="0" fontId="49" fillId="0" borderId="0" xfId="0" applyNumberFormat="1" applyFont="1" applyBorder="1" applyAlignment="1">
      <alignment horizontal="center" vertical="center"/>
    </xf>
    <xf numFmtId="0" fontId="45" fillId="0" borderId="0" xfId="0" applyFont="1"/>
    <xf numFmtId="0" fontId="49" fillId="0" borderId="0" xfId="0" applyFont="1"/>
    <xf numFmtId="43" fontId="49" fillId="0" borderId="0" xfId="0" applyNumberFormat="1" applyFont="1"/>
    <xf numFmtId="0" fontId="49" fillId="2" borderId="146" xfId="0" applyFont="1" applyFill="1" applyBorder="1" applyAlignment="1">
      <alignment horizontal="left" vertical="center" wrapText="1"/>
    </xf>
    <xf numFmtId="177" fontId="49" fillId="2" borderId="0" xfId="71" applyNumberFormat="1" applyFont="1" applyFill="1" applyBorder="1" applyAlignment="1">
      <alignment horizontal="center" vertical="center"/>
    </xf>
    <xf numFmtId="194" fontId="49" fillId="2" borderId="0" xfId="71" applyNumberFormat="1" applyFont="1" applyFill="1" applyBorder="1" applyAlignment="1">
      <alignment horizontal="center" vertical="center"/>
    </xf>
    <xf numFmtId="0" fontId="214" fillId="26" borderId="149" xfId="0" applyFont="1" applyFill="1" applyBorder="1" applyAlignment="1">
      <alignment horizontal="center" vertical="center"/>
    </xf>
    <xf numFmtId="0" fontId="214" fillId="26" borderId="144" xfId="0" applyFont="1" applyFill="1" applyBorder="1" applyAlignment="1">
      <alignment horizontal="center" vertical="center"/>
    </xf>
    <xf numFmtId="0" fontId="214" fillId="26" borderId="150" xfId="0" applyFont="1" applyFill="1" applyBorder="1" applyAlignment="1">
      <alignment horizontal="center" vertical="center"/>
    </xf>
    <xf numFmtId="0" fontId="45" fillId="2" borderId="146" xfId="0" applyFont="1" applyFill="1" applyBorder="1" applyAlignment="1">
      <alignment horizontal="left" vertical="center"/>
    </xf>
    <xf numFmtId="0" fontId="45" fillId="2" borderId="147" xfId="0" applyFont="1" applyFill="1" applyBorder="1" applyAlignment="1">
      <alignment horizontal="center" vertical="center"/>
    </xf>
    <xf numFmtId="0" fontId="49" fillId="2" borderId="146" xfId="0" applyFont="1" applyFill="1" applyBorder="1" applyAlignment="1">
      <alignment horizontal="left" vertical="center"/>
    </xf>
    <xf numFmtId="0" fontId="49" fillId="2" borderId="153" xfId="0" applyFont="1" applyFill="1" applyBorder="1" applyAlignment="1">
      <alignment horizontal="left" vertical="center" wrapText="1"/>
    </xf>
    <xf numFmtId="194" fontId="49" fillId="2" borderId="138" xfId="71" applyNumberFormat="1" applyFont="1" applyFill="1" applyBorder="1" applyAlignment="1">
      <alignment horizontal="center" vertical="center"/>
    </xf>
    <xf numFmtId="0" fontId="45" fillId="2" borderId="157" xfId="0" applyFont="1" applyFill="1" applyBorder="1" applyAlignment="1">
      <alignment horizontal="left" vertical="center" wrapText="1"/>
    </xf>
    <xf numFmtId="165" fontId="45" fillId="2" borderId="5" xfId="1798" applyFont="1" applyFill="1" applyBorder="1" applyAlignment="1">
      <alignment horizontal="center" vertical="center"/>
    </xf>
    <xf numFmtId="165" fontId="45" fillId="2" borderId="158" xfId="1798" applyFont="1" applyFill="1" applyBorder="1" applyAlignment="1">
      <alignment horizontal="center" vertical="center"/>
    </xf>
    <xf numFmtId="165" fontId="49" fillId="2" borderId="138" xfId="1798" applyFont="1" applyFill="1" applyBorder="1" applyAlignment="1">
      <alignment horizontal="center" vertical="center"/>
    </xf>
    <xf numFmtId="165" fontId="45" fillId="2" borderId="154" xfId="1798" applyFont="1" applyFill="1" applyBorder="1" applyAlignment="1">
      <alignment horizontal="center" vertical="center"/>
    </xf>
    <xf numFmtId="165" fontId="49" fillId="98" borderId="0" xfId="1798" applyFont="1" applyFill="1" applyBorder="1" applyAlignment="1">
      <alignment horizontal="center" vertical="center"/>
    </xf>
    <xf numFmtId="10" fontId="49" fillId="98" borderId="0" xfId="72" applyNumberFormat="1" applyFont="1" applyFill="1" applyBorder="1" applyAlignment="1">
      <alignment horizontal="center" vertical="center"/>
    </xf>
    <xf numFmtId="177" fontId="49" fillId="98" borderId="0" xfId="71" applyNumberFormat="1" applyFont="1" applyFill="1" applyBorder="1" applyAlignment="1">
      <alignment horizontal="center" vertical="center"/>
    </xf>
    <xf numFmtId="0" fontId="49" fillId="98" borderId="146" xfId="0" applyFont="1" applyFill="1" applyBorder="1" applyAlignment="1">
      <alignment horizontal="left" vertical="center"/>
    </xf>
    <xf numFmtId="0" fontId="45" fillId="98" borderId="155" xfId="0" applyFont="1" applyFill="1" applyBorder="1" applyAlignment="1">
      <alignment horizontal="left" vertical="center" wrapText="1"/>
    </xf>
    <xf numFmtId="165" fontId="49" fillId="98" borderId="142" xfId="1798" applyFont="1" applyFill="1" applyBorder="1" applyAlignment="1">
      <alignment horizontal="center" vertical="center"/>
    </xf>
    <xf numFmtId="165" fontId="45" fillId="98" borderId="156" xfId="1798" applyFont="1" applyFill="1" applyBorder="1" applyAlignment="1">
      <alignment horizontal="center" vertical="center"/>
    </xf>
    <xf numFmtId="0" fontId="49" fillId="98" borderId="151" xfId="0" applyFont="1" applyFill="1" applyBorder="1" applyAlignment="1">
      <alignment horizontal="left" vertical="center"/>
    </xf>
    <xf numFmtId="165" fontId="49" fillId="98" borderId="148" xfId="72" applyNumberFormat="1" applyFont="1" applyFill="1" applyBorder="1" applyAlignment="1">
      <alignment horizontal="center" vertical="center"/>
    </xf>
    <xf numFmtId="165" fontId="49" fillId="98" borderId="148" xfId="1798" applyFont="1" applyFill="1" applyBorder="1" applyAlignment="1">
      <alignment horizontal="center" vertical="center"/>
    </xf>
    <xf numFmtId="165" fontId="45" fillId="98" borderId="152" xfId="1798" applyFont="1" applyFill="1" applyBorder="1" applyAlignment="1">
      <alignment horizontal="center" vertical="center"/>
    </xf>
    <xf numFmtId="177" fontId="45" fillId="2" borderId="147" xfId="71" applyNumberFormat="1" applyFont="1" applyFill="1" applyBorder="1" applyAlignment="1">
      <alignment horizontal="center" vertical="center"/>
    </xf>
    <xf numFmtId="194" fontId="45" fillId="2" borderId="147" xfId="71" applyNumberFormat="1" applyFont="1" applyFill="1" applyBorder="1" applyAlignment="1">
      <alignment horizontal="center" vertical="center"/>
    </xf>
    <xf numFmtId="194" fontId="45" fillId="2" borderId="154" xfId="71" applyNumberFormat="1" applyFont="1" applyFill="1" applyBorder="1" applyAlignment="1">
      <alignment horizontal="center" vertical="center"/>
    </xf>
    <xf numFmtId="177" fontId="45" fillId="98" borderId="147" xfId="71" applyNumberFormat="1" applyFont="1" applyFill="1" applyBorder="1" applyAlignment="1">
      <alignment horizontal="center" vertical="center"/>
    </xf>
    <xf numFmtId="0" fontId="49" fillId="0" borderId="146" xfId="0" applyFont="1" applyBorder="1"/>
    <xf numFmtId="177" fontId="49" fillId="0" borderId="0" xfId="71" applyNumberFormat="1" applyFont="1" applyBorder="1"/>
    <xf numFmtId="177" fontId="49" fillId="0" borderId="147" xfId="71" applyNumberFormat="1" applyFont="1" applyBorder="1"/>
    <xf numFmtId="166" fontId="49" fillId="0" borderId="0" xfId="71" applyFont="1" applyBorder="1"/>
    <xf numFmtId="166" fontId="49" fillId="0" borderId="147" xfId="71" applyFont="1" applyBorder="1"/>
    <xf numFmtId="165" fontId="49" fillId="0" borderId="0" xfId="1798" applyFont="1" applyBorder="1"/>
    <xf numFmtId="165" fontId="49" fillId="0" borderId="147" xfId="1798" applyFont="1" applyBorder="1"/>
    <xf numFmtId="0" fontId="45" fillId="0" borderId="151" xfId="0" applyFont="1" applyBorder="1"/>
    <xf numFmtId="165" fontId="45" fillId="0" borderId="148" xfId="1798" applyFont="1" applyBorder="1"/>
    <xf numFmtId="165" fontId="45" fillId="0" borderId="152" xfId="1798" applyFont="1" applyBorder="1"/>
    <xf numFmtId="0" fontId="49" fillId="0" borderId="152" xfId="0" applyFont="1" applyBorder="1"/>
    <xf numFmtId="0" fontId="214" fillId="26" borderId="144" xfId="0" applyFont="1" applyFill="1" applyBorder="1" applyAlignment="1">
      <alignment horizontal="center"/>
    </xf>
    <xf numFmtId="0" fontId="214" fillId="26" borderId="145" xfId="0" applyFont="1" applyFill="1" applyBorder="1" applyAlignment="1">
      <alignment horizontal="center"/>
    </xf>
    <xf numFmtId="3" fontId="43" fillId="0" borderId="40" xfId="0" applyNumberFormat="1" applyFont="1" applyFill="1" applyBorder="1" applyAlignment="1" applyProtection="1">
      <alignment horizontal="center" vertical="center"/>
      <protection locked="0"/>
    </xf>
    <xf numFmtId="166" fontId="14" fillId="2" borderId="0" xfId="71" applyFont="1" applyFill="1"/>
    <xf numFmtId="166" fontId="218" fillId="2" borderId="0" xfId="71" applyFont="1" applyFill="1"/>
    <xf numFmtId="166" fontId="14" fillId="2" borderId="0" xfId="71" applyFont="1" applyFill="1" applyBorder="1"/>
    <xf numFmtId="166" fontId="0" fillId="2" borderId="0" xfId="71" applyFont="1" applyFill="1"/>
    <xf numFmtId="0" fontId="49" fillId="0" borderId="110" xfId="0" applyFont="1" applyBorder="1" applyAlignment="1">
      <alignment horizontal="center" vertical="center"/>
    </xf>
    <xf numFmtId="9" fontId="49" fillId="0" borderId="110" xfId="72" applyFont="1" applyFill="1" applyBorder="1" applyAlignment="1">
      <alignment horizontal="center" vertical="center"/>
    </xf>
    <xf numFmtId="43" fontId="0" fillId="2" borderId="0" xfId="0" applyNumberFormat="1" applyFont="1" applyFill="1"/>
    <xf numFmtId="175" fontId="243" fillId="28" borderId="97" xfId="71" applyNumberFormat="1" applyFont="1" applyFill="1" applyBorder="1"/>
    <xf numFmtId="175" fontId="243" fillId="28" borderId="12" xfId="71" applyNumberFormat="1" applyFont="1" applyFill="1" applyBorder="1"/>
    <xf numFmtId="0" fontId="92" fillId="94" borderId="89" xfId="0" applyFont="1" applyFill="1" applyBorder="1" applyAlignment="1" applyProtection="1">
      <alignment vertical="top" wrapText="1"/>
      <protection locked="0"/>
    </xf>
    <xf numFmtId="3" fontId="92" fillId="94" borderId="89" xfId="0" applyNumberFormat="1" applyFont="1" applyFill="1" applyBorder="1" applyAlignment="1" applyProtection="1">
      <alignment vertical="center"/>
      <protection locked="0"/>
    </xf>
    <xf numFmtId="0" fontId="92" fillId="94" borderId="0" xfId="0" applyFont="1" applyFill="1" applyBorder="1" applyAlignment="1" applyProtection="1">
      <alignment vertical="top" wrapText="1"/>
      <protection locked="0"/>
    </xf>
    <xf numFmtId="3" fontId="92" fillId="94" borderId="0" xfId="0" applyNumberFormat="1" applyFont="1" applyFill="1" applyBorder="1" applyAlignment="1" applyProtection="1">
      <alignment vertical="center"/>
      <protection locked="0"/>
    </xf>
    <xf numFmtId="172" fontId="223" fillId="0" borderId="0" xfId="0" applyNumberFormat="1" applyFont="1" applyFill="1" applyBorder="1" applyAlignment="1">
      <alignment horizontal="left" vertical="center"/>
    </xf>
    <xf numFmtId="0" fontId="74" fillId="2" borderId="0" xfId="0" applyFont="1" applyFill="1"/>
    <xf numFmtId="0" fontId="223" fillId="0" borderId="0" xfId="0" applyFont="1" applyAlignment="1">
      <alignment horizontal="center" vertical="center"/>
    </xf>
    <xf numFmtId="177" fontId="49" fillId="94" borderId="0" xfId="71" applyNumberFormat="1" applyFont="1" applyFill="1" applyBorder="1" applyAlignment="1">
      <alignment horizontal="center" vertical="center"/>
    </xf>
    <xf numFmtId="0" fontId="223" fillId="0" borderId="0" xfId="0" applyNumberFormat="1" applyFont="1" applyAlignment="1">
      <alignment horizontal="left" vertical="center"/>
    </xf>
    <xf numFmtId="194" fontId="49" fillId="94" borderId="0" xfId="71" applyNumberFormat="1" applyFont="1" applyFill="1" applyBorder="1" applyAlignment="1">
      <alignment horizontal="center" vertical="center"/>
    </xf>
    <xf numFmtId="164" fontId="92" fillId="94" borderId="0" xfId="0" applyNumberFormat="1" applyFont="1" applyFill="1" applyBorder="1" applyAlignment="1">
      <alignment horizontal="center"/>
    </xf>
    <xf numFmtId="169" fontId="46" fillId="99" borderId="0" xfId="71" applyNumberFormat="1" applyFont="1" applyFill="1" applyBorder="1" applyAlignment="1" applyProtection="1">
      <alignment horizontal="center" vertical="center"/>
      <protection locked="0"/>
    </xf>
    <xf numFmtId="44" fontId="46" fillId="99" borderId="12" xfId="70" applyFont="1" applyFill="1" applyBorder="1" applyAlignment="1" applyProtection="1">
      <alignment horizontal="center" vertical="center"/>
      <protection locked="0"/>
    </xf>
    <xf numFmtId="177" fontId="92" fillId="2" borderId="0" xfId="71" applyNumberFormat="1" applyFont="1" applyFill="1" applyBorder="1" applyAlignment="1">
      <alignment horizontal="center" vertical="center"/>
    </xf>
    <xf numFmtId="194" fontId="92" fillId="2" borderId="0" xfId="71" applyNumberFormat="1" applyFont="1" applyFill="1" applyBorder="1" applyAlignment="1">
      <alignment horizontal="center" vertical="center"/>
    </xf>
    <xf numFmtId="0" fontId="253" fillId="100" borderId="143" xfId="0" applyFont="1" applyFill="1" applyBorder="1" applyAlignment="1">
      <alignment vertical="center" wrapText="1"/>
    </xf>
    <xf numFmtId="0" fontId="253" fillId="100" borderId="159" xfId="0" applyFont="1" applyFill="1" applyBorder="1" applyAlignment="1">
      <alignment vertical="center" wrapText="1"/>
    </xf>
    <xf numFmtId="0" fontId="52" fillId="0" borderId="160" xfId="0" applyFont="1" applyBorder="1" applyAlignment="1">
      <alignment vertical="center" wrapText="1"/>
    </xf>
    <xf numFmtId="0" fontId="52" fillId="0" borderId="152" xfId="0" applyFont="1" applyBorder="1" applyAlignment="1">
      <alignment vertical="center" wrapText="1"/>
    </xf>
    <xf numFmtId="15" fontId="52" fillId="0" borderId="152" xfId="0" applyNumberFormat="1" applyFont="1" applyBorder="1" applyAlignment="1">
      <alignment vertical="center" wrapText="1"/>
    </xf>
    <xf numFmtId="3" fontId="52" fillId="0" borderId="152" xfId="0" applyNumberFormat="1" applyFont="1" applyBorder="1" applyAlignment="1">
      <alignment vertical="center" wrapText="1"/>
    </xf>
    <xf numFmtId="0" fontId="52" fillId="0" borderId="0" xfId="0" applyFont="1" applyAlignment="1">
      <alignment vertical="center" wrapText="1"/>
    </xf>
    <xf numFmtId="0" fontId="0" fillId="0" borderId="0" xfId="0" applyAlignment="1">
      <alignment wrapText="1"/>
    </xf>
    <xf numFmtId="177" fontId="0" fillId="0" borderId="0" xfId="71" applyNumberFormat="1" applyFont="1"/>
    <xf numFmtId="0" fontId="253" fillId="100" borderId="159" xfId="0" applyFont="1" applyFill="1" applyBorder="1" applyAlignment="1">
      <alignment horizontal="center" vertical="center" wrapText="1"/>
    </xf>
    <xf numFmtId="0" fontId="0" fillId="0" borderId="110" xfId="0" applyBorder="1" applyAlignment="1">
      <alignment wrapText="1"/>
    </xf>
    <xf numFmtId="3" fontId="0" fillId="0" borderId="110" xfId="0" applyNumberFormat="1" applyBorder="1" applyAlignment="1">
      <alignment wrapText="1"/>
    </xf>
    <xf numFmtId="9" fontId="0" fillId="0" borderId="110" xfId="72" applyFont="1" applyBorder="1" applyAlignment="1">
      <alignment horizontal="center" wrapText="1"/>
    </xf>
    <xf numFmtId="0" fontId="55" fillId="94" borderId="35" xfId="0" applyFont="1" applyFill="1" applyBorder="1" applyAlignment="1" applyProtection="1">
      <alignment horizontal="center" vertical="center" wrapText="1"/>
      <protection locked="0"/>
    </xf>
    <xf numFmtId="0" fontId="55" fillId="94" borderId="116" xfId="70" applyNumberFormat="1" applyFont="1" applyFill="1" applyBorder="1" applyAlignment="1" applyProtection="1">
      <alignment horizontal="center" vertical="center"/>
      <protection locked="0"/>
    </xf>
    <xf numFmtId="44" fontId="49" fillId="0" borderId="0" xfId="0" applyNumberFormat="1" applyFont="1" applyAlignment="1">
      <alignment horizontal="left" vertical="center"/>
    </xf>
    <xf numFmtId="3" fontId="49" fillId="94" borderId="34" xfId="0" applyNumberFormat="1" applyFont="1" applyFill="1" applyBorder="1" applyAlignment="1">
      <alignment horizontal="center"/>
    </xf>
    <xf numFmtId="176" fontId="46" fillId="94" borderId="35" xfId="70" applyNumberFormat="1" applyFont="1" applyFill="1" applyBorder="1" applyAlignment="1" applyProtection="1">
      <alignment horizont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43" fillId="2" borderId="161" xfId="0" applyFont="1" applyFill="1" applyBorder="1" applyAlignment="1" applyProtection="1">
      <alignment wrapText="1"/>
      <protection locked="0"/>
    </xf>
    <xf numFmtId="0" fontId="43" fillId="0" borderId="162" xfId="0" applyFont="1" applyBorder="1" applyAlignment="1">
      <alignment horizontal="center" wrapText="1"/>
    </xf>
    <xf numFmtId="0" fontId="43" fillId="0" borderId="163" xfId="0" applyFont="1" applyBorder="1" applyAlignment="1">
      <alignment horizontal="center" wrapText="1"/>
    </xf>
    <xf numFmtId="0" fontId="43" fillId="0" borderId="164" xfId="0" applyFont="1" applyBorder="1"/>
    <xf numFmtId="0" fontId="42" fillId="0" borderId="165" xfId="0" applyFont="1" applyBorder="1"/>
    <xf numFmtId="3" fontId="0" fillId="0" borderId="0" xfId="0" applyNumberFormat="1"/>
    <xf numFmtId="0" fontId="42" fillId="0" borderId="166" xfId="0" applyFont="1" applyFill="1" applyBorder="1"/>
    <xf numFmtId="3" fontId="0" fillId="0" borderId="122" xfId="0" applyNumberFormat="1" applyBorder="1"/>
    <xf numFmtId="3" fontId="0" fillId="0" borderId="138" xfId="0" applyNumberFormat="1" applyBorder="1"/>
    <xf numFmtId="44" fontId="0" fillId="0" borderId="0" xfId="0" applyNumberFormat="1"/>
    <xf numFmtId="0" fontId="254" fillId="0" borderId="0" xfId="0" applyFont="1"/>
    <xf numFmtId="44" fontId="254" fillId="0" borderId="0" xfId="0" applyNumberFormat="1" applyFont="1"/>
    <xf numFmtId="44" fontId="0" fillId="0" borderId="0" xfId="70" applyFont="1" applyBorder="1"/>
    <xf numFmtId="44" fontId="0" fillId="0" borderId="147" xfId="70" applyFont="1" applyBorder="1"/>
    <xf numFmtId="44" fontId="0" fillId="0" borderId="148" xfId="0" applyNumberFormat="1" applyBorder="1"/>
    <xf numFmtId="44" fontId="0" fillId="0" borderId="152" xfId="0" applyNumberFormat="1" applyBorder="1"/>
    <xf numFmtId="0" fontId="0" fillId="0" borderId="145" xfId="0" applyBorder="1"/>
    <xf numFmtId="3" fontId="0" fillId="0" borderId="147" xfId="0" applyNumberFormat="1" applyBorder="1"/>
    <xf numFmtId="3" fontId="0" fillId="0" borderId="154" xfId="0" applyNumberFormat="1" applyBorder="1"/>
    <xf numFmtId="0" fontId="0" fillId="0" borderId="147" xfId="0" applyBorder="1"/>
    <xf numFmtId="0" fontId="0" fillId="0" borderId="166" xfId="0" applyBorder="1"/>
    <xf numFmtId="0" fontId="0" fillId="0" borderId="167" xfId="0" applyBorder="1"/>
    <xf numFmtId="0" fontId="42" fillId="0" borderId="165" xfId="0" applyFont="1" applyFill="1" applyBorder="1"/>
    <xf numFmtId="44" fontId="0" fillId="0" borderId="138" xfId="0" applyNumberFormat="1" applyBorder="1"/>
    <xf numFmtId="44" fontId="0" fillId="0" borderId="154" xfId="0" applyNumberFormat="1" applyBorder="1"/>
    <xf numFmtId="0" fontId="0" fillId="98" borderId="165" xfId="0" applyFill="1" applyBorder="1"/>
    <xf numFmtId="44" fontId="0" fillId="98" borderId="138" xfId="0" applyNumberFormat="1" applyFill="1" applyBorder="1"/>
    <xf numFmtId="44" fontId="0" fillId="98" borderId="154" xfId="0" applyNumberFormat="1" applyFill="1" applyBorder="1"/>
    <xf numFmtId="0" fontId="0" fillId="0" borderId="169" xfId="0" applyBorder="1"/>
    <xf numFmtId="44" fontId="0" fillId="0" borderId="169" xfId="0" applyNumberFormat="1" applyBorder="1"/>
    <xf numFmtId="44" fontId="0" fillId="0" borderId="160" xfId="0" applyNumberFormat="1" applyBorder="1"/>
    <xf numFmtId="0" fontId="43" fillId="0" borderId="143" xfId="0" applyFont="1" applyFill="1" applyBorder="1" applyAlignment="1">
      <alignment horizontal="center" wrapText="1"/>
    </xf>
    <xf numFmtId="44" fontId="0" fillId="0" borderId="170" xfId="0" applyNumberFormat="1" applyBorder="1"/>
    <xf numFmtId="44" fontId="0" fillId="98" borderId="170" xfId="0" applyNumberFormat="1" applyFill="1" applyBorder="1"/>
    <xf numFmtId="0" fontId="0" fillId="0" borderId="168" xfId="0" applyBorder="1"/>
    <xf numFmtId="0" fontId="0" fillId="0" borderId="0" xfId="0" applyAlignment="1">
      <alignment horizontal="center"/>
    </xf>
    <xf numFmtId="0" fontId="0" fillId="0" borderId="110" xfId="0" applyBorder="1" applyAlignment="1">
      <alignment horizontal="center" wrapText="1"/>
    </xf>
    <xf numFmtId="17" fontId="0" fillId="0" borderId="110" xfId="0" applyNumberFormat="1" applyBorder="1" applyAlignment="1">
      <alignment horizontal="center" wrapText="1"/>
    </xf>
    <xf numFmtId="44" fontId="0" fillId="0" borderId="0" xfId="70" applyFont="1"/>
    <xf numFmtId="0" fontId="0" fillId="0" borderId="138" xfId="0" applyBorder="1"/>
    <xf numFmtId="44" fontId="0" fillId="0" borderId="138" xfId="70" applyFont="1" applyBorder="1"/>
    <xf numFmtId="0" fontId="255" fillId="0" borderId="0" xfId="0" applyFont="1"/>
    <xf numFmtId="44" fontId="256" fillId="0" borderId="0" xfId="70" applyFont="1"/>
    <xf numFmtId="39" fontId="0" fillId="0" borderId="0" xfId="0" applyNumberFormat="1"/>
    <xf numFmtId="0" fontId="0" fillId="0" borderId="65" xfId="0" applyBorder="1"/>
    <xf numFmtId="44" fontId="0" fillId="0" borderId="65" xfId="70" applyFont="1" applyBorder="1"/>
    <xf numFmtId="0" fontId="0" fillId="0" borderId="5" xfId="0" applyBorder="1"/>
    <xf numFmtId="44" fontId="0" fillId="0" borderId="5" xfId="70" applyFont="1" applyBorder="1"/>
    <xf numFmtId="0" fontId="0" fillId="0" borderId="142" xfId="0" applyBorder="1"/>
    <xf numFmtId="44" fontId="0" fillId="0" borderId="142" xfId="70" applyFont="1" applyBorder="1"/>
    <xf numFmtId="0" fontId="0" fillId="0" borderId="0" xfId="0" applyBorder="1"/>
    <xf numFmtId="0" fontId="4" fillId="0" borderId="0" xfId="0" applyFont="1" applyFill="1" applyBorder="1"/>
    <xf numFmtId="0" fontId="4" fillId="0" borderId="0" xfId="0" applyFont="1"/>
    <xf numFmtId="44" fontId="4" fillId="0" borderId="0" xfId="70" applyFont="1"/>
    <xf numFmtId="0" fontId="0" fillId="0" borderId="86" xfId="0" applyBorder="1"/>
    <xf numFmtId="44" fontId="0" fillId="0" borderId="86" xfId="70" applyFont="1" applyBorder="1"/>
    <xf numFmtId="44" fontId="0" fillId="0" borderId="0" xfId="0" applyNumberFormat="1" applyBorder="1"/>
    <xf numFmtId="0" fontId="4" fillId="0" borderId="0" xfId="0" applyFont="1" applyBorder="1"/>
    <xf numFmtId="44" fontId="4" fillId="0" borderId="0" xfId="70" applyFont="1" applyBorder="1"/>
    <xf numFmtId="0" fontId="4" fillId="0" borderId="0" xfId="0" applyFont="1" applyAlignment="1">
      <alignment horizontal="center"/>
    </xf>
    <xf numFmtId="44" fontId="4" fillId="0" borderId="0" xfId="70" applyFont="1" applyAlignment="1">
      <alignment wrapText="1"/>
    </xf>
    <xf numFmtId="0" fontId="4" fillId="0" borderId="0" xfId="0" applyFont="1" applyAlignment="1">
      <alignment wrapText="1"/>
    </xf>
    <xf numFmtId="10" fontId="257" fillId="0" borderId="0" xfId="0" applyNumberFormat="1" applyFont="1" applyAlignment="1">
      <alignment horizontal="center" wrapText="1"/>
    </xf>
    <xf numFmtId="17" fontId="0" fillId="2" borderId="0" xfId="0" applyNumberFormat="1" applyFont="1" applyFill="1"/>
    <xf numFmtId="10" fontId="0" fillId="2" borderId="0" xfId="0" applyNumberFormat="1" applyFont="1" applyFill="1"/>
    <xf numFmtId="0" fontId="0" fillId="2" borderId="0" xfId="0" applyFont="1" applyFill="1" applyAlignment="1">
      <alignment wrapText="1"/>
    </xf>
    <xf numFmtId="3" fontId="257" fillId="0" borderId="0" xfId="0" applyNumberFormat="1" applyFont="1" applyAlignment="1">
      <alignment horizontal="center" wrapText="1"/>
    </xf>
    <xf numFmtId="285" fontId="257" fillId="0" borderId="0" xfId="0" applyNumberFormat="1" applyFont="1" applyAlignment="1">
      <alignment horizontal="center" wrapText="1"/>
    </xf>
    <xf numFmtId="169" fontId="0" fillId="2" borderId="0" xfId="0" applyNumberFormat="1" applyFont="1" applyFill="1"/>
    <xf numFmtId="165" fontId="49" fillId="0" borderId="0" xfId="0" applyNumberFormat="1" applyFont="1" applyAlignment="1">
      <alignment horizontal="center" vertical="center"/>
    </xf>
    <xf numFmtId="44" fontId="49" fillId="0" borderId="0" xfId="0" applyNumberFormat="1" applyFont="1" applyAlignment="1">
      <alignment horizontal="center" vertical="center"/>
    </xf>
    <xf numFmtId="165" fontId="49" fillId="0" borderId="0" xfId="72" applyNumberFormat="1" applyFont="1" applyBorder="1" applyAlignment="1">
      <alignment horizontal="center" vertical="center"/>
    </xf>
    <xf numFmtId="0" fontId="0" fillId="0" borderId="0" xfId="0" applyFill="1"/>
    <xf numFmtId="44" fontId="4" fillId="0" borderId="0" xfId="70" applyFont="1" applyFill="1"/>
    <xf numFmtId="0" fontId="4" fillId="0" borderId="0" xfId="0" applyFont="1" applyAlignment="1">
      <alignment horizontal="center" wrapText="1"/>
    </xf>
    <xf numFmtId="0" fontId="0" fillId="98" borderId="171" xfId="0" applyFill="1" applyBorder="1"/>
    <xf numFmtId="0" fontId="0" fillId="0" borderId="146" xfId="0" applyBorder="1"/>
    <xf numFmtId="44" fontId="0" fillId="0" borderId="147" xfId="0" applyNumberFormat="1" applyBorder="1"/>
    <xf numFmtId="0" fontId="0" fillId="0" borderId="151" xfId="0" applyBorder="1"/>
    <xf numFmtId="0" fontId="0" fillId="0" borderId="157" xfId="0" applyBorder="1"/>
    <xf numFmtId="44" fontId="0" fillId="0" borderId="5" xfId="0" applyNumberFormat="1" applyBorder="1"/>
    <xf numFmtId="44" fontId="0" fillId="0" borderId="158" xfId="0" applyNumberFormat="1" applyBorder="1"/>
    <xf numFmtId="0" fontId="0" fillId="0" borderId="146" xfId="0" applyBorder="1" applyAlignment="1">
      <alignment horizontal="right"/>
    </xf>
    <xf numFmtId="0" fontId="0" fillId="0" borderId="157" xfId="0" applyBorder="1" applyAlignment="1">
      <alignment horizontal="right"/>
    </xf>
    <xf numFmtId="0" fontId="0" fillId="0" borderId="172" xfId="0" applyBorder="1"/>
    <xf numFmtId="44" fontId="0" fillId="0" borderId="144" xfId="0" applyNumberFormat="1" applyBorder="1"/>
    <xf numFmtId="44" fontId="0" fillId="0" borderId="145" xfId="0" applyNumberFormat="1" applyBorder="1"/>
    <xf numFmtId="0" fontId="0" fillId="0" borderId="153" xfId="0" applyBorder="1"/>
    <xf numFmtId="166" fontId="259" fillId="0" borderId="0" xfId="3" applyFont="1"/>
    <xf numFmtId="0" fontId="259" fillId="0" borderId="0" xfId="2457" applyFont="1"/>
    <xf numFmtId="0" fontId="260" fillId="0" borderId="0" xfId="2457" applyFont="1" applyFill="1" applyBorder="1" applyAlignment="1" applyProtection="1">
      <alignment horizontal="center"/>
    </xf>
    <xf numFmtId="166" fontId="261" fillId="0" borderId="0" xfId="3" applyFont="1"/>
    <xf numFmtId="0" fontId="261" fillId="0" borderId="0" xfId="2457" applyFont="1"/>
    <xf numFmtId="0" fontId="185" fillId="0" borderId="0" xfId="2457" applyFont="1" applyBorder="1" applyAlignment="1" applyProtection="1">
      <alignment horizontal="left"/>
    </xf>
    <xf numFmtId="0" fontId="261" fillId="0" borderId="0" xfId="2457" applyFont="1" applyBorder="1" applyProtection="1"/>
    <xf numFmtId="0" fontId="261" fillId="0" borderId="0" xfId="2457" applyFont="1" applyProtection="1"/>
    <xf numFmtId="0" fontId="262" fillId="0" borderId="0" xfId="2457" applyFont="1" applyFill="1" applyProtection="1"/>
    <xf numFmtId="0" fontId="185" fillId="0" borderId="0" xfId="2457" applyFont="1" applyBorder="1" applyProtection="1"/>
    <xf numFmtId="0" fontId="261" fillId="0" borderId="0" xfId="2457" applyFont="1" applyFill="1" applyBorder="1" applyProtection="1"/>
    <xf numFmtId="0" fontId="185" fillId="0" borderId="0" xfId="2457" applyFont="1" applyBorder="1" applyAlignment="1" applyProtection="1">
      <alignment horizontal="right"/>
    </xf>
    <xf numFmtId="49" fontId="261" fillId="0" borderId="0" xfId="2457" applyNumberFormat="1" applyFont="1" applyBorder="1" applyProtection="1"/>
    <xf numFmtId="0" fontId="185" fillId="0" borderId="0" xfId="2457" applyFont="1" applyAlignment="1" applyProtection="1">
      <alignment horizontal="left"/>
    </xf>
    <xf numFmtId="0" fontId="261" fillId="0" borderId="173" xfId="2457" applyFont="1" applyBorder="1" applyAlignment="1" applyProtection="1">
      <alignment horizontal="center"/>
    </xf>
    <xf numFmtId="0" fontId="261" fillId="0" borderId="173" xfId="2457" applyFont="1" applyBorder="1" applyProtection="1"/>
    <xf numFmtId="0" fontId="261" fillId="0" borderId="0" xfId="2457" applyFont="1" applyBorder="1"/>
    <xf numFmtId="0" fontId="261" fillId="0" borderId="148" xfId="2457" applyFont="1" applyBorder="1" applyProtection="1"/>
    <xf numFmtId="0" fontId="261" fillId="0" borderId="148" xfId="2457" applyFont="1" applyBorder="1"/>
    <xf numFmtId="0" fontId="185" fillId="0" borderId="0" xfId="2457" applyFont="1" applyBorder="1" applyAlignment="1" applyProtection="1">
      <alignment horizontal="center"/>
    </xf>
    <xf numFmtId="14" fontId="185" fillId="0" borderId="0" xfId="2457" applyNumberFormat="1" applyFont="1" applyAlignment="1" applyProtection="1">
      <alignment horizontal="left"/>
    </xf>
    <xf numFmtId="0" fontId="185" fillId="0" borderId="148" xfId="2457" applyFont="1" applyBorder="1"/>
    <xf numFmtId="0" fontId="263" fillId="0" borderId="0" xfId="2457" applyFont="1" applyAlignment="1"/>
    <xf numFmtId="0" fontId="264" fillId="0" borderId="148" xfId="2457" applyFont="1" applyBorder="1" applyProtection="1"/>
    <xf numFmtId="0" fontId="12" fillId="0" borderId="0" xfId="2457" applyFont="1" applyAlignment="1" applyProtection="1">
      <alignment horizontal="center"/>
    </xf>
    <xf numFmtId="0" fontId="13" fillId="0" borderId="0" xfId="2457" applyFont="1"/>
    <xf numFmtId="0" fontId="263" fillId="0" borderId="0" xfId="2457" applyFont="1"/>
    <xf numFmtId="0" fontId="13" fillId="0" borderId="0" xfId="2457" applyFont="1" applyProtection="1"/>
    <xf numFmtId="0" fontId="12" fillId="0" borderId="0" xfId="2457" applyFont="1" applyAlignment="1" applyProtection="1">
      <alignment horizontal="centerContinuous"/>
    </xf>
    <xf numFmtId="166" fontId="13" fillId="0" borderId="0" xfId="3" applyFont="1"/>
    <xf numFmtId="0" fontId="265" fillId="70" borderId="122" xfId="2457" applyFont="1" applyFill="1" applyBorder="1" applyAlignment="1" applyProtection="1">
      <alignment horizontal="center"/>
    </xf>
    <xf numFmtId="0" fontId="265" fillId="70" borderId="110" xfId="2457" applyFont="1" applyFill="1" applyBorder="1" applyAlignment="1" applyProtection="1">
      <alignment horizontal="center"/>
    </xf>
    <xf numFmtId="0" fontId="266" fillId="0" borderId="0" xfId="2457" applyFont="1" applyProtection="1"/>
    <xf numFmtId="166" fontId="92" fillId="0" borderId="0" xfId="3" applyFont="1"/>
    <xf numFmtId="0" fontId="92" fillId="0" borderId="0" xfId="2457" applyFont="1"/>
    <xf numFmtId="1" fontId="92" fillId="0" borderId="9" xfId="2457" applyNumberFormat="1" applyFont="1" applyBorder="1" applyAlignment="1" applyProtection="1">
      <alignment horizontal="center"/>
      <protection locked="0"/>
    </xf>
    <xf numFmtId="49" fontId="267" fillId="0" borderId="174" xfId="2457" applyNumberFormat="1" applyFont="1" applyBorder="1" applyAlignment="1" applyProtection="1">
      <alignment horizontal="center"/>
    </xf>
    <xf numFmtId="234" fontId="267" fillId="0" borderId="110" xfId="2457" applyNumberFormat="1" applyFont="1" applyBorder="1" applyAlignment="1" applyProtection="1">
      <alignment horizontal="center"/>
    </xf>
    <xf numFmtId="39" fontId="267" fillId="0" borderId="175" xfId="2457" applyNumberFormat="1" applyFont="1" applyBorder="1" applyProtection="1"/>
    <xf numFmtId="234" fontId="267" fillId="0" borderId="134" xfId="2457" applyNumberFormat="1" applyFont="1" applyBorder="1" applyAlignment="1" applyProtection="1">
      <alignment horizontal="center"/>
    </xf>
    <xf numFmtId="4" fontId="267" fillId="0" borderId="110" xfId="2457" applyNumberFormat="1" applyFont="1" applyBorder="1" applyProtection="1"/>
    <xf numFmtId="0" fontId="267" fillId="0" borderId="0" xfId="2457" applyFont="1" applyProtection="1"/>
    <xf numFmtId="0" fontId="92" fillId="0" borderId="110" xfId="2457" applyFont="1" applyBorder="1" applyAlignment="1" applyProtection="1">
      <alignment horizontal="center"/>
      <protection locked="0"/>
    </xf>
    <xf numFmtId="0" fontId="92" fillId="0" borderId="9" xfId="2457" applyFont="1" applyBorder="1" applyAlignment="1" applyProtection="1">
      <alignment horizontal="center"/>
      <protection locked="0"/>
    </xf>
    <xf numFmtId="0" fontId="92" fillId="0" borderId="122" xfId="2457" applyFont="1" applyBorder="1" applyAlignment="1" applyProtection="1">
      <alignment horizontal="center"/>
      <protection locked="0"/>
    </xf>
    <xf numFmtId="0" fontId="267" fillId="0" borderId="0" xfId="2457" applyFont="1" applyBorder="1" applyProtection="1"/>
    <xf numFmtId="39" fontId="267" fillId="0" borderId="0" xfId="2457" applyNumberFormat="1" applyFont="1" applyBorder="1" applyProtection="1"/>
    <xf numFmtId="4" fontId="267" fillId="0" borderId="0" xfId="2457" applyNumberFormat="1" applyFont="1" applyBorder="1" applyProtection="1"/>
    <xf numFmtId="166" fontId="92" fillId="0" borderId="0" xfId="3" applyFont="1" applyBorder="1"/>
    <xf numFmtId="0" fontId="92" fillId="0" borderId="0" xfId="2457" applyFont="1" applyBorder="1"/>
    <xf numFmtId="0" fontId="266" fillId="0" borderId="122" xfId="2457" applyFont="1" applyBorder="1" applyProtection="1"/>
    <xf numFmtId="0" fontId="267" fillId="0" borderId="138" xfId="2457" applyFont="1" applyBorder="1" applyProtection="1"/>
    <xf numFmtId="39" fontId="267" fillId="0" borderId="138" xfId="2457" applyNumberFormat="1" applyFont="1" applyBorder="1" applyProtection="1"/>
    <xf numFmtId="4" fontId="266" fillId="0" borderId="110" xfId="2457" applyNumberFormat="1" applyFont="1" applyBorder="1" applyProtection="1"/>
    <xf numFmtId="166" fontId="267" fillId="0" borderId="0" xfId="3" applyFont="1" applyBorder="1" applyProtection="1"/>
    <xf numFmtId="166" fontId="267" fillId="0" borderId="0" xfId="3" applyFont="1" applyProtection="1"/>
    <xf numFmtId="0" fontId="266" fillId="0" borderId="5" xfId="2457" applyFont="1" applyBorder="1" applyProtection="1"/>
    <xf numFmtId="0" fontId="46" fillId="0" borderId="76" xfId="2457" applyFont="1" applyBorder="1" applyAlignment="1" applyProtection="1"/>
    <xf numFmtId="0" fontId="268" fillId="0" borderId="76" xfId="2457" applyFont="1" applyBorder="1" applyAlignment="1" applyProtection="1"/>
    <xf numFmtId="287" fontId="269" fillId="0" borderId="76" xfId="2457" applyNumberFormat="1" applyFont="1" applyBorder="1" applyAlignment="1" applyProtection="1"/>
    <xf numFmtId="0" fontId="267" fillId="0" borderId="76" xfId="2457" applyFont="1" applyBorder="1" applyProtection="1"/>
    <xf numFmtId="0" fontId="266" fillId="0" borderId="76" xfId="2457" applyFont="1" applyBorder="1" applyAlignment="1" applyProtection="1">
      <alignment horizontal="center"/>
    </xf>
    <xf numFmtId="287" fontId="267" fillId="0" borderId="76" xfId="2457" applyNumberFormat="1" applyFont="1" applyBorder="1" applyAlignment="1" applyProtection="1">
      <alignment horizontal="center"/>
    </xf>
    <xf numFmtId="0" fontId="266" fillId="0" borderId="0" xfId="2457" applyFont="1" applyBorder="1" applyProtection="1"/>
    <xf numFmtId="0" fontId="267" fillId="0" borderId="0" xfId="2457" applyFont="1" applyAlignment="1" applyProtection="1">
      <alignment horizontal="center"/>
    </xf>
    <xf numFmtId="0" fontId="266" fillId="0" borderId="76" xfId="2457" applyFont="1" applyBorder="1" applyProtection="1"/>
    <xf numFmtId="0" fontId="92" fillId="0" borderId="0" xfId="2457" applyFont="1" applyAlignment="1">
      <alignment horizontal="center"/>
    </xf>
    <xf numFmtId="0" fontId="269" fillId="0" borderId="5" xfId="2457" applyFont="1" applyBorder="1"/>
    <xf numFmtId="0" fontId="92" fillId="0" borderId="5" xfId="2457" applyFont="1" applyBorder="1"/>
    <xf numFmtId="0" fontId="13" fillId="0" borderId="0" xfId="2457"/>
    <xf numFmtId="166" fontId="1" fillId="0" borderId="0" xfId="3" applyFont="1"/>
    <xf numFmtId="1" fontId="92" fillId="0" borderId="0" xfId="2457" applyNumberFormat="1" applyFont="1" applyBorder="1" applyAlignment="1" applyProtection="1">
      <alignment horizontal="center"/>
      <protection locked="0"/>
    </xf>
    <xf numFmtId="49" fontId="267" fillId="0" borderId="0" xfId="2457" applyNumberFormat="1" applyFont="1" applyBorder="1" applyAlignment="1" applyProtection="1">
      <alignment horizontal="center"/>
    </xf>
    <xf numFmtId="234" fontId="267" fillId="0" borderId="0" xfId="2457" applyNumberFormat="1" applyFont="1" applyBorder="1" applyAlignment="1" applyProtection="1">
      <alignment horizontal="center"/>
    </xf>
    <xf numFmtId="0" fontId="92" fillId="0" borderId="0" xfId="2457" applyFont="1" applyBorder="1" applyAlignment="1" applyProtection="1">
      <alignment horizontal="center"/>
      <protection locked="0"/>
    </xf>
    <xf numFmtId="2" fontId="267" fillId="0" borderId="0" xfId="2457" applyNumberFormat="1" applyFont="1" applyBorder="1" applyProtection="1"/>
    <xf numFmtId="4" fontId="92" fillId="0" borderId="0" xfId="2457" applyNumberFormat="1" applyFont="1"/>
    <xf numFmtId="166" fontId="13" fillId="0" borderId="0" xfId="2400" applyNumberFormat="1" applyFont="1" applyFill="1"/>
    <xf numFmtId="166" fontId="13" fillId="0" borderId="143" xfId="1" applyBorder="1"/>
    <xf numFmtId="166" fontId="13" fillId="0" borderId="0" xfId="1" applyFont="1"/>
    <xf numFmtId="288" fontId="92" fillId="0" borderId="0" xfId="2400" applyNumberFormat="1" applyFont="1" applyFill="1" applyAlignment="1"/>
    <xf numFmtId="17" fontId="48" fillId="0" borderId="0" xfId="1" applyNumberFormat="1" applyFont="1" applyFill="1" applyAlignment="1"/>
    <xf numFmtId="166" fontId="13" fillId="0" borderId="0" xfId="1" applyFont="1" applyFill="1"/>
    <xf numFmtId="0" fontId="13" fillId="0" borderId="0" xfId="2400" applyFont="1" applyFill="1"/>
    <xf numFmtId="166" fontId="13" fillId="0" borderId="0" xfId="1"/>
    <xf numFmtId="166" fontId="92" fillId="0" borderId="0" xfId="1" applyFont="1" applyFill="1" applyAlignment="1"/>
    <xf numFmtId="0" fontId="58" fillId="0" borderId="0" xfId="2400" applyFont="1" applyFill="1" applyBorder="1" applyAlignment="1" applyProtection="1">
      <alignment horizontal="center"/>
    </xf>
    <xf numFmtId="0" fontId="48" fillId="0" borderId="0" xfId="2400" applyFont="1" applyFill="1" applyBorder="1" applyAlignment="1" applyProtection="1">
      <alignment horizontal="left"/>
    </xf>
    <xf numFmtId="0" fontId="92" fillId="0" borderId="0" xfId="2400" applyFont="1" applyFill="1" applyBorder="1" applyProtection="1"/>
    <xf numFmtId="0" fontId="92" fillId="0" borderId="0" xfId="2400" applyFont="1" applyFill="1" applyProtection="1"/>
    <xf numFmtId="0" fontId="48" fillId="0" borderId="148" xfId="2400" applyFont="1" applyFill="1" applyBorder="1" applyProtection="1"/>
    <xf numFmtId="0" fontId="48" fillId="0" borderId="0" xfId="2400" applyFont="1" applyFill="1" applyAlignment="1" applyProtection="1">
      <alignment horizontal="right"/>
    </xf>
    <xf numFmtId="0" fontId="92" fillId="0" borderId="148" xfId="2400" applyFont="1" applyFill="1" applyBorder="1" applyAlignment="1" applyProtection="1">
      <alignment horizontal="center"/>
    </xf>
    <xf numFmtId="0" fontId="92" fillId="0" borderId="0" xfId="2400" applyFont="1" applyFill="1"/>
    <xf numFmtId="0" fontId="48" fillId="0" borderId="0" xfId="2400" applyFont="1" applyFill="1" applyBorder="1" applyProtection="1"/>
    <xf numFmtId="0" fontId="48" fillId="0" borderId="0" xfId="2400" applyFont="1" applyFill="1" applyBorder="1" applyAlignment="1" applyProtection="1">
      <alignment horizontal="right"/>
    </xf>
    <xf numFmtId="0" fontId="92" fillId="0" borderId="0" xfId="2400" applyFont="1" applyFill="1" applyBorder="1" applyAlignment="1" applyProtection="1">
      <alignment horizontal="right"/>
    </xf>
    <xf numFmtId="49" fontId="92" fillId="0" borderId="0" xfId="2400" applyNumberFormat="1" applyFont="1" applyFill="1" applyBorder="1" applyProtection="1"/>
    <xf numFmtId="0" fontId="48" fillId="0" borderId="0" xfId="2400" applyFont="1" applyFill="1" applyAlignment="1" applyProtection="1">
      <alignment horizontal="left"/>
    </xf>
    <xf numFmtId="0" fontId="92" fillId="0" borderId="0" xfId="2400" applyFont="1" applyFill="1" applyBorder="1"/>
    <xf numFmtId="0" fontId="92" fillId="0" borderId="148" xfId="2400" applyFont="1" applyBorder="1"/>
    <xf numFmtId="0" fontId="92" fillId="0" borderId="148" xfId="2400" applyFont="1" applyFill="1" applyBorder="1"/>
    <xf numFmtId="0" fontId="48" fillId="0" borderId="0" xfId="2400" applyFont="1" applyFill="1" applyBorder="1" applyAlignment="1" applyProtection="1"/>
    <xf numFmtId="0" fontId="92" fillId="0" borderId="0" xfId="2400" applyFont="1"/>
    <xf numFmtId="0" fontId="48" fillId="0" borderId="0" xfId="2400" applyFont="1" applyFill="1" applyBorder="1" applyAlignment="1" applyProtection="1">
      <alignment horizontal="center"/>
    </xf>
    <xf numFmtId="14" fontId="12" fillId="0" borderId="0" xfId="2400" applyNumberFormat="1" applyFont="1" applyFill="1" applyAlignment="1" applyProtection="1">
      <alignment horizontal="left"/>
    </xf>
    <xf numFmtId="0" fontId="48" fillId="0" borderId="148" xfId="2400" applyFont="1" applyFill="1" applyBorder="1" applyAlignment="1">
      <alignment horizontal="center"/>
    </xf>
    <xf numFmtId="0" fontId="48" fillId="0" borderId="0" xfId="2400" applyFont="1" applyFill="1" applyAlignment="1" applyProtection="1">
      <alignment horizontal="center"/>
    </xf>
    <xf numFmtId="0" fontId="222" fillId="0" borderId="0" xfId="2400" applyFont="1" applyFill="1"/>
    <xf numFmtId="166" fontId="13" fillId="0" borderId="0" xfId="1" applyFont="1" applyFill="1" applyBorder="1"/>
    <xf numFmtId="0" fontId="265" fillId="0" borderId="110" xfId="2400" applyFont="1" applyFill="1" applyBorder="1" applyAlignment="1" applyProtection="1">
      <alignment horizontal="center"/>
    </xf>
    <xf numFmtId="0" fontId="265" fillId="0" borderId="110" xfId="2400" applyFont="1" applyFill="1" applyBorder="1" applyAlignment="1" applyProtection="1">
      <alignment horizontal="centerContinuous"/>
    </xf>
    <xf numFmtId="166" fontId="265" fillId="0" borderId="110" xfId="1" applyFont="1" applyFill="1" applyBorder="1" applyAlignment="1" applyProtection="1">
      <alignment horizontal="center"/>
    </xf>
    <xf numFmtId="166" fontId="265" fillId="0" borderId="0" xfId="1" applyFont="1" applyFill="1" applyBorder="1" applyAlignment="1" applyProtection="1">
      <alignment horizontal="center"/>
    </xf>
    <xf numFmtId="0" fontId="271" fillId="0" borderId="110" xfId="2400" applyFont="1" applyFill="1" applyBorder="1" applyAlignment="1" applyProtection="1">
      <alignment horizontal="center"/>
    </xf>
    <xf numFmtId="39" fontId="272" fillId="0" borderId="175" xfId="2400" applyNumberFormat="1" applyFont="1" applyBorder="1" applyAlignment="1" applyProtection="1">
      <alignment wrapText="1"/>
    </xf>
    <xf numFmtId="166" fontId="271" fillId="0" borderId="110" xfId="1" applyFont="1" applyFill="1" applyBorder="1" applyAlignment="1" applyProtection="1">
      <alignment horizontal="center"/>
    </xf>
    <xf numFmtId="0" fontId="13" fillId="0" borderId="0" xfId="2400" applyFill="1" applyAlignment="1">
      <alignment horizontal="center"/>
    </xf>
    <xf numFmtId="0" fontId="92" fillId="0" borderId="0" xfId="2400" applyNumberFormat="1" applyFont="1" applyFill="1" applyAlignment="1"/>
    <xf numFmtId="0" fontId="13" fillId="0" borderId="0" xfId="2400" applyFill="1"/>
    <xf numFmtId="166" fontId="13" fillId="0" borderId="0" xfId="1" applyFill="1"/>
    <xf numFmtId="0" fontId="13" fillId="0" borderId="0" xfId="2400"/>
    <xf numFmtId="0" fontId="273" fillId="0" borderId="110" xfId="2400" applyFont="1" applyFill="1" applyBorder="1" applyProtection="1"/>
    <xf numFmtId="0" fontId="271" fillId="0" borderId="110" xfId="2400" applyFont="1" applyFill="1" applyBorder="1" applyProtection="1"/>
    <xf numFmtId="39" fontId="271" fillId="0" borderId="110" xfId="2400" applyNumberFormat="1" applyFont="1" applyFill="1" applyBorder="1" applyProtection="1"/>
    <xf numFmtId="166" fontId="273" fillId="0" borderId="110" xfId="1" applyFont="1" applyFill="1" applyBorder="1" applyProtection="1"/>
    <xf numFmtId="0" fontId="271" fillId="0" borderId="0" xfId="2400" applyFont="1" applyFill="1" applyBorder="1" applyProtection="1"/>
    <xf numFmtId="0" fontId="271" fillId="0" borderId="0" xfId="2400" applyFont="1" applyFill="1" applyProtection="1"/>
    <xf numFmtId="166" fontId="271" fillId="0" borderId="0" xfId="1" applyFont="1" applyFill="1" applyProtection="1"/>
    <xf numFmtId="0" fontId="273" fillId="0" borderId="5" xfId="2400" applyFont="1" applyFill="1" applyBorder="1" applyProtection="1"/>
    <xf numFmtId="0" fontId="274" fillId="0" borderId="5" xfId="2400" applyFont="1" applyBorder="1" applyAlignment="1">
      <alignment horizontal="left"/>
    </xf>
    <xf numFmtId="0" fontId="271" fillId="0" borderId="76" xfId="2400" applyFont="1" applyFill="1" applyBorder="1" applyProtection="1"/>
    <xf numFmtId="0" fontId="273" fillId="0" borderId="76" xfId="2400" applyFont="1" applyFill="1" applyBorder="1" applyAlignment="1" applyProtection="1">
      <alignment horizontal="center"/>
    </xf>
    <xf numFmtId="287" fontId="271" fillId="0" borderId="76" xfId="2400" applyNumberFormat="1" applyFont="1" applyFill="1" applyBorder="1" applyAlignment="1" applyProtection="1">
      <alignment horizontal="center"/>
    </xf>
    <xf numFmtId="166" fontId="13" fillId="0" borderId="0" xfId="2400" applyNumberFormat="1" applyFont="1" applyFill="1" applyBorder="1"/>
    <xf numFmtId="0" fontId="13" fillId="0" borderId="0" xfId="2400" applyFont="1" applyFill="1" applyBorder="1"/>
    <xf numFmtId="0" fontId="273" fillId="0" borderId="0" xfId="2400" applyFont="1" applyFill="1" applyProtection="1"/>
    <xf numFmtId="0" fontId="271" fillId="0" borderId="0" xfId="2400" applyFont="1" applyFill="1" applyAlignment="1" applyProtection="1">
      <alignment horizontal="center"/>
    </xf>
    <xf numFmtId="0" fontId="273" fillId="0" borderId="76" xfId="2400" applyFont="1" applyFill="1" applyBorder="1" applyProtection="1"/>
    <xf numFmtId="0" fontId="13" fillId="0" borderId="0" xfId="2400" applyFont="1" applyFill="1" applyAlignment="1">
      <alignment horizontal="center"/>
    </xf>
    <xf numFmtId="0" fontId="274" fillId="0" borderId="5" xfId="2400" applyFont="1" applyBorder="1"/>
    <xf numFmtId="0" fontId="13" fillId="0" borderId="5" xfId="2400" applyFont="1" applyFill="1" applyBorder="1"/>
    <xf numFmtId="0" fontId="13" fillId="0" borderId="0" xfId="2400" applyFill="1" applyAlignment="1">
      <alignment horizontal="right"/>
    </xf>
    <xf numFmtId="166" fontId="13" fillId="0" borderId="0" xfId="1" applyFill="1" applyAlignment="1">
      <alignment horizontal="right"/>
    </xf>
    <xf numFmtId="44" fontId="92" fillId="0" borderId="0" xfId="2457" applyNumberFormat="1" applyFont="1"/>
    <xf numFmtId="44" fontId="0" fillId="101" borderId="0" xfId="0" applyNumberFormat="1" applyFill="1"/>
    <xf numFmtId="44" fontId="0" fillId="101" borderId="86" xfId="70" applyFont="1" applyFill="1" applyBorder="1"/>
    <xf numFmtId="44" fontId="92" fillId="0" borderId="0" xfId="2457" applyNumberFormat="1" applyFont="1" applyBorder="1"/>
    <xf numFmtId="0" fontId="47" fillId="2" borderId="0" xfId="0" applyFont="1" applyFill="1" applyBorder="1" applyAlignment="1">
      <alignment horizontal="center" vertical="center"/>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0" fontId="92" fillId="0" borderId="5" xfId="2457" applyFont="1" applyBorder="1" applyAlignment="1">
      <alignment horizontal="center"/>
    </xf>
    <xf numFmtId="0" fontId="258" fillId="0" borderId="0" xfId="2457" applyFont="1" applyAlignment="1" applyProtection="1">
      <alignment horizontal="center"/>
    </xf>
    <xf numFmtId="0" fontId="258" fillId="0" borderId="148" xfId="2457" applyFont="1" applyFill="1" applyBorder="1" applyAlignment="1" applyProtection="1">
      <alignment horizontal="center"/>
    </xf>
    <xf numFmtId="0" fontId="185" fillId="0" borderId="0" xfId="2457" applyFont="1" applyBorder="1" applyAlignment="1" applyProtection="1">
      <alignment horizontal="center"/>
    </xf>
    <xf numFmtId="286" fontId="262" fillId="0" borderId="0" xfId="2457" applyNumberFormat="1" applyFont="1" applyBorder="1" applyAlignment="1" applyProtection="1">
      <alignment horizontal="left"/>
    </xf>
    <xf numFmtId="286" fontId="263" fillId="0" borderId="0" xfId="2457" applyNumberFormat="1" applyFont="1" applyAlignment="1"/>
    <xf numFmtId="0" fontId="270" fillId="0" borderId="76" xfId="2457" applyFont="1" applyBorder="1" applyAlignment="1" applyProtection="1">
      <alignment horizontal="left"/>
    </xf>
    <xf numFmtId="0" fontId="13" fillId="0" borderId="5" xfId="2400" applyFont="1" applyFill="1" applyBorder="1" applyAlignment="1">
      <alignment horizontal="center"/>
    </xf>
    <xf numFmtId="0" fontId="48" fillId="0" borderId="0" xfId="2400" applyFont="1" applyFill="1" applyAlignment="1" applyProtection="1">
      <alignment horizontal="center"/>
    </xf>
    <xf numFmtId="0" fontId="48" fillId="0" borderId="148" xfId="2400" applyFont="1" applyFill="1" applyBorder="1" applyAlignment="1" applyProtection="1">
      <alignment horizontal="center"/>
    </xf>
    <xf numFmtId="235" fontId="48" fillId="0" borderId="148" xfId="2400" applyNumberFormat="1" applyFont="1" applyFill="1" applyBorder="1" applyAlignment="1" applyProtection="1">
      <alignment horizontal="center"/>
    </xf>
    <xf numFmtId="235" fontId="92" fillId="0" borderId="148" xfId="2400" applyNumberFormat="1" applyFont="1" applyFill="1" applyBorder="1" applyAlignment="1">
      <alignment horizontal="center"/>
    </xf>
    <xf numFmtId="0" fontId="271" fillId="0" borderId="76" xfId="2400" applyFont="1" applyFill="1" applyBorder="1" applyAlignment="1" applyProtection="1">
      <alignment horizontal="left"/>
    </xf>
    <xf numFmtId="0" fontId="271" fillId="0" borderId="76" xfId="2400" applyFont="1" applyFill="1" applyBorder="1" applyAlignment="1" applyProtection="1">
      <alignment horizontal="left" vertical="center"/>
    </xf>
    <xf numFmtId="171" fontId="92" fillId="2" borderId="37" xfId="0" applyNumberFormat="1" applyFont="1" applyFill="1" applyBorder="1" applyAlignment="1">
      <alignment horizontal="center"/>
    </xf>
    <xf numFmtId="171" fontId="92" fillId="2" borderId="38" xfId="0" applyNumberFormat="1" applyFont="1" applyFill="1" applyBorder="1" applyAlignment="1">
      <alignment horizontal="center"/>
    </xf>
    <xf numFmtId="171" fontId="92" fillId="90" borderId="122" xfId="0" applyNumberFormat="1" applyFont="1" applyFill="1" applyBorder="1" applyAlignment="1">
      <alignment horizontal="left"/>
    </xf>
    <xf numFmtId="171" fontId="92" fillId="90" borderId="134" xfId="0" applyNumberFormat="1" applyFont="1" applyFill="1" applyBorder="1" applyAlignment="1">
      <alignment horizontal="left"/>
    </xf>
    <xf numFmtId="171" fontId="48" fillId="2" borderId="103" xfId="0" applyNumberFormat="1" applyFont="1" applyFill="1" applyBorder="1" applyAlignment="1">
      <alignment horizontal="center" vertical="center"/>
    </xf>
    <xf numFmtId="171" fontId="48" fillId="2" borderId="38" xfId="0" applyNumberFormat="1" applyFont="1" applyFill="1" applyBorder="1" applyAlignment="1">
      <alignment horizontal="center" vertical="center"/>
    </xf>
    <xf numFmtId="171" fontId="48" fillId="2" borderId="37" xfId="0" applyNumberFormat="1" applyFont="1" applyFill="1" applyBorder="1" applyAlignment="1">
      <alignment horizontal="center" vertical="center"/>
    </xf>
    <xf numFmtId="0" fontId="92" fillId="92" borderId="0" xfId="0" applyFont="1" applyFill="1" applyBorder="1" applyAlignment="1">
      <alignment horizontal="left" vertical="center" wrapText="1"/>
    </xf>
    <xf numFmtId="171" fontId="48" fillId="2" borderId="122" xfId="0" applyNumberFormat="1" applyFont="1" applyFill="1" applyBorder="1" applyAlignment="1">
      <alignment horizontal="left"/>
    </xf>
    <xf numFmtId="171" fontId="48" fillId="2" borderId="134" xfId="0" applyNumberFormat="1" applyFont="1" applyFill="1" applyBorder="1" applyAlignment="1">
      <alignment horizontal="left"/>
    </xf>
    <xf numFmtId="170" fontId="214" fillId="26" borderId="122" xfId="6" applyNumberFormat="1" applyFont="1" applyFill="1" applyBorder="1" applyAlignment="1">
      <alignment horizontal="center" vertical="center" wrapText="1"/>
    </xf>
    <xf numFmtId="170"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4" fontId="213" fillId="92" borderId="140" xfId="40" applyNumberFormat="1" applyFont="1" applyFill="1" applyBorder="1" applyAlignment="1">
      <alignment horizontal="left" vertical="center"/>
    </xf>
    <xf numFmtId="174"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43" fillId="2" borderId="110" xfId="0" applyFont="1" applyFill="1" applyBorder="1" applyAlignment="1">
      <alignment horizontal="left" vertical="top" wrapText="1"/>
    </xf>
    <xf numFmtId="0" fontId="218" fillId="2" borderId="110" xfId="0" applyFont="1" applyFill="1" applyBorder="1" applyAlignment="1">
      <alignment horizontal="left" vertical="top" wrapText="1"/>
    </xf>
    <xf numFmtId="0" fontId="49" fillId="0" borderId="137" xfId="0" applyFont="1" applyBorder="1" applyAlignment="1">
      <alignment horizontal="left" vertical="center"/>
    </xf>
    <xf numFmtId="0" fontId="49" fillId="0" borderId="9" xfId="0" applyFont="1" applyBorder="1" applyAlignment="1">
      <alignment horizontal="left" vertical="center"/>
    </xf>
    <xf numFmtId="9" fontId="0" fillId="0" borderId="110" xfId="72" applyNumberFormat="1" applyFont="1" applyBorder="1" applyAlignment="1">
      <alignment horizontal="center" vertical="center" wrapText="1"/>
    </xf>
    <xf numFmtId="9" fontId="0" fillId="0" borderId="110" xfId="0" applyNumberFormat="1" applyBorder="1" applyAlignment="1">
      <alignment horizontal="center" vertical="center" wrapText="1"/>
    </xf>
    <xf numFmtId="0" fontId="0" fillId="0" borderId="110" xfId="0" applyBorder="1" applyAlignment="1">
      <alignment horizontal="center" vertical="center" wrapText="1"/>
    </xf>
    <xf numFmtId="0" fontId="0" fillId="0" borderId="137" xfId="0" applyBorder="1" applyAlignment="1">
      <alignment horizontal="right" vertical="center" wrapText="1"/>
    </xf>
    <xf numFmtId="0" fontId="0" fillId="0" borderId="9" xfId="0" applyBorder="1" applyAlignment="1">
      <alignment horizontal="righ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99"/>
      <color rgb="FF0033CC"/>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06126" cy="2341094"/>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5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09331"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441960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495300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471900" cy="20510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30242"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877209" cy="1521533"/>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5897" y="216648"/>
          <a:ext cx="19875796" cy="2239856"/>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2560" y="134471"/>
          <a:ext cx="653676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897225"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211548"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5394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972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3675"/>
          <a:ext cx="30400625" cy="21812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808684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158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5859634"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oeb.ca/industry/rules-codes-and-requirements/prescribed-interest-rates"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60" zoomScaleNormal="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1163" t="s">
        <v>175</v>
      </c>
      <c r="C3" s="1163"/>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ht="15">
      <c r="B15" s="256"/>
      <c r="C15" s="256"/>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70" zoomScaleNormal="70" workbookViewId="0">
      <selection activeCell="B18" sqref="B18"/>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1165" t="s">
        <v>658</v>
      </c>
      <c r="C3" s="1166"/>
      <c r="D3" s="1166"/>
      <c r="E3" s="1166"/>
      <c r="F3" s="1167"/>
      <c r="G3" s="125"/>
    </row>
    <row r="4" spans="2:20" ht="16.5" customHeight="1">
      <c r="B4" s="1168"/>
      <c r="C4" s="1169"/>
      <c r="D4" s="1169"/>
      <c r="E4" s="1169"/>
      <c r="F4" s="1170"/>
      <c r="G4" s="125"/>
    </row>
    <row r="5" spans="2:20" ht="71.25" customHeight="1">
      <c r="B5" s="1168"/>
      <c r="C5" s="1169"/>
      <c r="D5" s="1169"/>
      <c r="E5" s="1169"/>
      <c r="F5" s="1170"/>
      <c r="G5" s="125"/>
    </row>
    <row r="6" spans="2:20" ht="21.75" customHeight="1">
      <c r="B6" s="1171"/>
      <c r="C6" s="1172"/>
      <c r="D6" s="1172"/>
      <c r="E6" s="1172"/>
      <c r="F6" s="1173"/>
      <c r="G6" s="125"/>
    </row>
    <row r="8" spans="2:20" ht="21">
      <c r="B8" s="1164" t="s">
        <v>495</v>
      </c>
      <c r="C8" s="1164"/>
      <c r="D8" s="1164"/>
      <c r="E8" s="1164"/>
      <c r="F8" s="1164"/>
      <c r="G8" s="1164"/>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opLeftCell="D13" workbookViewId="0">
      <selection activeCell="K22" sqref="K22"/>
    </sheetView>
  </sheetViews>
  <sheetFormatPr defaultRowHeight="14.4"/>
  <cols>
    <col min="1" max="1" width="21.109375" style="1084" customWidth="1"/>
    <col min="2" max="2" width="17.33203125" style="1084" customWidth="1"/>
    <col min="3" max="3" width="4.44140625" style="1084" customWidth="1"/>
    <col min="4" max="4" width="44" style="1084" customWidth="1"/>
    <col min="5" max="5" width="5.109375" style="1084" bestFit="1" customWidth="1"/>
    <col min="6" max="6" width="23.88671875" style="1084" customWidth="1"/>
    <col min="7" max="7" width="18.6640625" style="1084" customWidth="1"/>
    <col min="8" max="9" width="0.109375" style="1084" hidden="1" customWidth="1"/>
    <col min="10" max="10" width="9.109375" style="1084" hidden="1" customWidth="1"/>
    <col min="11" max="11" width="18.6640625" style="1085" customWidth="1"/>
    <col min="12" max="12" width="15.109375" style="1084" customWidth="1"/>
    <col min="13" max="15" width="9.109375" style="1084"/>
    <col min="16" max="16" width="38" style="1084" customWidth="1"/>
    <col min="17" max="256" width="9.109375" style="1084"/>
    <col min="257" max="257" width="23.109375" style="1084" customWidth="1"/>
    <col min="258" max="258" width="17.6640625" style="1084" customWidth="1"/>
    <col min="259" max="259" width="4.44140625" style="1084" customWidth="1"/>
    <col min="260" max="260" width="44" style="1084" customWidth="1"/>
    <col min="261" max="261" width="6.33203125" style="1084" customWidth="1"/>
    <col min="262" max="263" width="21.109375" style="1084" customWidth="1"/>
    <col min="264" max="266" width="0" style="1084" hidden="1" customWidth="1"/>
    <col min="267" max="267" width="18.6640625" style="1084" customWidth="1"/>
    <col min="268" max="268" width="9.33203125" style="1084" customWidth="1"/>
    <col min="269" max="512" width="9.109375" style="1084"/>
    <col min="513" max="513" width="23.109375" style="1084" customWidth="1"/>
    <col min="514" max="514" width="17.6640625" style="1084" customWidth="1"/>
    <col min="515" max="515" width="4.44140625" style="1084" customWidth="1"/>
    <col min="516" max="516" width="44" style="1084" customWidth="1"/>
    <col min="517" max="517" width="6.33203125" style="1084" customWidth="1"/>
    <col min="518" max="519" width="21.109375" style="1084" customWidth="1"/>
    <col min="520" max="522" width="0" style="1084" hidden="1" customWidth="1"/>
    <col min="523" max="523" width="18.6640625" style="1084" customWidth="1"/>
    <col min="524" max="524" width="9.33203125" style="1084" customWidth="1"/>
    <col min="525" max="768" width="9.109375" style="1084"/>
    <col min="769" max="769" width="23.109375" style="1084" customWidth="1"/>
    <col min="770" max="770" width="17.6640625" style="1084" customWidth="1"/>
    <col min="771" max="771" width="4.44140625" style="1084" customWidth="1"/>
    <col min="772" max="772" width="44" style="1084" customWidth="1"/>
    <col min="773" max="773" width="6.33203125" style="1084" customWidth="1"/>
    <col min="774" max="775" width="21.109375" style="1084" customWidth="1"/>
    <col min="776" max="778" width="0" style="1084" hidden="1" customWidth="1"/>
    <col min="779" max="779" width="18.6640625" style="1084" customWidth="1"/>
    <col min="780" max="780" width="9.33203125" style="1084" customWidth="1"/>
    <col min="781" max="1024" width="9.109375" style="1084"/>
    <col min="1025" max="1025" width="23.109375" style="1084" customWidth="1"/>
    <col min="1026" max="1026" width="17.6640625" style="1084" customWidth="1"/>
    <col min="1027" max="1027" width="4.44140625" style="1084" customWidth="1"/>
    <col min="1028" max="1028" width="44" style="1084" customWidth="1"/>
    <col min="1029" max="1029" width="6.33203125" style="1084" customWidth="1"/>
    <col min="1030" max="1031" width="21.109375" style="1084" customWidth="1"/>
    <col min="1032" max="1034" width="0" style="1084" hidden="1" customWidth="1"/>
    <col min="1035" max="1035" width="18.6640625" style="1084" customWidth="1"/>
    <col min="1036" max="1036" width="9.33203125" style="1084" customWidth="1"/>
    <col min="1037" max="1280" width="9.109375" style="1084"/>
    <col min="1281" max="1281" width="23.109375" style="1084" customWidth="1"/>
    <col min="1282" max="1282" width="17.6640625" style="1084" customWidth="1"/>
    <col min="1283" max="1283" width="4.44140625" style="1084" customWidth="1"/>
    <col min="1284" max="1284" width="44" style="1084" customWidth="1"/>
    <col min="1285" max="1285" width="6.33203125" style="1084" customWidth="1"/>
    <col min="1286" max="1287" width="21.109375" style="1084" customWidth="1"/>
    <col min="1288" max="1290" width="0" style="1084" hidden="1" customWidth="1"/>
    <col min="1291" max="1291" width="18.6640625" style="1084" customWidth="1"/>
    <col min="1292" max="1292" width="9.33203125" style="1084" customWidth="1"/>
    <col min="1293" max="1536" width="9.109375" style="1084"/>
    <col min="1537" max="1537" width="23.109375" style="1084" customWidth="1"/>
    <col min="1538" max="1538" width="17.6640625" style="1084" customWidth="1"/>
    <col min="1539" max="1539" width="4.44140625" style="1084" customWidth="1"/>
    <col min="1540" max="1540" width="44" style="1084" customWidth="1"/>
    <col min="1541" max="1541" width="6.33203125" style="1084" customWidth="1"/>
    <col min="1542" max="1543" width="21.109375" style="1084" customWidth="1"/>
    <col min="1544" max="1546" width="0" style="1084" hidden="1" customWidth="1"/>
    <col min="1547" max="1547" width="18.6640625" style="1084" customWidth="1"/>
    <col min="1548" max="1548" width="9.33203125" style="1084" customWidth="1"/>
    <col min="1549" max="1792" width="9.109375" style="1084"/>
    <col min="1793" max="1793" width="23.109375" style="1084" customWidth="1"/>
    <col min="1794" max="1794" width="17.6640625" style="1084" customWidth="1"/>
    <col min="1795" max="1795" width="4.44140625" style="1084" customWidth="1"/>
    <col min="1796" max="1796" width="44" style="1084" customWidth="1"/>
    <col min="1797" max="1797" width="6.33203125" style="1084" customWidth="1"/>
    <col min="1798" max="1799" width="21.109375" style="1084" customWidth="1"/>
    <col min="1800" max="1802" width="0" style="1084" hidden="1" customWidth="1"/>
    <col min="1803" max="1803" width="18.6640625" style="1084" customWidth="1"/>
    <col min="1804" max="1804" width="9.33203125" style="1084" customWidth="1"/>
    <col min="1805" max="2048" width="9.109375" style="1084"/>
    <col min="2049" max="2049" width="23.109375" style="1084" customWidth="1"/>
    <col min="2050" max="2050" width="17.6640625" style="1084" customWidth="1"/>
    <col min="2051" max="2051" width="4.44140625" style="1084" customWidth="1"/>
    <col min="2052" max="2052" width="44" style="1084" customWidth="1"/>
    <col min="2053" max="2053" width="6.33203125" style="1084" customWidth="1"/>
    <col min="2054" max="2055" width="21.109375" style="1084" customWidth="1"/>
    <col min="2056" max="2058" width="0" style="1084" hidden="1" customWidth="1"/>
    <col min="2059" max="2059" width="18.6640625" style="1084" customWidth="1"/>
    <col min="2060" max="2060" width="9.33203125" style="1084" customWidth="1"/>
    <col min="2061" max="2304" width="9.109375" style="1084"/>
    <col min="2305" max="2305" width="23.109375" style="1084" customWidth="1"/>
    <col min="2306" max="2306" width="17.6640625" style="1084" customWidth="1"/>
    <col min="2307" max="2307" width="4.44140625" style="1084" customWidth="1"/>
    <col min="2308" max="2308" width="44" style="1084" customWidth="1"/>
    <col min="2309" max="2309" width="6.33203125" style="1084" customWidth="1"/>
    <col min="2310" max="2311" width="21.109375" style="1084" customWidth="1"/>
    <col min="2312" max="2314" width="0" style="1084" hidden="1" customWidth="1"/>
    <col min="2315" max="2315" width="18.6640625" style="1084" customWidth="1"/>
    <col min="2316" max="2316" width="9.33203125" style="1084" customWidth="1"/>
    <col min="2317" max="2560" width="9.109375" style="1084"/>
    <col min="2561" max="2561" width="23.109375" style="1084" customWidth="1"/>
    <col min="2562" max="2562" width="17.6640625" style="1084" customWidth="1"/>
    <col min="2563" max="2563" width="4.44140625" style="1084" customWidth="1"/>
    <col min="2564" max="2564" width="44" style="1084" customWidth="1"/>
    <col min="2565" max="2565" width="6.33203125" style="1084" customWidth="1"/>
    <col min="2566" max="2567" width="21.109375" style="1084" customWidth="1"/>
    <col min="2568" max="2570" width="0" style="1084" hidden="1" customWidth="1"/>
    <col min="2571" max="2571" width="18.6640625" style="1084" customWidth="1"/>
    <col min="2572" max="2572" width="9.33203125" style="1084" customWidth="1"/>
    <col min="2573" max="2816" width="9.109375" style="1084"/>
    <col min="2817" max="2817" width="23.109375" style="1084" customWidth="1"/>
    <col min="2818" max="2818" width="17.6640625" style="1084" customWidth="1"/>
    <col min="2819" max="2819" width="4.44140625" style="1084" customWidth="1"/>
    <col min="2820" max="2820" width="44" style="1084" customWidth="1"/>
    <col min="2821" max="2821" width="6.33203125" style="1084" customWidth="1"/>
    <col min="2822" max="2823" width="21.109375" style="1084" customWidth="1"/>
    <col min="2824" max="2826" width="0" style="1084" hidden="1" customWidth="1"/>
    <col min="2827" max="2827" width="18.6640625" style="1084" customWidth="1"/>
    <col min="2828" max="2828" width="9.33203125" style="1084" customWidth="1"/>
    <col min="2829" max="3072" width="9.109375" style="1084"/>
    <col min="3073" max="3073" width="23.109375" style="1084" customWidth="1"/>
    <col min="3074" max="3074" width="17.6640625" style="1084" customWidth="1"/>
    <col min="3075" max="3075" width="4.44140625" style="1084" customWidth="1"/>
    <col min="3076" max="3076" width="44" style="1084" customWidth="1"/>
    <col min="3077" max="3077" width="6.33203125" style="1084" customWidth="1"/>
    <col min="3078" max="3079" width="21.109375" style="1084" customWidth="1"/>
    <col min="3080" max="3082" width="0" style="1084" hidden="1" customWidth="1"/>
    <col min="3083" max="3083" width="18.6640625" style="1084" customWidth="1"/>
    <col min="3084" max="3084" width="9.33203125" style="1084" customWidth="1"/>
    <col min="3085" max="3328" width="9.109375" style="1084"/>
    <col min="3329" max="3329" width="23.109375" style="1084" customWidth="1"/>
    <col min="3330" max="3330" width="17.6640625" style="1084" customWidth="1"/>
    <col min="3331" max="3331" width="4.44140625" style="1084" customWidth="1"/>
    <col min="3332" max="3332" width="44" style="1084" customWidth="1"/>
    <col min="3333" max="3333" width="6.33203125" style="1084" customWidth="1"/>
    <col min="3334" max="3335" width="21.109375" style="1084" customWidth="1"/>
    <col min="3336" max="3338" width="0" style="1084" hidden="1" customWidth="1"/>
    <col min="3339" max="3339" width="18.6640625" style="1084" customWidth="1"/>
    <col min="3340" max="3340" width="9.33203125" style="1084" customWidth="1"/>
    <col min="3341" max="3584" width="9.109375" style="1084"/>
    <col min="3585" max="3585" width="23.109375" style="1084" customWidth="1"/>
    <col min="3586" max="3586" width="17.6640625" style="1084" customWidth="1"/>
    <col min="3587" max="3587" width="4.44140625" style="1084" customWidth="1"/>
    <col min="3588" max="3588" width="44" style="1084" customWidth="1"/>
    <col min="3589" max="3589" width="6.33203125" style="1084" customWidth="1"/>
    <col min="3590" max="3591" width="21.109375" style="1084" customWidth="1"/>
    <col min="3592" max="3594" width="0" style="1084" hidden="1" customWidth="1"/>
    <col min="3595" max="3595" width="18.6640625" style="1084" customWidth="1"/>
    <col min="3596" max="3596" width="9.33203125" style="1084" customWidth="1"/>
    <col min="3597" max="3840" width="9.109375" style="1084"/>
    <col min="3841" max="3841" width="23.109375" style="1084" customWidth="1"/>
    <col min="3842" max="3842" width="17.6640625" style="1084" customWidth="1"/>
    <col min="3843" max="3843" width="4.44140625" style="1084" customWidth="1"/>
    <col min="3844" max="3844" width="44" style="1084" customWidth="1"/>
    <col min="3845" max="3845" width="6.33203125" style="1084" customWidth="1"/>
    <col min="3846" max="3847" width="21.109375" style="1084" customWidth="1"/>
    <col min="3848" max="3850" width="0" style="1084" hidden="1" customWidth="1"/>
    <col min="3851" max="3851" width="18.6640625" style="1084" customWidth="1"/>
    <col min="3852" max="3852" width="9.33203125" style="1084" customWidth="1"/>
    <col min="3853" max="4096" width="9.109375" style="1084"/>
    <col min="4097" max="4097" width="23.109375" style="1084" customWidth="1"/>
    <col min="4098" max="4098" width="17.6640625" style="1084" customWidth="1"/>
    <col min="4099" max="4099" width="4.44140625" style="1084" customWidth="1"/>
    <col min="4100" max="4100" width="44" style="1084" customWidth="1"/>
    <col min="4101" max="4101" width="6.33203125" style="1084" customWidth="1"/>
    <col min="4102" max="4103" width="21.109375" style="1084" customWidth="1"/>
    <col min="4104" max="4106" width="0" style="1084" hidden="1" customWidth="1"/>
    <col min="4107" max="4107" width="18.6640625" style="1084" customWidth="1"/>
    <col min="4108" max="4108" width="9.33203125" style="1084" customWidth="1"/>
    <col min="4109" max="4352" width="9.109375" style="1084"/>
    <col min="4353" max="4353" width="23.109375" style="1084" customWidth="1"/>
    <col min="4354" max="4354" width="17.6640625" style="1084" customWidth="1"/>
    <col min="4355" max="4355" width="4.44140625" style="1084" customWidth="1"/>
    <col min="4356" max="4356" width="44" style="1084" customWidth="1"/>
    <col min="4357" max="4357" width="6.33203125" style="1084" customWidth="1"/>
    <col min="4358" max="4359" width="21.109375" style="1084" customWidth="1"/>
    <col min="4360" max="4362" width="0" style="1084" hidden="1" customWidth="1"/>
    <col min="4363" max="4363" width="18.6640625" style="1084" customWidth="1"/>
    <col min="4364" max="4364" width="9.33203125" style="1084" customWidth="1"/>
    <col min="4365" max="4608" width="9.109375" style="1084"/>
    <col min="4609" max="4609" width="23.109375" style="1084" customWidth="1"/>
    <col min="4610" max="4610" width="17.6640625" style="1084" customWidth="1"/>
    <col min="4611" max="4611" width="4.44140625" style="1084" customWidth="1"/>
    <col min="4612" max="4612" width="44" style="1084" customWidth="1"/>
    <col min="4613" max="4613" width="6.33203125" style="1084" customWidth="1"/>
    <col min="4614" max="4615" width="21.109375" style="1084" customWidth="1"/>
    <col min="4616" max="4618" width="0" style="1084" hidden="1" customWidth="1"/>
    <col min="4619" max="4619" width="18.6640625" style="1084" customWidth="1"/>
    <col min="4620" max="4620" width="9.33203125" style="1084" customWidth="1"/>
    <col min="4621" max="4864" width="9.109375" style="1084"/>
    <col min="4865" max="4865" width="23.109375" style="1084" customWidth="1"/>
    <col min="4866" max="4866" width="17.6640625" style="1084" customWidth="1"/>
    <col min="4867" max="4867" width="4.44140625" style="1084" customWidth="1"/>
    <col min="4868" max="4868" width="44" style="1084" customWidth="1"/>
    <col min="4869" max="4869" width="6.33203125" style="1084" customWidth="1"/>
    <col min="4870" max="4871" width="21.109375" style="1084" customWidth="1"/>
    <col min="4872" max="4874" width="0" style="1084" hidden="1" customWidth="1"/>
    <col min="4875" max="4875" width="18.6640625" style="1084" customWidth="1"/>
    <col min="4876" max="4876" width="9.33203125" style="1084" customWidth="1"/>
    <col min="4877" max="5120" width="9.109375" style="1084"/>
    <col min="5121" max="5121" width="23.109375" style="1084" customWidth="1"/>
    <col min="5122" max="5122" width="17.6640625" style="1084" customWidth="1"/>
    <col min="5123" max="5123" width="4.44140625" style="1084" customWidth="1"/>
    <col min="5124" max="5124" width="44" style="1084" customWidth="1"/>
    <col min="5125" max="5125" width="6.33203125" style="1084" customWidth="1"/>
    <col min="5126" max="5127" width="21.109375" style="1084" customWidth="1"/>
    <col min="5128" max="5130" width="0" style="1084" hidden="1" customWidth="1"/>
    <col min="5131" max="5131" width="18.6640625" style="1084" customWidth="1"/>
    <col min="5132" max="5132" width="9.33203125" style="1084" customWidth="1"/>
    <col min="5133" max="5376" width="9.109375" style="1084"/>
    <col min="5377" max="5377" width="23.109375" style="1084" customWidth="1"/>
    <col min="5378" max="5378" width="17.6640625" style="1084" customWidth="1"/>
    <col min="5379" max="5379" width="4.44140625" style="1084" customWidth="1"/>
    <col min="5380" max="5380" width="44" style="1084" customWidth="1"/>
    <col min="5381" max="5381" width="6.33203125" style="1084" customWidth="1"/>
    <col min="5382" max="5383" width="21.109375" style="1084" customWidth="1"/>
    <col min="5384" max="5386" width="0" style="1084" hidden="1" customWidth="1"/>
    <col min="5387" max="5387" width="18.6640625" style="1084" customWidth="1"/>
    <col min="5388" max="5388" width="9.33203125" style="1084" customWidth="1"/>
    <col min="5389" max="5632" width="9.109375" style="1084"/>
    <col min="5633" max="5633" width="23.109375" style="1084" customWidth="1"/>
    <col min="5634" max="5634" width="17.6640625" style="1084" customWidth="1"/>
    <col min="5635" max="5635" width="4.44140625" style="1084" customWidth="1"/>
    <col min="5636" max="5636" width="44" style="1084" customWidth="1"/>
    <col min="5637" max="5637" width="6.33203125" style="1084" customWidth="1"/>
    <col min="5638" max="5639" width="21.109375" style="1084" customWidth="1"/>
    <col min="5640" max="5642" width="0" style="1084" hidden="1" customWidth="1"/>
    <col min="5643" max="5643" width="18.6640625" style="1084" customWidth="1"/>
    <col min="5644" max="5644" width="9.33203125" style="1084" customWidth="1"/>
    <col min="5645" max="5888" width="9.109375" style="1084"/>
    <col min="5889" max="5889" width="23.109375" style="1084" customWidth="1"/>
    <col min="5890" max="5890" width="17.6640625" style="1084" customWidth="1"/>
    <col min="5891" max="5891" width="4.44140625" style="1084" customWidth="1"/>
    <col min="5892" max="5892" width="44" style="1084" customWidth="1"/>
    <col min="5893" max="5893" width="6.33203125" style="1084" customWidth="1"/>
    <col min="5894" max="5895" width="21.109375" style="1084" customWidth="1"/>
    <col min="5896" max="5898" width="0" style="1084" hidden="1" customWidth="1"/>
    <col min="5899" max="5899" width="18.6640625" style="1084" customWidth="1"/>
    <col min="5900" max="5900" width="9.33203125" style="1084" customWidth="1"/>
    <col min="5901" max="6144" width="9.109375" style="1084"/>
    <col min="6145" max="6145" width="23.109375" style="1084" customWidth="1"/>
    <col min="6146" max="6146" width="17.6640625" style="1084" customWidth="1"/>
    <col min="6147" max="6147" width="4.44140625" style="1084" customWidth="1"/>
    <col min="6148" max="6148" width="44" style="1084" customWidth="1"/>
    <col min="6149" max="6149" width="6.33203125" style="1084" customWidth="1"/>
    <col min="6150" max="6151" width="21.109375" style="1084" customWidth="1"/>
    <col min="6152" max="6154" width="0" style="1084" hidden="1" customWidth="1"/>
    <col min="6155" max="6155" width="18.6640625" style="1084" customWidth="1"/>
    <col min="6156" max="6156" width="9.33203125" style="1084" customWidth="1"/>
    <col min="6157" max="6400" width="9.109375" style="1084"/>
    <col min="6401" max="6401" width="23.109375" style="1084" customWidth="1"/>
    <col min="6402" max="6402" width="17.6640625" style="1084" customWidth="1"/>
    <col min="6403" max="6403" width="4.44140625" style="1084" customWidth="1"/>
    <col min="6404" max="6404" width="44" style="1084" customWidth="1"/>
    <col min="6405" max="6405" width="6.33203125" style="1084" customWidth="1"/>
    <col min="6406" max="6407" width="21.109375" style="1084" customWidth="1"/>
    <col min="6408" max="6410" width="0" style="1084" hidden="1" customWidth="1"/>
    <col min="6411" max="6411" width="18.6640625" style="1084" customWidth="1"/>
    <col min="6412" max="6412" width="9.33203125" style="1084" customWidth="1"/>
    <col min="6413" max="6656" width="9.109375" style="1084"/>
    <col min="6657" max="6657" width="23.109375" style="1084" customWidth="1"/>
    <col min="6658" max="6658" width="17.6640625" style="1084" customWidth="1"/>
    <col min="6659" max="6659" width="4.44140625" style="1084" customWidth="1"/>
    <col min="6660" max="6660" width="44" style="1084" customWidth="1"/>
    <col min="6661" max="6661" width="6.33203125" style="1084" customWidth="1"/>
    <col min="6662" max="6663" width="21.109375" style="1084" customWidth="1"/>
    <col min="6664" max="6666" width="0" style="1084" hidden="1" customWidth="1"/>
    <col min="6667" max="6667" width="18.6640625" style="1084" customWidth="1"/>
    <col min="6668" max="6668" width="9.33203125" style="1084" customWidth="1"/>
    <col min="6669" max="6912" width="9.109375" style="1084"/>
    <col min="6913" max="6913" width="23.109375" style="1084" customWidth="1"/>
    <col min="6914" max="6914" width="17.6640625" style="1084" customWidth="1"/>
    <col min="6915" max="6915" width="4.44140625" style="1084" customWidth="1"/>
    <col min="6916" max="6916" width="44" style="1084" customWidth="1"/>
    <col min="6917" max="6917" width="6.33203125" style="1084" customWidth="1"/>
    <col min="6918" max="6919" width="21.109375" style="1084" customWidth="1"/>
    <col min="6920" max="6922" width="0" style="1084" hidden="1" customWidth="1"/>
    <col min="6923" max="6923" width="18.6640625" style="1084" customWidth="1"/>
    <col min="6924" max="6924" width="9.33203125" style="1084" customWidth="1"/>
    <col min="6925" max="7168" width="9.109375" style="1084"/>
    <col min="7169" max="7169" width="23.109375" style="1084" customWidth="1"/>
    <col min="7170" max="7170" width="17.6640625" style="1084" customWidth="1"/>
    <col min="7171" max="7171" width="4.44140625" style="1084" customWidth="1"/>
    <col min="7172" max="7172" width="44" style="1084" customWidth="1"/>
    <col min="7173" max="7173" width="6.33203125" style="1084" customWidth="1"/>
    <col min="7174" max="7175" width="21.109375" style="1084" customWidth="1"/>
    <col min="7176" max="7178" width="0" style="1084" hidden="1" customWidth="1"/>
    <col min="7179" max="7179" width="18.6640625" style="1084" customWidth="1"/>
    <col min="7180" max="7180" width="9.33203125" style="1084" customWidth="1"/>
    <col min="7181" max="7424" width="9.109375" style="1084"/>
    <col min="7425" max="7425" width="23.109375" style="1084" customWidth="1"/>
    <col min="7426" max="7426" width="17.6640625" style="1084" customWidth="1"/>
    <col min="7427" max="7427" width="4.44140625" style="1084" customWidth="1"/>
    <col min="7428" max="7428" width="44" style="1084" customWidth="1"/>
    <col min="7429" max="7429" width="6.33203125" style="1084" customWidth="1"/>
    <col min="7430" max="7431" width="21.109375" style="1084" customWidth="1"/>
    <col min="7432" max="7434" width="0" style="1084" hidden="1" customWidth="1"/>
    <col min="7435" max="7435" width="18.6640625" style="1084" customWidth="1"/>
    <col min="7436" max="7436" width="9.33203125" style="1084" customWidth="1"/>
    <col min="7437" max="7680" width="9.109375" style="1084"/>
    <col min="7681" max="7681" width="23.109375" style="1084" customWidth="1"/>
    <col min="7682" max="7682" width="17.6640625" style="1084" customWidth="1"/>
    <col min="7683" max="7683" width="4.44140625" style="1084" customWidth="1"/>
    <col min="7684" max="7684" width="44" style="1084" customWidth="1"/>
    <col min="7685" max="7685" width="6.33203125" style="1084" customWidth="1"/>
    <col min="7686" max="7687" width="21.109375" style="1084" customWidth="1"/>
    <col min="7688" max="7690" width="0" style="1084" hidden="1" customWidth="1"/>
    <col min="7691" max="7691" width="18.6640625" style="1084" customWidth="1"/>
    <col min="7692" max="7692" width="9.33203125" style="1084" customWidth="1"/>
    <col min="7693" max="7936" width="9.109375" style="1084"/>
    <col min="7937" max="7937" width="23.109375" style="1084" customWidth="1"/>
    <col min="7938" max="7938" width="17.6640625" style="1084" customWidth="1"/>
    <col min="7939" max="7939" width="4.44140625" style="1084" customWidth="1"/>
    <col min="7940" max="7940" width="44" style="1084" customWidth="1"/>
    <col min="7941" max="7941" width="6.33203125" style="1084" customWidth="1"/>
    <col min="7942" max="7943" width="21.109375" style="1084" customWidth="1"/>
    <col min="7944" max="7946" width="0" style="1084" hidden="1" customWidth="1"/>
    <col min="7947" max="7947" width="18.6640625" style="1084" customWidth="1"/>
    <col min="7948" max="7948" width="9.33203125" style="1084" customWidth="1"/>
    <col min="7949" max="8192" width="9.109375" style="1084"/>
    <col min="8193" max="8193" width="23.109375" style="1084" customWidth="1"/>
    <col min="8194" max="8194" width="17.6640625" style="1084" customWidth="1"/>
    <col min="8195" max="8195" width="4.44140625" style="1084" customWidth="1"/>
    <col min="8196" max="8196" width="44" style="1084" customWidth="1"/>
    <col min="8197" max="8197" width="6.33203125" style="1084" customWidth="1"/>
    <col min="8198" max="8199" width="21.109375" style="1084" customWidth="1"/>
    <col min="8200" max="8202" width="0" style="1084" hidden="1" customWidth="1"/>
    <col min="8203" max="8203" width="18.6640625" style="1084" customWidth="1"/>
    <col min="8204" max="8204" width="9.33203125" style="1084" customWidth="1"/>
    <col min="8205" max="8448" width="9.109375" style="1084"/>
    <col min="8449" max="8449" width="23.109375" style="1084" customWidth="1"/>
    <col min="8450" max="8450" width="17.6640625" style="1084" customWidth="1"/>
    <col min="8451" max="8451" width="4.44140625" style="1084" customWidth="1"/>
    <col min="8452" max="8452" width="44" style="1084" customWidth="1"/>
    <col min="8453" max="8453" width="6.33203125" style="1084" customWidth="1"/>
    <col min="8454" max="8455" width="21.109375" style="1084" customWidth="1"/>
    <col min="8456" max="8458" width="0" style="1084" hidden="1" customWidth="1"/>
    <col min="8459" max="8459" width="18.6640625" style="1084" customWidth="1"/>
    <col min="8460" max="8460" width="9.33203125" style="1084" customWidth="1"/>
    <col min="8461" max="8704" width="9.109375" style="1084"/>
    <col min="8705" max="8705" width="23.109375" style="1084" customWidth="1"/>
    <col min="8706" max="8706" width="17.6640625" style="1084" customWidth="1"/>
    <col min="8707" max="8707" width="4.44140625" style="1084" customWidth="1"/>
    <col min="8708" max="8708" width="44" style="1084" customWidth="1"/>
    <col min="8709" max="8709" width="6.33203125" style="1084" customWidth="1"/>
    <col min="8710" max="8711" width="21.109375" style="1084" customWidth="1"/>
    <col min="8712" max="8714" width="0" style="1084" hidden="1" customWidth="1"/>
    <col min="8715" max="8715" width="18.6640625" style="1084" customWidth="1"/>
    <col min="8716" max="8716" width="9.33203125" style="1084" customWidth="1"/>
    <col min="8717" max="8960" width="9.109375" style="1084"/>
    <col min="8961" max="8961" width="23.109375" style="1084" customWidth="1"/>
    <col min="8962" max="8962" width="17.6640625" style="1084" customWidth="1"/>
    <col min="8963" max="8963" width="4.44140625" style="1084" customWidth="1"/>
    <col min="8964" max="8964" width="44" style="1084" customWidth="1"/>
    <col min="8965" max="8965" width="6.33203125" style="1084" customWidth="1"/>
    <col min="8966" max="8967" width="21.109375" style="1084" customWidth="1"/>
    <col min="8968" max="8970" width="0" style="1084" hidden="1" customWidth="1"/>
    <col min="8971" max="8971" width="18.6640625" style="1084" customWidth="1"/>
    <col min="8972" max="8972" width="9.33203125" style="1084" customWidth="1"/>
    <col min="8973" max="9216" width="9.109375" style="1084"/>
    <col min="9217" max="9217" width="23.109375" style="1084" customWidth="1"/>
    <col min="9218" max="9218" width="17.6640625" style="1084" customWidth="1"/>
    <col min="9219" max="9219" width="4.44140625" style="1084" customWidth="1"/>
    <col min="9220" max="9220" width="44" style="1084" customWidth="1"/>
    <col min="9221" max="9221" width="6.33203125" style="1084" customWidth="1"/>
    <col min="9222" max="9223" width="21.109375" style="1084" customWidth="1"/>
    <col min="9224" max="9226" width="0" style="1084" hidden="1" customWidth="1"/>
    <col min="9227" max="9227" width="18.6640625" style="1084" customWidth="1"/>
    <col min="9228" max="9228" width="9.33203125" style="1084" customWidth="1"/>
    <col min="9229" max="9472" width="9.109375" style="1084"/>
    <col min="9473" max="9473" width="23.109375" style="1084" customWidth="1"/>
    <col min="9474" max="9474" width="17.6640625" style="1084" customWidth="1"/>
    <col min="9475" max="9475" width="4.44140625" style="1084" customWidth="1"/>
    <col min="9476" max="9476" width="44" style="1084" customWidth="1"/>
    <col min="9477" max="9477" width="6.33203125" style="1084" customWidth="1"/>
    <col min="9478" max="9479" width="21.109375" style="1084" customWidth="1"/>
    <col min="9480" max="9482" width="0" style="1084" hidden="1" customWidth="1"/>
    <col min="9483" max="9483" width="18.6640625" style="1084" customWidth="1"/>
    <col min="9484" max="9484" width="9.33203125" style="1084" customWidth="1"/>
    <col min="9485" max="9728" width="9.109375" style="1084"/>
    <col min="9729" max="9729" width="23.109375" style="1084" customWidth="1"/>
    <col min="9730" max="9730" width="17.6640625" style="1084" customWidth="1"/>
    <col min="9731" max="9731" width="4.44140625" style="1084" customWidth="1"/>
    <col min="9732" max="9732" width="44" style="1084" customWidth="1"/>
    <col min="9733" max="9733" width="6.33203125" style="1084" customWidth="1"/>
    <col min="9734" max="9735" width="21.109375" style="1084" customWidth="1"/>
    <col min="9736" max="9738" width="0" style="1084" hidden="1" customWidth="1"/>
    <col min="9739" max="9739" width="18.6640625" style="1084" customWidth="1"/>
    <col min="9740" max="9740" width="9.33203125" style="1084" customWidth="1"/>
    <col min="9741" max="9984" width="9.109375" style="1084"/>
    <col min="9985" max="9985" width="23.109375" style="1084" customWidth="1"/>
    <col min="9986" max="9986" width="17.6640625" style="1084" customWidth="1"/>
    <col min="9987" max="9987" width="4.44140625" style="1084" customWidth="1"/>
    <col min="9988" max="9988" width="44" style="1084" customWidth="1"/>
    <col min="9989" max="9989" width="6.33203125" style="1084" customWidth="1"/>
    <col min="9990" max="9991" width="21.109375" style="1084" customWidth="1"/>
    <col min="9992" max="9994" width="0" style="1084" hidden="1" customWidth="1"/>
    <col min="9995" max="9995" width="18.6640625" style="1084" customWidth="1"/>
    <col min="9996" max="9996" width="9.33203125" style="1084" customWidth="1"/>
    <col min="9997" max="10240" width="9.109375" style="1084"/>
    <col min="10241" max="10241" width="23.109375" style="1084" customWidth="1"/>
    <col min="10242" max="10242" width="17.6640625" style="1084" customWidth="1"/>
    <col min="10243" max="10243" width="4.44140625" style="1084" customWidth="1"/>
    <col min="10244" max="10244" width="44" style="1084" customWidth="1"/>
    <col min="10245" max="10245" width="6.33203125" style="1084" customWidth="1"/>
    <col min="10246" max="10247" width="21.109375" style="1084" customWidth="1"/>
    <col min="10248" max="10250" width="0" style="1084" hidden="1" customWidth="1"/>
    <col min="10251" max="10251" width="18.6640625" style="1084" customWidth="1"/>
    <col min="10252" max="10252" width="9.33203125" style="1084" customWidth="1"/>
    <col min="10253" max="10496" width="9.109375" style="1084"/>
    <col min="10497" max="10497" width="23.109375" style="1084" customWidth="1"/>
    <col min="10498" max="10498" width="17.6640625" style="1084" customWidth="1"/>
    <col min="10499" max="10499" width="4.44140625" style="1084" customWidth="1"/>
    <col min="10500" max="10500" width="44" style="1084" customWidth="1"/>
    <col min="10501" max="10501" width="6.33203125" style="1084" customWidth="1"/>
    <col min="10502" max="10503" width="21.109375" style="1084" customWidth="1"/>
    <col min="10504" max="10506" width="0" style="1084" hidden="1" customWidth="1"/>
    <col min="10507" max="10507" width="18.6640625" style="1084" customWidth="1"/>
    <col min="10508" max="10508" width="9.33203125" style="1084" customWidth="1"/>
    <col min="10509" max="10752" width="9.109375" style="1084"/>
    <col min="10753" max="10753" width="23.109375" style="1084" customWidth="1"/>
    <col min="10754" max="10754" width="17.6640625" style="1084" customWidth="1"/>
    <col min="10755" max="10755" width="4.44140625" style="1084" customWidth="1"/>
    <col min="10756" max="10756" width="44" style="1084" customWidth="1"/>
    <col min="10757" max="10757" width="6.33203125" style="1084" customWidth="1"/>
    <col min="10758" max="10759" width="21.109375" style="1084" customWidth="1"/>
    <col min="10760" max="10762" width="0" style="1084" hidden="1" customWidth="1"/>
    <col min="10763" max="10763" width="18.6640625" style="1084" customWidth="1"/>
    <col min="10764" max="10764" width="9.33203125" style="1084" customWidth="1"/>
    <col min="10765" max="11008" width="9.109375" style="1084"/>
    <col min="11009" max="11009" width="23.109375" style="1084" customWidth="1"/>
    <col min="11010" max="11010" width="17.6640625" style="1084" customWidth="1"/>
    <col min="11011" max="11011" width="4.44140625" style="1084" customWidth="1"/>
    <col min="11012" max="11012" width="44" style="1084" customWidth="1"/>
    <col min="11013" max="11013" width="6.33203125" style="1084" customWidth="1"/>
    <col min="11014" max="11015" width="21.109375" style="1084" customWidth="1"/>
    <col min="11016" max="11018" width="0" style="1084" hidden="1" customWidth="1"/>
    <col min="11019" max="11019" width="18.6640625" style="1084" customWidth="1"/>
    <col min="11020" max="11020" width="9.33203125" style="1084" customWidth="1"/>
    <col min="11021" max="11264" width="9.109375" style="1084"/>
    <col min="11265" max="11265" width="23.109375" style="1084" customWidth="1"/>
    <col min="11266" max="11266" width="17.6640625" style="1084" customWidth="1"/>
    <col min="11267" max="11267" width="4.44140625" style="1084" customWidth="1"/>
    <col min="11268" max="11268" width="44" style="1084" customWidth="1"/>
    <col min="11269" max="11269" width="6.33203125" style="1084" customWidth="1"/>
    <col min="11270" max="11271" width="21.109375" style="1084" customWidth="1"/>
    <col min="11272" max="11274" width="0" style="1084" hidden="1" customWidth="1"/>
    <col min="11275" max="11275" width="18.6640625" style="1084" customWidth="1"/>
    <col min="11276" max="11276" width="9.33203125" style="1084" customWidth="1"/>
    <col min="11277" max="11520" width="9.109375" style="1084"/>
    <col min="11521" max="11521" width="23.109375" style="1084" customWidth="1"/>
    <col min="11522" max="11522" width="17.6640625" style="1084" customWidth="1"/>
    <col min="11523" max="11523" width="4.44140625" style="1084" customWidth="1"/>
    <col min="11524" max="11524" width="44" style="1084" customWidth="1"/>
    <col min="11525" max="11525" width="6.33203125" style="1084" customWidth="1"/>
    <col min="11526" max="11527" width="21.109375" style="1084" customWidth="1"/>
    <col min="11528" max="11530" width="0" style="1084" hidden="1" customWidth="1"/>
    <col min="11531" max="11531" width="18.6640625" style="1084" customWidth="1"/>
    <col min="11532" max="11532" width="9.33203125" style="1084" customWidth="1"/>
    <col min="11533" max="11776" width="9.109375" style="1084"/>
    <col min="11777" max="11777" width="23.109375" style="1084" customWidth="1"/>
    <col min="11778" max="11778" width="17.6640625" style="1084" customWidth="1"/>
    <col min="11779" max="11779" width="4.44140625" style="1084" customWidth="1"/>
    <col min="11780" max="11780" width="44" style="1084" customWidth="1"/>
    <col min="11781" max="11781" width="6.33203125" style="1084" customWidth="1"/>
    <col min="11782" max="11783" width="21.109375" style="1084" customWidth="1"/>
    <col min="11784" max="11786" width="0" style="1084" hidden="1" customWidth="1"/>
    <col min="11787" max="11787" width="18.6640625" style="1084" customWidth="1"/>
    <col min="11788" max="11788" width="9.33203125" style="1084" customWidth="1"/>
    <col min="11789" max="12032" width="9.109375" style="1084"/>
    <col min="12033" max="12033" width="23.109375" style="1084" customWidth="1"/>
    <col min="12034" max="12034" width="17.6640625" style="1084" customWidth="1"/>
    <col min="12035" max="12035" width="4.44140625" style="1084" customWidth="1"/>
    <col min="12036" max="12036" width="44" style="1084" customWidth="1"/>
    <col min="12037" max="12037" width="6.33203125" style="1084" customWidth="1"/>
    <col min="12038" max="12039" width="21.109375" style="1084" customWidth="1"/>
    <col min="12040" max="12042" width="0" style="1084" hidden="1" customWidth="1"/>
    <col min="12043" max="12043" width="18.6640625" style="1084" customWidth="1"/>
    <col min="12044" max="12044" width="9.33203125" style="1084" customWidth="1"/>
    <col min="12045" max="12288" width="9.109375" style="1084"/>
    <col min="12289" max="12289" width="23.109375" style="1084" customWidth="1"/>
    <col min="12290" max="12290" width="17.6640625" style="1084" customWidth="1"/>
    <col min="12291" max="12291" width="4.44140625" style="1084" customWidth="1"/>
    <col min="12292" max="12292" width="44" style="1084" customWidth="1"/>
    <col min="12293" max="12293" width="6.33203125" style="1084" customWidth="1"/>
    <col min="12294" max="12295" width="21.109375" style="1084" customWidth="1"/>
    <col min="12296" max="12298" width="0" style="1084" hidden="1" customWidth="1"/>
    <col min="12299" max="12299" width="18.6640625" style="1084" customWidth="1"/>
    <col min="12300" max="12300" width="9.33203125" style="1084" customWidth="1"/>
    <col min="12301" max="12544" width="9.109375" style="1084"/>
    <col min="12545" max="12545" width="23.109375" style="1084" customWidth="1"/>
    <col min="12546" max="12546" width="17.6640625" style="1084" customWidth="1"/>
    <col min="12547" max="12547" width="4.44140625" style="1084" customWidth="1"/>
    <col min="12548" max="12548" width="44" style="1084" customWidth="1"/>
    <col min="12549" max="12549" width="6.33203125" style="1084" customWidth="1"/>
    <col min="12550" max="12551" width="21.109375" style="1084" customWidth="1"/>
    <col min="12552" max="12554" width="0" style="1084" hidden="1" customWidth="1"/>
    <col min="12555" max="12555" width="18.6640625" style="1084" customWidth="1"/>
    <col min="12556" max="12556" width="9.33203125" style="1084" customWidth="1"/>
    <col min="12557" max="12800" width="9.109375" style="1084"/>
    <col min="12801" max="12801" width="23.109375" style="1084" customWidth="1"/>
    <col min="12802" max="12802" width="17.6640625" style="1084" customWidth="1"/>
    <col min="12803" max="12803" width="4.44140625" style="1084" customWidth="1"/>
    <col min="12804" max="12804" width="44" style="1084" customWidth="1"/>
    <col min="12805" max="12805" width="6.33203125" style="1084" customWidth="1"/>
    <col min="12806" max="12807" width="21.109375" style="1084" customWidth="1"/>
    <col min="12808" max="12810" width="0" style="1084" hidden="1" customWidth="1"/>
    <col min="12811" max="12811" width="18.6640625" style="1084" customWidth="1"/>
    <col min="12812" max="12812" width="9.33203125" style="1084" customWidth="1"/>
    <col min="12813" max="13056" width="9.109375" style="1084"/>
    <col min="13057" max="13057" width="23.109375" style="1084" customWidth="1"/>
    <col min="13058" max="13058" width="17.6640625" style="1084" customWidth="1"/>
    <col min="13059" max="13059" width="4.44140625" style="1084" customWidth="1"/>
    <col min="13060" max="13060" width="44" style="1084" customWidth="1"/>
    <col min="13061" max="13061" width="6.33203125" style="1084" customWidth="1"/>
    <col min="13062" max="13063" width="21.109375" style="1084" customWidth="1"/>
    <col min="13064" max="13066" width="0" style="1084" hidden="1" customWidth="1"/>
    <col min="13067" max="13067" width="18.6640625" style="1084" customWidth="1"/>
    <col min="13068" max="13068" width="9.33203125" style="1084" customWidth="1"/>
    <col min="13069" max="13312" width="9.109375" style="1084"/>
    <col min="13313" max="13313" width="23.109375" style="1084" customWidth="1"/>
    <col min="13314" max="13314" width="17.6640625" style="1084" customWidth="1"/>
    <col min="13315" max="13315" width="4.44140625" style="1084" customWidth="1"/>
    <col min="13316" max="13316" width="44" style="1084" customWidth="1"/>
    <col min="13317" max="13317" width="6.33203125" style="1084" customWidth="1"/>
    <col min="13318" max="13319" width="21.109375" style="1084" customWidth="1"/>
    <col min="13320" max="13322" width="0" style="1084" hidden="1" customWidth="1"/>
    <col min="13323" max="13323" width="18.6640625" style="1084" customWidth="1"/>
    <col min="13324" max="13324" width="9.33203125" style="1084" customWidth="1"/>
    <col min="13325" max="13568" width="9.109375" style="1084"/>
    <col min="13569" max="13569" width="23.109375" style="1084" customWidth="1"/>
    <col min="13570" max="13570" width="17.6640625" style="1084" customWidth="1"/>
    <col min="13571" max="13571" width="4.44140625" style="1084" customWidth="1"/>
    <col min="13572" max="13572" width="44" style="1084" customWidth="1"/>
    <col min="13573" max="13573" width="6.33203125" style="1084" customWidth="1"/>
    <col min="13574" max="13575" width="21.109375" style="1084" customWidth="1"/>
    <col min="13576" max="13578" width="0" style="1084" hidden="1" customWidth="1"/>
    <col min="13579" max="13579" width="18.6640625" style="1084" customWidth="1"/>
    <col min="13580" max="13580" width="9.33203125" style="1084" customWidth="1"/>
    <col min="13581" max="13824" width="9.109375" style="1084"/>
    <col min="13825" max="13825" width="23.109375" style="1084" customWidth="1"/>
    <col min="13826" max="13826" width="17.6640625" style="1084" customWidth="1"/>
    <col min="13827" max="13827" width="4.44140625" style="1084" customWidth="1"/>
    <col min="13828" max="13828" width="44" style="1084" customWidth="1"/>
    <col min="13829" max="13829" width="6.33203125" style="1084" customWidth="1"/>
    <col min="13830" max="13831" width="21.109375" style="1084" customWidth="1"/>
    <col min="13832" max="13834" width="0" style="1084" hidden="1" customWidth="1"/>
    <col min="13835" max="13835" width="18.6640625" style="1084" customWidth="1"/>
    <col min="13836" max="13836" width="9.33203125" style="1084" customWidth="1"/>
    <col min="13837" max="14080" width="9.109375" style="1084"/>
    <col min="14081" max="14081" width="23.109375" style="1084" customWidth="1"/>
    <col min="14082" max="14082" width="17.6640625" style="1084" customWidth="1"/>
    <col min="14083" max="14083" width="4.44140625" style="1084" customWidth="1"/>
    <col min="14084" max="14084" width="44" style="1084" customWidth="1"/>
    <col min="14085" max="14085" width="6.33203125" style="1084" customWidth="1"/>
    <col min="14086" max="14087" width="21.109375" style="1084" customWidth="1"/>
    <col min="14088" max="14090" width="0" style="1084" hidden="1" customWidth="1"/>
    <col min="14091" max="14091" width="18.6640625" style="1084" customWidth="1"/>
    <col min="14092" max="14092" width="9.33203125" style="1084" customWidth="1"/>
    <col min="14093" max="14336" width="9.109375" style="1084"/>
    <col min="14337" max="14337" width="23.109375" style="1084" customWidth="1"/>
    <col min="14338" max="14338" width="17.6640625" style="1084" customWidth="1"/>
    <col min="14339" max="14339" width="4.44140625" style="1084" customWidth="1"/>
    <col min="14340" max="14340" width="44" style="1084" customWidth="1"/>
    <col min="14341" max="14341" width="6.33203125" style="1084" customWidth="1"/>
    <col min="14342" max="14343" width="21.109375" style="1084" customWidth="1"/>
    <col min="14344" max="14346" width="0" style="1084" hidden="1" customWidth="1"/>
    <col min="14347" max="14347" width="18.6640625" style="1084" customWidth="1"/>
    <col min="14348" max="14348" width="9.33203125" style="1084" customWidth="1"/>
    <col min="14349" max="14592" width="9.109375" style="1084"/>
    <col min="14593" max="14593" width="23.109375" style="1084" customWidth="1"/>
    <col min="14594" max="14594" width="17.6640625" style="1084" customWidth="1"/>
    <col min="14595" max="14595" width="4.44140625" style="1084" customWidth="1"/>
    <col min="14596" max="14596" width="44" style="1084" customWidth="1"/>
    <col min="14597" max="14597" width="6.33203125" style="1084" customWidth="1"/>
    <col min="14598" max="14599" width="21.109375" style="1084" customWidth="1"/>
    <col min="14600" max="14602" width="0" style="1084" hidden="1" customWidth="1"/>
    <col min="14603" max="14603" width="18.6640625" style="1084" customWidth="1"/>
    <col min="14604" max="14604" width="9.33203125" style="1084" customWidth="1"/>
    <col min="14605" max="14848" width="9.109375" style="1084"/>
    <col min="14849" max="14849" width="23.109375" style="1084" customWidth="1"/>
    <col min="14850" max="14850" width="17.6640625" style="1084" customWidth="1"/>
    <col min="14851" max="14851" width="4.44140625" style="1084" customWidth="1"/>
    <col min="14852" max="14852" width="44" style="1084" customWidth="1"/>
    <col min="14853" max="14853" width="6.33203125" style="1084" customWidth="1"/>
    <col min="14854" max="14855" width="21.109375" style="1084" customWidth="1"/>
    <col min="14856" max="14858" width="0" style="1084" hidden="1" customWidth="1"/>
    <col min="14859" max="14859" width="18.6640625" style="1084" customWidth="1"/>
    <col min="14860" max="14860" width="9.33203125" style="1084" customWidth="1"/>
    <col min="14861" max="15104" width="9.109375" style="1084"/>
    <col min="15105" max="15105" width="23.109375" style="1084" customWidth="1"/>
    <col min="15106" max="15106" width="17.6640625" style="1084" customWidth="1"/>
    <col min="15107" max="15107" width="4.44140625" style="1084" customWidth="1"/>
    <col min="15108" max="15108" width="44" style="1084" customWidth="1"/>
    <col min="15109" max="15109" width="6.33203125" style="1084" customWidth="1"/>
    <col min="15110" max="15111" width="21.109375" style="1084" customWidth="1"/>
    <col min="15112" max="15114" width="0" style="1084" hidden="1" customWidth="1"/>
    <col min="15115" max="15115" width="18.6640625" style="1084" customWidth="1"/>
    <col min="15116" max="15116" width="9.33203125" style="1084" customWidth="1"/>
    <col min="15117" max="15360" width="9.109375" style="1084"/>
    <col min="15361" max="15361" width="23.109375" style="1084" customWidth="1"/>
    <col min="15362" max="15362" width="17.6640625" style="1084" customWidth="1"/>
    <col min="15363" max="15363" width="4.44140625" style="1084" customWidth="1"/>
    <col min="15364" max="15364" width="44" style="1084" customWidth="1"/>
    <col min="15365" max="15365" width="6.33203125" style="1084" customWidth="1"/>
    <col min="15366" max="15367" width="21.109375" style="1084" customWidth="1"/>
    <col min="15368" max="15370" width="0" style="1084" hidden="1" customWidth="1"/>
    <col min="15371" max="15371" width="18.6640625" style="1084" customWidth="1"/>
    <col min="15372" max="15372" width="9.33203125" style="1084" customWidth="1"/>
    <col min="15373" max="15616" width="9.109375" style="1084"/>
    <col min="15617" max="15617" width="23.109375" style="1084" customWidth="1"/>
    <col min="15618" max="15618" width="17.6640625" style="1084" customWidth="1"/>
    <col min="15619" max="15619" width="4.44140625" style="1084" customWidth="1"/>
    <col min="15620" max="15620" width="44" style="1084" customWidth="1"/>
    <col min="15621" max="15621" width="6.33203125" style="1084" customWidth="1"/>
    <col min="15622" max="15623" width="21.109375" style="1084" customWidth="1"/>
    <col min="15624" max="15626" width="0" style="1084" hidden="1" customWidth="1"/>
    <col min="15627" max="15627" width="18.6640625" style="1084" customWidth="1"/>
    <col min="15628" max="15628" width="9.33203125" style="1084" customWidth="1"/>
    <col min="15629" max="15872" width="9.109375" style="1084"/>
    <col min="15873" max="15873" width="23.109375" style="1084" customWidth="1"/>
    <col min="15874" max="15874" width="17.6640625" style="1084" customWidth="1"/>
    <col min="15875" max="15875" width="4.44140625" style="1084" customWidth="1"/>
    <col min="15876" max="15876" width="44" style="1084" customWidth="1"/>
    <col min="15877" max="15877" width="6.33203125" style="1084" customWidth="1"/>
    <col min="15878" max="15879" width="21.109375" style="1084" customWidth="1"/>
    <col min="15880" max="15882" width="0" style="1084" hidden="1" customWidth="1"/>
    <col min="15883" max="15883" width="18.6640625" style="1084" customWidth="1"/>
    <col min="15884" max="15884" width="9.33203125" style="1084" customWidth="1"/>
    <col min="15885" max="16128" width="9.109375" style="1084"/>
    <col min="16129" max="16129" width="23.109375" style="1084" customWidth="1"/>
    <col min="16130" max="16130" width="17.6640625" style="1084" customWidth="1"/>
    <col min="16131" max="16131" width="4.44140625" style="1084" customWidth="1"/>
    <col min="16132" max="16132" width="44" style="1084" customWidth="1"/>
    <col min="16133" max="16133" width="6.33203125" style="1084" customWidth="1"/>
    <col min="16134" max="16135" width="21.109375" style="1084" customWidth="1"/>
    <col min="16136" max="16138" width="0" style="1084" hidden="1" customWidth="1"/>
    <col min="16139" max="16139" width="18.6640625" style="1084" customWidth="1"/>
    <col min="16140" max="16140" width="9.33203125" style="1084" customWidth="1"/>
    <col min="16141" max="16384" width="9.109375" style="1084"/>
  </cols>
  <sheetData>
    <row r="1" spans="1:19" s="1016" customFormat="1" ht="22.8">
      <c r="A1" s="1175" t="s">
        <v>1000</v>
      </c>
      <c r="B1" s="1175"/>
      <c r="C1" s="1175"/>
      <c r="D1" s="1175"/>
      <c r="E1" s="1175"/>
      <c r="F1" s="1175"/>
      <c r="G1" s="1175"/>
      <c r="H1" s="1175"/>
      <c r="I1" s="1175"/>
      <c r="J1" s="1175"/>
      <c r="K1" s="1015"/>
    </row>
    <row r="2" spans="1:19" s="1016" customFormat="1" ht="23.4" thickBot="1">
      <c r="A2" s="1176" t="s">
        <v>1001</v>
      </c>
      <c r="B2" s="1176"/>
      <c r="C2" s="1176"/>
      <c r="D2" s="1176"/>
      <c r="E2" s="1176"/>
      <c r="F2" s="1176"/>
      <c r="G2" s="1176"/>
      <c r="H2" s="1176"/>
      <c r="I2" s="1176"/>
      <c r="J2" s="1176"/>
      <c r="K2" s="1015"/>
    </row>
    <row r="3" spans="1:19" s="1019" customFormat="1" ht="17.399999999999999">
      <c r="A3" s="1017"/>
      <c r="B3" s="1017"/>
      <c r="C3" s="1017"/>
      <c r="D3" s="1017"/>
      <c r="E3" s="1017"/>
      <c r="F3" s="1017"/>
      <c r="G3" s="1017"/>
      <c r="H3" s="1017"/>
      <c r="I3" s="1017"/>
      <c r="J3" s="1017"/>
      <c r="K3" s="1018"/>
    </row>
    <row r="4" spans="1:19" s="1019" customFormat="1" ht="17.399999999999999">
      <c r="A4" s="1020" t="s">
        <v>1002</v>
      </c>
      <c r="B4" s="1021"/>
      <c r="C4" s="1022"/>
      <c r="D4" s="1023" t="s">
        <v>1003</v>
      </c>
      <c r="E4" s="1022"/>
      <c r="F4" s="1024" t="s">
        <v>1004</v>
      </c>
      <c r="G4" s="1021"/>
      <c r="H4" s="1022"/>
      <c r="I4" s="1022"/>
      <c r="J4" s="1022"/>
      <c r="K4" s="1018"/>
    </row>
    <row r="5" spans="1:19" s="1019" customFormat="1" ht="17.399999999999999">
      <c r="B5" s="1022"/>
      <c r="C5" s="1022"/>
      <c r="D5" s="1024"/>
      <c r="E5" s="1022"/>
      <c r="F5" s="1024" t="s">
        <v>1005</v>
      </c>
      <c r="G5" s="1025"/>
      <c r="H5" s="1022"/>
      <c r="I5" s="1022"/>
      <c r="J5" s="1022"/>
      <c r="K5" s="1018"/>
    </row>
    <row r="6" spans="1:19" s="1019" customFormat="1" ht="18" thickBot="1">
      <c r="A6" s="1020"/>
      <c r="B6" s="1026"/>
      <c r="C6" s="1027"/>
      <c r="E6" s="1028"/>
      <c r="G6" s="1028"/>
      <c r="H6" s="1022"/>
      <c r="I6" s="1029"/>
      <c r="J6" s="1030"/>
      <c r="K6" s="1018"/>
    </row>
    <row r="7" spans="1:19" s="1019" customFormat="1" ht="18" thickBot="1">
      <c r="A7" s="1031"/>
      <c r="B7" s="1028" t="s">
        <v>1006</v>
      </c>
      <c r="C7" s="1032" t="s">
        <v>1007</v>
      </c>
      <c r="D7" s="1033"/>
      <c r="E7" s="1033"/>
      <c r="F7" s="1177"/>
      <c r="G7" s="1177"/>
      <c r="H7" s="1028"/>
      <c r="I7" s="1028"/>
      <c r="J7" s="1028"/>
      <c r="K7" s="1018"/>
    </row>
    <row r="8" spans="1:19" s="1019" customFormat="1" ht="17.399999999999999">
      <c r="A8" s="1031"/>
      <c r="B8" s="1028"/>
      <c r="C8" s="1022"/>
      <c r="D8" s="1019" t="s">
        <v>1008</v>
      </c>
      <c r="F8" s="1034"/>
      <c r="G8" s="1034" t="s">
        <v>1009</v>
      </c>
      <c r="H8" s="1028"/>
      <c r="I8" s="1028"/>
      <c r="J8" s="1028"/>
      <c r="K8" s="1018"/>
    </row>
    <row r="9" spans="1:19" s="1019" customFormat="1" ht="18" thickBot="1">
      <c r="A9" s="1028" t="s">
        <v>1010</v>
      </c>
      <c r="B9" s="1178">
        <v>43100</v>
      </c>
      <c r="C9" s="1179"/>
      <c r="D9" s="1035"/>
      <c r="E9" s="1022"/>
      <c r="F9" s="1028" t="s">
        <v>1011</v>
      </c>
      <c r="G9" s="1036">
        <v>1462190</v>
      </c>
      <c r="H9" s="1022"/>
      <c r="I9" s="1022"/>
      <c r="J9" s="1022"/>
      <c r="K9" s="1018"/>
    </row>
    <row r="10" spans="1:19" s="1019" customFormat="1" ht="18" thickBot="1">
      <c r="A10" s="1028"/>
      <c r="B10" s="1037"/>
      <c r="C10" s="1022"/>
      <c r="D10" s="1035"/>
      <c r="E10" s="1022"/>
      <c r="F10" s="1028" t="s">
        <v>1012</v>
      </c>
      <c r="G10" s="1038"/>
      <c r="H10" s="1022"/>
      <c r="I10" s="1022"/>
      <c r="J10" s="1022"/>
      <c r="K10" s="1018"/>
    </row>
    <row r="11" spans="1:19" s="1040" customFormat="1" ht="13.2">
      <c r="A11" s="1039"/>
      <c r="E11" s="1041"/>
      <c r="F11" s="1042"/>
      <c r="G11" s="1042"/>
      <c r="H11" s="1043"/>
      <c r="I11" s="1043"/>
      <c r="J11" s="1043"/>
      <c r="K11" s="1044"/>
    </row>
    <row r="12" spans="1:19" s="1049" customFormat="1" ht="15.6">
      <c r="A12" s="1045" t="s">
        <v>1013</v>
      </c>
      <c r="B12" s="1046" t="s">
        <v>1014</v>
      </c>
      <c r="C12" s="1046" t="s">
        <v>1015</v>
      </c>
      <c r="D12" s="1046" t="s">
        <v>1016</v>
      </c>
      <c r="E12" s="1046" t="s">
        <v>747</v>
      </c>
      <c r="F12" s="1046" t="s">
        <v>1017</v>
      </c>
      <c r="G12" s="1046" t="s">
        <v>1018</v>
      </c>
      <c r="H12" s="1047"/>
      <c r="I12" s="1047"/>
      <c r="J12" s="1047"/>
      <c r="K12" s="1048"/>
      <c r="L12" s="1159">
        <f>SUM(L13:L18)</f>
        <v>-204416.75</v>
      </c>
    </row>
    <row r="13" spans="1:19" s="1049" customFormat="1" ht="28.5" customHeight="1">
      <c r="A13" s="1050" t="s">
        <v>1019</v>
      </c>
      <c r="B13" s="1051"/>
      <c r="C13" s="1052"/>
      <c r="D13" s="1053" t="s">
        <v>1020</v>
      </c>
      <c r="E13" s="1054"/>
      <c r="F13" s="1055">
        <v>123300.68</v>
      </c>
      <c r="G13" s="1055"/>
      <c r="H13" s="1056"/>
      <c r="I13" s="1056"/>
      <c r="J13" s="1056"/>
      <c r="K13" s="1048"/>
      <c r="L13" s="1159">
        <f>ROUND('JE Summary'!$C$122,2)</f>
        <v>230942.83</v>
      </c>
      <c r="M13" s="1086"/>
      <c r="N13" s="1087"/>
      <c r="O13" s="1088"/>
      <c r="P13" s="1061"/>
      <c r="Q13" s="1088"/>
      <c r="R13" s="1062"/>
      <c r="S13" s="1062"/>
    </row>
    <row r="14" spans="1:19" s="1049" customFormat="1" ht="28.5" customHeight="1">
      <c r="A14" s="1050" t="s">
        <v>1021</v>
      </c>
      <c r="B14" s="1051"/>
      <c r="C14" s="1052"/>
      <c r="D14" s="1053" t="s">
        <v>1022</v>
      </c>
      <c r="E14" s="1054"/>
      <c r="F14" s="1055">
        <v>116059.03</v>
      </c>
      <c r="G14" s="1055"/>
      <c r="H14" s="1056"/>
      <c r="I14" s="1056"/>
      <c r="J14" s="1056"/>
      <c r="K14" s="1048"/>
      <c r="L14" s="1159">
        <f>ROUND('JE Summary'!$D$122,2)</f>
        <v>-286253.24</v>
      </c>
      <c r="M14" s="1086"/>
      <c r="N14" s="1087"/>
      <c r="O14" s="1088"/>
      <c r="P14" s="1061"/>
      <c r="Q14" s="1088"/>
      <c r="R14" s="1062"/>
      <c r="S14" s="1062"/>
    </row>
    <row r="15" spans="1:19" s="1049" customFormat="1" ht="28.5" customHeight="1">
      <c r="A15" s="1057" t="s">
        <v>1023</v>
      </c>
      <c r="B15" s="1051"/>
      <c r="C15" s="1052"/>
      <c r="D15" s="1053" t="s">
        <v>1024</v>
      </c>
      <c r="E15" s="1054"/>
      <c r="F15" s="1055">
        <v>160420.25</v>
      </c>
      <c r="G15" s="1055"/>
      <c r="H15" s="1056"/>
      <c r="I15" s="1056"/>
      <c r="J15" s="1056"/>
      <c r="K15" s="1048"/>
      <c r="L15" s="1159">
        <f>ROUND('JE Summary'!$E$122,2)</f>
        <v>-127538.41</v>
      </c>
      <c r="M15" s="1086"/>
      <c r="N15" s="1087"/>
      <c r="O15" s="1088"/>
      <c r="P15" s="1061"/>
      <c r="Q15" s="1088"/>
      <c r="R15" s="1062"/>
      <c r="S15" s="1062"/>
    </row>
    <row r="16" spans="1:19" s="1049" customFormat="1" ht="28.5" customHeight="1">
      <c r="A16" s="1058" t="s">
        <v>1027</v>
      </c>
      <c r="B16" s="1051"/>
      <c r="C16" s="1052"/>
      <c r="D16" s="1053" t="s">
        <v>1028</v>
      </c>
      <c r="E16" s="1054"/>
      <c r="F16" s="1055">
        <v>11.94</v>
      </c>
      <c r="G16" s="1055"/>
      <c r="H16" s="1056"/>
      <c r="I16" s="1056"/>
      <c r="J16" s="1056"/>
      <c r="K16" s="1048"/>
      <c r="L16" s="1159">
        <f>ROUND('JE Summary'!$F$122,2)</f>
        <v>5216.05</v>
      </c>
      <c r="M16" s="1089"/>
      <c r="N16" s="1087"/>
      <c r="O16" s="1088"/>
      <c r="P16" s="1061"/>
      <c r="Q16" s="1088"/>
      <c r="R16" s="1062"/>
      <c r="S16" s="1062"/>
    </row>
    <row r="17" spans="1:19" s="1049" customFormat="1" ht="28.5" customHeight="1">
      <c r="A17" s="1058" t="s">
        <v>1029</v>
      </c>
      <c r="B17" s="1051"/>
      <c r="C17" s="1052"/>
      <c r="D17" s="1053" t="s">
        <v>1030</v>
      </c>
      <c r="E17" s="1054"/>
      <c r="F17" s="1055">
        <v>0.37</v>
      </c>
      <c r="G17" s="1055"/>
      <c r="H17" s="1056"/>
      <c r="I17" s="1056"/>
      <c r="J17" s="1056"/>
      <c r="K17" s="1048"/>
      <c r="L17" s="1159">
        <f>ROUND('JE Summary'!$H$122,2)</f>
        <v>158.97999999999999</v>
      </c>
      <c r="M17" s="1089"/>
      <c r="N17" s="1087"/>
      <c r="O17" s="1088"/>
      <c r="P17" s="1061"/>
      <c r="Q17" s="1088"/>
      <c r="R17" s="1062"/>
      <c r="S17" s="1062"/>
    </row>
    <row r="18" spans="1:19" s="1049" customFormat="1" ht="28.5" customHeight="1">
      <c r="A18" s="1050" t="s">
        <v>1025</v>
      </c>
      <c r="B18" s="1051"/>
      <c r="C18" s="1052"/>
      <c r="D18" s="1053" t="s">
        <v>1026</v>
      </c>
      <c r="E18" s="1054"/>
      <c r="F18" s="1055"/>
      <c r="G18" s="1055">
        <v>10981.55</v>
      </c>
      <c r="H18" s="1056"/>
      <c r="I18" s="1056"/>
      <c r="J18" s="1056"/>
      <c r="K18" s="1048"/>
      <c r="L18" s="1159">
        <f>ROUND('JE Summary'!$I$122,2)</f>
        <v>-26942.959999999999</v>
      </c>
      <c r="M18" s="1089"/>
      <c r="N18" s="1087"/>
      <c r="O18" s="1088"/>
      <c r="P18" s="1061"/>
      <c r="Q18" s="1088"/>
      <c r="R18" s="1062"/>
      <c r="S18" s="1062"/>
    </row>
    <row r="19" spans="1:19" s="1049" customFormat="1" ht="28.5" customHeight="1">
      <c r="A19" s="1050" t="s">
        <v>1031</v>
      </c>
      <c r="B19" s="1051"/>
      <c r="C19" s="1052"/>
      <c r="D19" s="1053" t="s">
        <v>1032</v>
      </c>
      <c r="E19" s="1054"/>
      <c r="F19" s="1055"/>
      <c r="G19" s="1055">
        <f>F13</f>
        <v>123300.68</v>
      </c>
      <c r="H19" s="1056"/>
      <c r="I19" s="1056"/>
      <c r="J19" s="1056"/>
      <c r="K19" s="1048"/>
      <c r="M19" s="1086"/>
      <c r="N19" s="1087"/>
      <c r="O19" s="1088"/>
      <c r="P19" s="1061"/>
      <c r="Q19" s="1088"/>
      <c r="R19" s="1062"/>
      <c r="S19" s="1062"/>
    </row>
    <row r="20" spans="1:19" s="1049" customFormat="1" ht="28.5" customHeight="1">
      <c r="A20" s="1057" t="s">
        <v>1033</v>
      </c>
      <c r="B20" s="1051"/>
      <c r="C20" s="1052"/>
      <c r="D20" s="1053" t="s">
        <v>1022</v>
      </c>
      <c r="E20" s="1054"/>
      <c r="F20" s="1055"/>
      <c r="G20" s="1055">
        <f>F14</f>
        <v>116059.03</v>
      </c>
      <c r="H20" s="1056"/>
      <c r="I20" s="1056"/>
      <c r="J20" s="1056"/>
      <c r="K20" s="1048"/>
      <c r="L20" s="1090"/>
      <c r="M20" s="1089"/>
      <c r="N20" s="1087"/>
      <c r="O20" s="1088"/>
      <c r="P20" s="1061"/>
      <c r="Q20" s="1088"/>
      <c r="R20" s="1062"/>
      <c r="S20" s="1062"/>
    </row>
    <row r="21" spans="1:19" s="1049" customFormat="1" ht="28.5" customHeight="1">
      <c r="A21" s="1057" t="s">
        <v>1034</v>
      </c>
      <c r="B21" s="1051"/>
      <c r="C21" s="1052"/>
      <c r="D21" s="1053" t="s">
        <v>1024</v>
      </c>
      <c r="E21" s="1054"/>
      <c r="F21" s="1055"/>
      <c r="G21" s="1055">
        <f>F15</f>
        <v>160420.25</v>
      </c>
      <c r="H21" s="1056"/>
      <c r="I21" s="1056"/>
      <c r="J21" s="1056"/>
      <c r="K21" s="1048"/>
      <c r="L21" s="1064"/>
      <c r="M21" s="1089"/>
      <c r="N21" s="1087"/>
      <c r="O21" s="1088"/>
      <c r="P21" s="1061"/>
      <c r="Q21" s="1088"/>
      <c r="R21" s="1062"/>
      <c r="S21" s="1062"/>
    </row>
    <row r="22" spans="1:19" s="1049" customFormat="1" ht="28.5" customHeight="1">
      <c r="A22" s="1057" t="s">
        <v>1036</v>
      </c>
      <c r="B22" s="1051"/>
      <c r="C22" s="1052"/>
      <c r="D22" s="1053" t="s">
        <v>1028</v>
      </c>
      <c r="E22" s="1054"/>
      <c r="F22" s="1055"/>
      <c r="G22" s="1055">
        <f>F16</f>
        <v>11.94</v>
      </c>
      <c r="H22" s="1056"/>
      <c r="I22" s="1056"/>
      <c r="J22" s="1056"/>
      <c r="K22" s="1048"/>
      <c r="L22" s="1064"/>
      <c r="M22" s="1089"/>
      <c r="N22" s="1087"/>
      <c r="O22" s="1088"/>
      <c r="P22" s="1061"/>
      <c r="Q22" s="1088"/>
      <c r="R22" s="1062"/>
      <c r="S22" s="1062"/>
    </row>
    <row r="23" spans="1:19" s="1049" customFormat="1" ht="28.5" customHeight="1">
      <c r="A23" s="1057" t="s">
        <v>1037</v>
      </c>
      <c r="B23" s="1051"/>
      <c r="C23" s="1052"/>
      <c r="D23" s="1053" t="s">
        <v>1030</v>
      </c>
      <c r="E23" s="1054"/>
      <c r="F23" s="1055"/>
      <c r="G23" s="1055">
        <f>F17</f>
        <v>0.37</v>
      </c>
      <c r="H23" s="1056"/>
      <c r="I23" s="1056"/>
      <c r="J23" s="1056"/>
      <c r="K23" s="1048"/>
      <c r="L23" s="1064"/>
      <c r="M23" s="1089"/>
      <c r="N23" s="1087"/>
      <c r="O23" s="1088"/>
      <c r="P23" s="1061"/>
      <c r="Q23" s="1088"/>
      <c r="R23" s="1062"/>
      <c r="S23" s="1062"/>
    </row>
    <row r="24" spans="1:19" s="1049" customFormat="1" ht="28.5" customHeight="1">
      <c r="A24" s="1057" t="s">
        <v>1035</v>
      </c>
      <c r="B24" s="1051"/>
      <c r="C24" s="1052"/>
      <c r="D24" s="1053" t="s">
        <v>1026</v>
      </c>
      <c r="E24" s="1054"/>
      <c r="F24" s="1055">
        <f>G18</f>
        <v>10981.55</v>
      </c>
      <c r="G24" s="1055"/>
      <c r="H24" s="1056"/>
      <c r="I24" s="1056"/>
      <c r="J24" s="1056"/>
      <c r="K24" s="1048"/>
      <c r="L24" s="1064"/>
      <c r="M24" s="1089"/>
      <c r="N24" s="1087"/>
      <c r="O24" s="1088"/>
      <c r="P24" s="1061"/>
      <c r="Q24" s="1088"/>
      <c r="R24" s="1062"/>
      <c r="S24" s="1062"/>
    </row>
    <row r="25" spans="1:19" s="1049" customFormat="1" ht="28.5" customHeight="1">
      <c r="A25" s="1059" t="s">
        <v>1038</v>
      </c>
      <c r="B25" s="1051"/>
      <c r="C25" s="1052"/>
      <c r="D25" s="1053" t="s">
        <v>1039</v>
      </c>
      <c r="E25" s="1054"/>
      <c r="F25" s="1055">
        <v>20627.75</v>
      </c>
      <c r="G25" s="1055"/>
      <c r="H25" s="1056"/>
      <c r="I25" s="1056"/>
      <c r="J25" s="1056"/>
      <c r="K25" s="1048"/>
      <c r="L25" s="1162">
        <f>ROUND(Summary!N38,2)</f>
        <v>-3286.13</v>
      </c>
      <c r="M25" s="1089"/>
      <c r="N25" s="1087"/>
      <c r="O25" s="1088"/>
      <c r="P25" s="1061"/>
      <c r="Q25" s="1088"/>
      <c r="R25" s="1062"/>
      <c r="S25" s="1062"/>
    </row>
    <row r="26" spans="1:19" s="1049" customFormat="1" ht="28.5" customHeight="1">
      <c r="A26" s="1059" t="s">
        <v>1040</v>
      </c>
      <c r="B26" s="1051"/>
      <c r="C26" s="1052"/>
      <c r="D26" s="1053" t="s">
        <v>1041</v>
      </c>
      <c r="E26" s="1054"/>
      <c r="F26" s="1055"/>
      <c r="G26" s="1055">
        <v>20627.75</v>
      </c>
      <c r="H26" s="1056"/>
      <c r="I26" s="1056"/>
      <c r="J26" s="1056"/>
      <c r="K26" s="1048"/>
      <c r="L26" s="1064"/>
      <c r="M26" s="1089"/>
      <c r="N26" s="1087"/>
      <c r="O26" s="1088"/>
      <c r="P26" s="1061"/>
      <c r="Q26" s="1088"/>
      <c r="R26" s="1062"/>
      <c r="S26" s="1062"/>
    </row>
    <row r="27" spans="1:19" s="1049" customFormat="1" ht="28.5" customHeight="1">
      <c r="A27" s="1059"/>
      <c r="B27" s="1051"/>
      <c r="C27" s="1052"/>
      <c r="D27" s="1053"/>
      <c r="E27" s="1054"/>
      <c r="F27" s="1055"/>
      <c r="G27" s="1055"/>
      <c r="H27" s="1056"/>
      <c r="I27" s="1056"/>
      <c r="J27" s="1056"/>
      <c r="K27" s="1048"/>
    </row>
    <row r="28" spans="1:19" s="1049" customFormat="1" ht="28.5" customHeight="1">
      <c r="A28" s="1059"/>
      <c r="B28" s="1051"/>
      <c r="C28" s="1052"/>
      <c r="D28" s="1053"/>
      <c r="E28" s="1054"/>
      <c r="F28" s="1055"/>
      <c r="G28" s="1055"/>
      <c r="H28" s="1056"/>
      <c r="I28" s="1056"/>
      <c r="J28" s="1056"/>
      <c r="K28" s="1048"/>
    </row>
    <row r="29" spans="1:19" s="1049" customFormat="1" ht="28.5" customHeight="1">
      <c r="A29" s="1059"/>
      <c r="B29" s="1051"/>
      <c r="C29" s="1052"/>
      <c r="D29" s="1053"/>
      <c r="E29" s="1054"/>
      <c r="F29" s="1055"/>
      <c r="G29" s="1055"/>
      <c r="H29" s="1056"/>
      <c r="I29" s="1056"/>
      <c r="J29" s="1056"/>
      <c r="K29" s="1048"/>
    </row>
    <row r="30" spans="1:19" s="1049" customFormat="1" ht="28.5" customHeight="1">
      <c r="A30" s="1059"/>
      <c r="B30" s="1051"/>
      <c r="C30" s="1052"/>
      <c r="D30" s="1053"/>
      <c r="E30" s="1054"/>
      <c r="F30" s="1055"/>
      <c r="G30" s="1055"/>
      <c r="H30" s="1056"/>
      <c r="I30" s="1056"/>
      <c r="J30" s="1056"/>
      <c r="K30" s="1048"/>
    </row>
    <row r="31" spans="1:19" s="1049" customFormat="1" ht="28.5" customHeight="1">
      <c r="A31" s="1059"/>
      <c r="B31" s="1051"/>
      <c r="C31" s="1052"/>
      <c r="D31" s="1053"/>
      <c r="E31" s="1054"/>
      <c r="F31" s="1055"/>
      <c r="G31" s="1055"/>
      <c r="H31" s="1056"/>
      <c r="I31" s="1056"/>
      <c r="J31" s="1056"/>
      <c r="K31" s="1048"/>
    </row>
    <row r="32" spans="1:19" s="1049" customFormat="1" ht="28.5" customHeight="1">
      <c r="A32" s="1059"/>
      <c r="B32" s="1051"/>
      <c r="C32" s="1052"/>
      <c r="D32" s="1053"/>
      <c r="E32" s="1054"/>
      <c r="F32" s="1055"/>
      <c r="G32" s="1055"/>
      <c r="H32" s="1056"/>
      <c r="I32" s="1056"/>
      <c r="J32" s="1056"/>
      <c r="K32" s="1048"/>
    </row>
    <row r="33" spans="1:11" s="1049" customFormat="1" ht="28.5" customHeight="1">
      <c r="A33" s="1059"/>
      <c r="B33" s="1051"/>
      <c r="C33" s="1052"/>
      <c r="D33" s="1053"/>
      <c r="E33" s="1054"/>
      <c r="F33" s="1055"/>
      <c r="G33" s="1055"/>
      <c r="H33" s="1056"/>
      <c r="I33" s="1056"/>
      <c r="J33" s="1056"/>
      <c r="K33" s="1048"/>
    </row>
    <row r="34" spans="1:11" s="1049" customFormat="1" ht="28.5" customHeight="1">
      <c r="A34" s="1059"/>
      <c r="B34" s="1051"/>
      <c r="C34" s="1052"/>
      <c r="D34" s="1053"/>
      <c r="E34" s="1054"/>
      <c r="F34" s="1055"/>
      <c r="G34" s="1055"/>
      <c r="H34" s="1056"/>
      <c r="I34" s="1056"/>
      <c r="J34" s="1056"/>
      <c r="K34" s="1048"/>
    </row>
    <row r="35" spans="1:11" s="1049" customFormat="1" ht="28.5" customHeight="1">
      <c r="A35" s="1059"/>
      <c r="B35" s="1051"/>
      <c r="C35" s="1052"/>
      <c r="D35" s="1053"/>
      <c r="E35" s="1054"/>
      <c r="F35" s="1055"/>
      <c r="G35" s="1055"/>
      <c r="H35" s="1056"/>
      <c r="I35" s="1056"/>
      <c r="J35" s="1056"/>
      <c r="K35" s="1048"/>
    </row>
    <row r="36" spans="1:11" s="1064" customFormat="1" ht="15">
      <c r="A36" s="1060"/>
      <c r="B36" s="1060"/>
      <c r="C36" s="1060"/>
      <c r="D36" s="1061"/>
      <c r="E36" s="1060"/>
      <c r="F36" s="1062"/>
      <c r="G36" s="1062"/>
      <c r="H36" s="1060"/>
      <c r="I36" s="1060"/>
      <c r="J36" s="1060"/>
      <c r="K36" s="1063"/>
    </row>
    <row r="37" spans="1:11" s="1064" customFormat="1" ht="15.6">
      <c r="A37" s="1065" t="s">
        <v>1042</v>
      </c>
      <c r="B37" s="1066" t="s">
        <v>1043</v>
      </c>
      <c r="C37" s="1066"/>
      <c r="D37" s="1067"/>
      <c r="E37" s="1066" t="s">
        <v>1043</v>
      </c>
      <c r="F37" s="1068">
        <f>SUM(F13:F35)</f>
        <v>431401.56999999995</v>
      </c>
      <c r="G37" s="1068">
        <f>SUM(G13:G35)</f>
        <v>431401.57</v>
      </c>
      <c r="H37" s="1060" t="s">
        <v>1044</v>
      </c>
      <c r="I37" s="1060"/>
      <c r="J37" s="1060"/>
      <c r="K37" s="1063"/>
    </row>
    <row r="38" spans="1:11" s="1049" customFormat="1" ht="15">
      <c r="A38" s="1060"/>
      <c r="B38" s="1056"/>
      <c r="C38" s="1056"/>
      <c r="D38" s="1060"/>
      <c r="E38" s="1056"/>
      <c r="F38" s="1056"/>
      <c r="G38" s="1056"/>
      <c r="H38" s="1056"/>
      <c r="I38" s="1056"/>
      <c r="J38" s="1056"/>
      <c r="K38" s="1048"/>
    </row>
    <row r="39" spans="1:11" s="1049" customFormat="1" ht="15">
      <c r="A39" s="1060"/>
      <c r="B39" s="1056"/>
      <c r="C39" s="1056"/>
      <c r="D39" s="1069"/>
      <c r="E39" s="1056"/>
      <c r="F39" s="1070">
        <f>F37-G37</f>
        <v>0</v>
      </c>
      <c r="G39" s="1056"/>
      <c r="H39" s="1056"/>
      <c r="I39" s="1056"/>
      <c r="J39" s="1056"/>
      <c r="K39" s="1048"/>
    </row>
    <row r="40" spans="1:11" s="1049" customFormat="1" ht="23.4">
      <c r="A40" s="1071" t="s">
        <v>1045</v>
      </c>
      <c r="B40" s="1072" t="s">
        <v>1046</v>
      </c>
      <c r="C40" s="1073"/>
      <c r="D40" s="1074" t="s">
        <v>1047</v>
      </c>
      <c r="E40" s="1075"/>
      <c r="F40" s="1076" t="s">
        <v>1048</v>
      </c>
      <c r="G40" s="1077">
        <f ca="1">NOW()</f>
        <v>43272.699841550922</v>
      </c>
      <c r="H40" s="1075"/>
      <c r="I40" s="1075"/>
      <c r="J40" s="1075"/>
      <c r="K40" s="1048" t="s">
        <v>1043</v>
      </c>
    </row>
    <row r="41" spans="1:11" s="1049" customFormat="1" ht="15.6">
      <c r="A41" s="1078"/>
      <c r="B41" s="1060"/>
      <c r="C41" s="1060"/>
      <c r="D41" s="1047"/>
      <c r="E41" s="1056"/>
      <c r="F41" s="1079"/>
      <c r="G41" s="1056"/>
      <c r="H41" s="1056"/>
      <c r="I41" s="1056"/>
      <c r="J41" s="1056"/>
      <c r="K41" s="1048"/>
    </row>
    <row r="42" spans="1:11" s="1049" customFormat="1" ht="15.6">
      <c r="A42" s="1071" t="s">
        <v>1049</v>
      </c>
      <c r="B42" s="1180" t="s">
        <v>1050</v>
      </c>
      <c r="C42" s="1180"/>
      <c r="D42" s="1080"/>
      <c r="E42" s="1075"/>
      <c r="F42" s="1076" t="s">
        <v>1048</v>
      </c>
      <c r="G42" s="1077">
        <f ca="1">G40</f>
        <v>43272.699841550922</v>
      </c>
      <c r="H42" s="1075"/>
      <c r="I42" s="1075"/>
      <c r="J42" s="1075"/>
      <c r="K42" s="1048"/>
    </row>
    <row r="43" spans="1:11" s="1049" customFormat="1" ht="15">
      <c r="A43" s="1064"/>
      <c r="F43" s="1081"/>
      <c r="K43" s="1048"/>
    </row>
    <row r="44" spans="1:11" s="1049" customFormat="1" ht="23.4">
      <c r="A44" s="1071" t="s">
        <v>1051</v>
      </c>
      <c r="B44" s="1072" t="s">
        <v>1046</v>
      </c>
      <c r="C44" s="1073"/>
      <c r="D44" s="1082" t="s">
        <v>1047</v>
      </c>
      <c r="E44" s="1083"/>
      <c r="F44" s="1076" t="s">
        <v>1048</v>
      </c>
      <c r="G44" s="1077">
        <f ca="1">G40</f>
        <v>43272.699841550922</v>
      </c>
      <c r="H44" s="1083"/>
      <c r="I44" s="1083"/>
      <c r="J44" s="1083"/>
      <c r="K44" s="1048"/>
    </row>
    <row r="45" spans="1:11" s="1049" customFormat="1" ht="15">
      <c r="A45" s="1064"/>
      <c r="K45" s="1048"/>
    </row>
    <row r="46" spans="1:11" s="1049" customFormat="1" ht="15.6">
      <c r="A46" s="1071" t="s">
        <v>1052</v>
      </c>
      <c r="B46" s="1174"/>
      <c r="C46" s="1174"/>
      <c r="D46" s="1083"/>
      <c r="E46" s="1083"/>
      <c r="F46" s="1076" t="s">
        <v>1048</v>
      </c>
      <c r="G46" s="1083"/>
      <c r="H46" s="1083"/>
      <c r="I46" s="1083"/>
      <c r="J46" s="1083"/>
      <c r="K46" s="1048"/>
    </row>
    <row r="47" spans="1:11" s="1049" customFormat="1" ht="15">
      <c r="A47" s="1064"/>
      <c r="K47" s="1048"/>
    </row>
    <row r="48" spans="1:11" s="1049" customFormat="1" ht="15">
      <c r="A48" s="1064"/>
      <c r="G48" s="1048"/>
      <c r="K48" s="1048"/>
    </row>
    <row r="49" spans="1:11" s="1049" customFormat="1" ht="15">
      <c r="A49" s="1064"/>
      <c r="I49" s="1048"/>
    </row>
    <row r="50" spans="1:11" s="1049" customFormat="1" ht="15">
      <c r="A50" s="1064"/>
      <c r="I50" s="1048"/>
    </row>
    <row r="51" spans="1:11" s="1049" customFormat="1" ht="15">
      <c r="A51" s="1064"/>
      <c r="I51" s="1048"/>
    </row>
    <row r="52" spans="1:11" s="1049" customFormat="1" ht="15">
      <c r="A52" s="1064"/>
      <c r="I52" s="1048"/>
    </row>
    <row r="53" spans="1:11" s="1049" customFormat="1" ht="15">
      <c r="A53" s="1064"/>
      <c r="I53" s="1048"/>
    </row>
    <row r="54" spans="1:11" s="1049" customFormat="1" ht="15">
      <c r="A54" s="1064"/>
      <c r="D54" s="1049" t="s">
        <v>1053</v>
      </c>
      <c r="I54" s="1048"/>
    </row>
    <row r="55" spans="1:11" s="1049" customFormat="1" ht="15">
      <c r="A55" s="1064"/>
      <c r="I55" s="1048"/>
    </row>
    <row r="56" spans="1:11" s="1049" customFormat="1" ht="15">
      <c r="A56" s="1064"/>
      <c r="I56" s="1048"/>
    </row>
    <row r="57" spans="1:11" s="1049" customFormat="1" ht="15">
      <c r="A57" s="1064"/>
      <c r="I57" s="1048"/>
    </row>
    <row r="58" spans="1:11" s="1049" customFormat="1" ht="15">
      <c r="A58" s="1064"/>
      <c r="G58" s="1048"/>
      <c r="K58" s="1048"/>
    </row>
    <row r="59" spans="1:11" s="1049" customFormat="1" ht="15">
      <c r="A59" s="1064"/>
      <c r="G59" s="1048"/>
      <c r="K59" s="1048"/>
    </row>
    <row r="60" spans="1:11" s="1049" customFormat="1" ht="15">
      <c r="A60" s="1064"/>
      <c r="G60" s="1048"/>
      <c r="K60" s="1048"/>
    </row>
    <row r="61" spans="1:11" s="1049" customFormat="1" ht="15">
      <c r="A61" s="1064"/>
      <c r="G61" s="1048"/>
      <c r="K61" s="1048"/>
    </row>
    <row r="62" spans="1:11" s="1049" customFormat="1" ht="15">
      <c r="A62" s="1064"/>
      <c r="G62" s="1048"/>
      <c r="K62" s="1048"/>
    </row>
    <row r="63" spans="1:11" s="1049" customFormat="1" ht="15">
      <c r="A63" s="1064"/>
      <c r="G63" s="1048"/>
      <c r="K63" s="1048"/>
    </row>
    <row r="64" spans="1:11" s="1049" customFormat="1" ht="15">
      <c r="A64" s="1064"/>
      <c r="G64" s="1048"/>
      <c r="K64" s="1048"/>
    </row>
    <row r="65" spans="1:11" s="1049" customFormat="1" ht="15">
      <c r="A65" s="1064"/>
      <c r="G65" s="1048"/>
      <c r="K65" s="1048"/>
    </row>
    <row r="66" spans="1:11" s="1049" customFormat="1" ht="15">
      <c r="A66" s="1064"/>
      <c r="G66" s="1048"/>
      <c r="K66" s="1048"/>
    </row>
    <row r="67" spans="1:11" s="1049" customFormat="1" ht="15">
      <c r="G67" s="1048"/>
      <c r="K67" s="1048"/>
    </row>
    <row r="68" spans="1:11" s="1049" customFormat="1" ht="15">
      <c r="G68" s="1048"/>
      <c r="K68" s="1048"/>
    </row>
    <row r="73" spans="1:11" ht="13.2">
      <c r="K73" s="1084"/>
    </row>
  </sheetData>
  <mergeCells count="6">
    <mergeCell ref="B46:C46"/>
    <mergeCell ref="A1:J1"/>
    <mergeCell ref="A2:J2"/>
    <mergeCell ref="F7:G7"/>
    <mergeCell ref="B9:C9"/>
    <mergeCell ref="B42:C42"/>
  </mergeCells>
  <pageMargins left="0.7" right="0.7" top="0.75" bottom="0.75" header="0.3" footer="0.3"/>
  <pageSetup scale="59" orientation="portrait" r:id="rId1"/>
  <headerFooter>
    <oddFooter>&amp;R&amp;Z&amp;F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topLeftCell="A20" workbookViewId="0">
      <selection activeCell="D28" sqref="D28"/>
    </sheetView>
  </sheetViews>
  <sheetFormatPr defaultRowHeight="14.4"/>
  <cols>
    <col min="1" max="1" width="21.109375" style="1084" customWidth="1"/>
    <col min="2" max="2" width="17.33203125" style="1084" customWidth="1"/>
    <col min="3" max="3" width="4.44140625" style="1084" customWidth="1"/>
    <col min="4" max="4" width="44" style="1084" customWidth="1"/>
    <col min="5" max="5" width="5.109375" style="1084" bestFit="1" customWidth="1"/>
    <col min="6" max="6" width="23.88671875" style="1084" customWidth="1"/>
    <col min="7" max="7" width="18.6640625" style="1084" customWidth="1"/>
    <col min="8" max="9" width="0.109375" style="1084" hidden="1" customWidth="1"/>
    <col min="10" max="10" width="9.109375" style="1084" hidden="1" customWidth="1"/>
    <col min="11" max="11" width="18.6640625" style="1085" customWidth="1"/>
    <col min="12" max="12" width="18.5546875" style="1084" customWidth="1"/>
    <col min="13" max="14" width="12.109375" style="1084" bestFit="1" customWidth="1"/>
    <col min="15" max="15" width="9.109375" style="1084"/>
    <col min="16" max="16" width="18.109375" style="1084" customWidth="1"/>
    <col min="17" max="256" width="9.109375" style="1084"/>
    <col min="257" max="257" width="23.109375" style="1084" customWidth="1"/>
    <col min="258" max="258" width="17.6640625" style="1084" customWidth="1"/>
    <col min="259" max="259" width="4.44140625" style="1084" customWidth="1"/>
    <col min="260" max="260" width="44" style="1084" customWidth="1"/>
    <col min="261" max="261" width="6.33203125" style="1084" customWidth="1"/>
    <col min="262" max="263" width="21.109375" style="1084" customWidth="1"/>
    <col min="264" max="266" width="0" style="1084" hidden="1" customWidth="1"/>
    <col min="267" max="267" width="18.6640625" style="1084" customWidth="1"/>
    <col min="268" max="268" width="9.33203125" style="1084" customWidth="1"/>
    <col min="269" max="512" width="9.109375" style="1084"/>
    <col min="513" max="513" width="23.109375" style="1084" customWidth="1"/>
    <col min="514" max="514" width="17.6640625" style="1084" customWidth="1"/>
    <col min="515" max="515" width="4.44140625" style="1084" customWidth="1"/>
    <col min="516" max="516" width="44" style="1084" customWidth="1"/>
    <col min="517" max="517" width="6.33203125" style="1084" customWidth="1"/>
    <col min="518" max="519" width="21.109375" style="1084" customWidth="1"/>
    <col min="520" max="522" width="0" style="1084" hidden="1" customWidth="1"/>
    <col min="523" max="523" width="18.6640625" style="1084" customWidth="1"/>
    <col min="524" max="524" width="9.33203125" style="1084" customWidth="1"/>
    <col min="525" max="768" width="9.109375" style="1084"/>
    <col min="769" max="769" width="23.109375" style="1084" customWidth="1"/>
    <col min="770" max="770" width="17.6640625" style="1084" customWidth="1"/>
    <col min="771" max="771" width="4.44140625" style="1084" customWidth="1"/>
    <col min="772" max="772" width="44" style="1084" customWidth="1"/>
    <col min="773" max="773" width="6.33203125" style="1084" customWidth="1"/>
    <col min="774" max="775" width="21.109375" style="1084" customWidth="1"/>
    <col min="776" max="778" width="0" style="1084" hidden="1" customWidth="1"/>
    <col min="779" max="779" width="18.6640625" style="1084" customWidth="1"/>
    <col min="780" max="780" width="9.33203125" style="1084" customWidth="1"/>
    <col min="781" max="1024" width="9.109375" style="1084"/>
    <col min="1025" max="1025" width="23.109375" style="1084" customWidth="1"/>
    <col min="1026" max="1026" width="17.6640625" style="1084" customWidth="1"/>
    <col min="1027" max="1027" width="4.44140625" style="1084" customWidth="1"/>
    <col min="1028" max="1028" width="44" style="1084" customWidth="1"/>
    <col min="1029" max="1029" width="6.33203125" style="1084" customWidth="1"/>
    <col min="1030" max="1031" width="21.109375" style="1084" customWidth="1"/>
    <col min="1032" max="1034" width="0" style="1084" hidden="1" customWidth="1"/>
    <col min="1035" max="1035" width="18.6640625" style="1084" customWidth="1"/>
    <col min="1036" max="1036" width="9.33203125" style="1084" customWidth="1"/>
    <col min="1037" max="1280" width="9.109375" style="1084"/>
    <col min="1281" max="1281" width="23.109375" style="1084" customWidth="1"/>
    <col min="1282" max="1282" width="17.6640625" style="1084" customWidth="1"/>
    <col min="1283" max="1283" width="4.44140625" style="1084" customWidth="1"/>
    <col min="1284" max="1284" width="44" style="1084" customWidth="1"/>
    <col min="1285" max="1285" width="6.33203125" style="1084" customWidth="1"/>
    <col min="1286" max="1287" width="21.109375" style="1084" customWidth="1"/>
    <col min="1288" max="1290" width="0" style="1084" hidden="1" customWidth="1"/>
    <col min="1291" max="1291" width="18.6640625" style="1084" customWidth="1"/>
    <col min="1292" max="1292" width="9.33203125" style="1084" customWidth="1"/>
    <col min="1293" max="1536" width="9.109375" style="1084"/>
    <col min="1537" max="1537" width="23.109375" style="1084" customWidth="1"/>
    <col min="1538" max="1538" width="17.6640625" style="1084" customWidth="1"/>
    <col min="1539" max="1539" width="4.44140625" style="1084" customWidth="1"/>
    <col min="1540" max="1540" width="44" style="1084" customWidth="1"/>
    <col min="1541" max="1541" width="6.33203125" style="1084" customWidth="1"/>
    <col min="1542" max="1543" width="21.109375" style="1084" customWidth="1"/>
    <col min="1544" max="1546" width="0" style="1084" hidden="1" customWidth="1"/>
    <col min="1547" max="1547" width="18.6640625" style="1084" customWidth="1"/>
    <col min="1548" max="1548" width="9.33203125" style="1084" customWidth="1"/>
    <col min="1549" max="1792" width="9.109375" style="1084"/>
    <col min="1793" max="1793" width="23.109375" style="1084" customWidth="1"/>
    <col min="1794" max="1794" width="17.6640625" style="1084" customWidth="1"/>
    <col min="1795" max="1795" width="4.44140625" style="1084" customWidth="1"/>
    <col min="1796" max="1796" width="44" style="1084" customWidth="1"/>
    <col min="1797" max="1797" width="6.33203125" style="1084" customWidth="1"/>
    <col min="1798" max="1799" width="21.109375" style="1084" customWidth="1"/>
    <col min="1800" max="1802" width="0" style="1084" hidden="1" customWidth="1"/>
    <col min="1803" max="1803" width="18.6640625" style="1084" customWidth="1"/>
    <col min="1804" max="1804" width="9.33203125" style="1084" customWidth="1"/>
    <col min="1805" max="2048" width="9.109375" style="1084"/>
    <col min="2049" max="2049" width="23.109375" style="1084" customWidth="1"/>
    <col min="2050" max="2050" width="17.6640625" style="1084" customWidth="1"/>
    <col min="2051" max="2051" width="4.44140625" style="1084" customWidth="1"/>
    <col min="2052" max="2052" width="44" style="1084" customWidth="1"/>
    <col min="2053" max="2053" width="6.33203125" style="1084" customWidth="1"/>
    <col min="2054" max="2055" width="21.109375" style="1084" customWidth="1"/>
    <col min="2056" max="2058" width="0" style="1084" hidden="1" customWidth="1"/>
    <col min="2059" max="2059" width="18.6640625" style="1084" customWidth="1"/>
    <col min="2060" max="2060" width="9.33203125" style="1084" customWidth="1"/>
    <col min="2061" max="2304" width="9.109375" style="1084"/>
    <col min="2305" max="2305" width="23.109375" style="1084" customWidth="1"/>
    <col min="2306" max="2306" width="17.6640625" style="1084" customWidth="1"/>
    <col min="2307" max="2307" width="4.44140625" style="1084" customWidth="1"/>
    <col min="2308" max="2308" width="44" style="1084" customWidth="1"/>
    <col min="2309" max="2309" width="6.33203125" style="1084" customWidth="1"/>
    <col min="2310" max="2311" width="21.109375" style="1084" customWidth="1"/>
    <col min="2312" max="2314" width="0" style="1084" hidden="1" customWidth="1"/>
    <col min="2315" max="2315" width="18.6640625" style="1084" customWidth="1"/>
    <col min="2316" max="2316" width="9.33203125" style="1084" customWidth="1"/>
    <col min="2317" max="2560" width="9.109375" style="1084"/>
    <col min="2561" max="2561" width="23.109375" style="1084" customWidth="1"/>
    <col min="2562" max="2562" width="17.6640625" style="1084" customWidth="1"/>
    <col min="2563" max="2563" width="4.44140625" style="1084" customWidth="1"/>
    <col min="2564" max="2564" width="44" style="1084" customWidth="1"/>
    <col min="2565" max="2565" width="6.33203125" style="1084" customWidth="1"/>
    <col min="2566" max="2567" width="21.109375" style="1084" customWidth="1"/>
    <col min="2568" max="2570" width="0" style="1084" hidden="1" customWidth="1"/>
    <col min="2571" max="2571" width="18.6640625" style="1084" customWidth="1"/>
    <col min="2572" max="2572" width="9.33203125" style="1084" customWidth="1"/>
    <col min="2573" max="2816" width="9.109375" style="1084"/>
    <col min="2817" max="2817" width="23.109375" style="1084" customWidth="1"/>
    <col min="2818" max="2818" width="17.6640625" style="1084" customWidth="1"/>
    <col min="2819" max="2819" width="4.44140625" style="1084" customWidth="1"/>
    <col min="2820" max="2820" width="44" style="1084" customWidth="1"/>
    <col min="2821" max="2821" width="6.33203125" style="1084" customWidth="1"/>
    <col min="2822" max="2823" width="21.109375" style="1084" customWidth="1"/>
    <col min="2824" max="2826" width="0" style="1084" hidden="1" customWidth="1"/>
    <col min="2827" max="2827" width="18.6640625" style="1084" customWidth="1"/>
    <col min="2828" max="2828" width="9.33203125" style="1084" customWidth="1"/>
    <col min="2829" max="3072" width="9.109375" style="1084"/>
    <col min="3073" max="3073" width="23.109375" style="1084" customWidth="1"/>
    <col min="3074" max="3074" width="17.6640625" style="1084" customWidth="1"/>
    <col min="3075" max="3075" width="4.44140625" style="1084" customWidth="1"/>
    <col min="3076" max="3076" width="44" style="1084" customWidth="1"/>
    <col min="3077" max="3077" width="6.33203125" style="1084" customWidth="1"/>
    <col min="3078" max="3079" width="21.109375" style="1084" customWidth="1"/>
    <col min="3080" max="3082" width="0" style="1084" hidden="1" customWidth="1"/>
    <col min="3083" max="3083" width="18.6640625" style="1084" customWidth="1"/>
    <col min="3084" max="3084" width="9.33203125" style="1084" customWidth="1"/>
    <col min="3085" max="3328" width="9.109375" style="1084"/>
    <col min="3329" max="3329" width="23.109375" style="1084" customWidth="1"/>
    <col min="3330" max="3330" width="17.6640625" style="1084" customWidth="1"/>
    <col min="3331" max="3331" width="4.44140625" style="1084" customWidth="1"/>
    <col min="3332" max="3332" width="44" style="1084" customWidth="1"/>
    <col min="3333" max="3333" width="6.33203125" style="1084" customWidth="1"/>
    <col min="3334" max="3335" width="21.109375" style="1084" customWidth="1"/>
    <col min="3336" max="3338" width="0" style="1084" hidden="1" customWidth="1"/>
    <col min="3339" max="3339" width="18.6640625" style="1084" customWidth="1"/>
    <col min="3340" max="3340" width="9.33203125" style="1084" customWidth="1"/>
    <col min="3341" max="3584" width="9.109375" style="1084"/>
    <col min="3585" max="3585" width="23.109375" style="1084" customWidth="1"/>
    <col min="3586" max="3586" width="17.6640625" style="1084" customWidth="1"/>
    <col min="3587" max="3587" width="4.44140625" style="1084" customWidth="1"/>
    <col min="3588" max="3588" width="44" style="1084" customWidth="1"/>
    <col min="3589" max="3589" width="6.33203125" style="1084" customWidth="1"/>
    <col min="3590" max="3591" width="21.109375" style="1084" customWidth="1"/>
    <col min="3592" max="3594" width="0" style="1084" hidden="1" customWidth="1"/>
    <col min="3595" max="3595" width="18.6640625" style="1084" customWidth="1"/>
    <col min="3596" max="3596" width="9.33203125" style="1084" customWidth="1"/>
    <col min="3597" max="3840" width="9.109375" style="1084"/>
    <col min="3841" max="3841" width="23.109375" style="1084" customWidth="1"/>
    <col min="3842" max="3842" width="17.6640625" style="1084" customWidth="1"/>
    <col min="3843" max="3843" width="4.44140625" style="1084" customWidth="1"/>
    <col min="3844" max="3844" width="44" style="1084" customWidth="1"/>
    <col min="3845" max="3845" width="6.33203125" style="1084" customWidth="1"/>
    <col min="3846" max="3847" width="21.109375" style="1084" customWidth="1"/>
    <col min="3848" max="3850" width="0" style="1084" hidden="1" customWidth="1"/>
    <col min="3851" max="3851" width="18.6640625" style="1084" customWidth="1"/>
    <col min="3852" max="3852" width="9.33203125" style="1084" customWidth="1"/>
    <col min="3853" max="4096" width="9.109375" style="1084"/>
    <col min="4097" max="4097" width="23.109375" style="1084" customWidth="1"/>
    <col min="4098" max="4098" width="17.6640625" style="1084" customWidth="1"/>
    <col min="4099" max="4099" width="4.44140625" style="1084" customWidth="1"/>
    <col min="4100" max="4100" width="44" style="1084" customWidth="1"/>
    <col min="4101" max="4101" width="6.33203125" style="1084" customWidth="1"/>
    <col min="4102" max="4103" width="21.109375" style="1084" customWidth="1"/>
    <col min="4104" max="4106" width="0" style="1084" hidden="1" customWidth="1"/>
    <col min="4107" max="4107" width="18.6640625" style="1084" customWidth="1"/>
    <col min="4108" max="4108" width="9.33203125" style="1084" customWidth="1"/>
    <col min="4109" max="4352" width="9.109375" style="1084"/>
    <col min="4353" max="4353" width="23.109375" style="1084" customWidth="1"/>
    <col min="4354" max="4354" width="17.6640625" style="1084" customWidth="1"/>
    <col min="4355" max="4355" width="4.44140625" style="1084" customWidth="1"/>
    <col min="4356" max="4356" width="44" style="1084" customWidth="1"/>
    <col min="4357" max="4357" width="6.33203125" style="1084" customWidth="1"/>
    <col min="4358" max="4359" width="21.109375" style="1084" customWidth="1"/>
    <col min="4360" max="4362" width="0" style="1084" hidden="1" customWidth="1"/>
    <col min="4363" max="4363" width="18.6640625" style="1084" customWidth="1"/>
    <col min="4364" max="4364" width="9.33203125" style="1084" customWidth="1"/>
    <col min="4365" max="4608" width="9.109375" style="1084"/>
    <col min="4609" max="4609" width="23.109375" style="1084" customWidth="1"/>
    <col min="4610" max="4610" width="17.6640625" style="1084" customWidth="1"/>
    <col min="4611" max="4611" width="4.44140625" style="1084" customWidth="1"/>
    <col min="4612" max="4612" width="44" style="1084" customWidth="1"/>
    <col min="4613" max="4613" width="6.33203125" style="1084" customWidth="1"/>
    <col min="4614" max="4615" width="21.109375" style="1084" customWidth="1"/>
    <col min="4616" max="4618" width="0" style="1084" hidden="1" customWidth="1"/>
    <col min="4619" max="4619" width="18.6640625" style="1084" customWidth="1"/>
    <col min="4620" max="4620" width="9.33203125" style="1084" customWidth="1"/>
    <col min="4621" max="4864" width="9.109375" style="1084"/>
    <col min="4865" max="4865" width="23.109375" style="1084" customWidth="1"/>
    <col min="4866" max="4866" width="17.6640625" style="1084" customWidth="1"/>
    <col min="4867" max="4867" width="4.44140625" style="1084" customWidth="1"/>
    <col min="4868" max="4868" width="44" style="1084" customWidth="1"/>
    <col min="4869" max="4869" width="6.33203125" style="1084" customWidth="1"/>
    <col min="4870" max="4871" width="21.109375" style="1084" customWidth="1"/>
    <col min="4872" max="4874" width="0" style="1084" hidden="1" customWidth="1"/>
    <col min="4875" max="4875" width="18.6640625" style="1084" customWidth="1"/>
    <col min="4876" max="4876" width="9.33203125" style="1084" customWidth="1"/>
    <col min="4877" max="5120" width="9.109375" style="1084"/>
    <col min="5121" max="5121" width="23.109375" style="1084" customWidth="1"/>
    <col min="5122" max="5122" width="17.6640625" style="1084" customWidth="1"/>
    <col min="5123" max="5123" width="4.44140625" style="1084" customWidth="1"/>
    <col min="5124" max="5124" width="44" style="1084" customWidth="1"/>
    <col min="5125" max="5125" width="6.33203125" style="1084" customWidth="1"/>
    <col min="5126" max="5127" width="21.109375" style="1084" customWidth="1"/>
    <col min="5128" max="5130" width="0" style="1084" hidden="1" customWidth="1"/>
    <col min="5131" max="5131" width="18.6640625" style="1084" customWidth="1"/>
    <col min="5132" max="5132" width="9.33203125" style="1084" customWidth="1"/>
    <col min="5133" max="5376" width="9.109375" style="1084"/>
    <col min="5377" max="5377" width="23.109375" style="1084" customWidth="1"/>
    <col min="5378" max="5378" width="17.6640625" style="1084" customWidth="1"/>
    <col min="5379" max="5379" width="4.44140625" style="1084" customWidth="1"/>
    <col min="5380" max="5380" width="44" style="1084" customWidth="1"/>
    <col min="5381" max="5381" width="6.33203125" style="1084" customWidth="1"/>
    <col min="5382" max="5383" width="21.109375" style="1084" customWidth="1"/>
    <col min="5384" max="5386" width="0" style="1084" hidden="1" customWidth="1"/>
    <col min="5387" max="5387" width="18.6640625" style="1084" customWidth="1"/>
    <col min="5388" max="5388" width="9.33203125" style="1084" customWidth="1"/>
    <col min="5389" max="5632" width="9.109375" style="1084"/>
    <col min="5633" max="5633" width="23.109375" style="1084" customWidth="1"/>
    <col min="5634" max="5634" width="17.6640625" style="1084" customWidth="1"/>
    <col min="5635" max="5635" width="4.44140625" style="1084" customWidth="1"/>
    <col min="5636" max="5636" width="44" style="1084" customWidth="1"/>
    <col min="5637" max="5637" width="6.33203125" style="1084" customWidth="1"/>
    <col min="5638" max="5639" width="21.109375" style="1084" customWidth="1"/>
    <col min="5640" max="5642" width="0" style="1084" hidden="1" customWidth="1"/>
    <col min="5643" max="5643" width="18.6640625" style="1084" customWidth="1"/>
    <col min="5644" max="5644" width="9.33203125" style="1084" customWidth="1"/>
    <col min="5645" max="5888" width="9.109375" style="1084"/>
    <col min="5889" max="5889" width="23.109375" style="1084" customWidth="1"/>
    <col min="5890" max="5890" width="17.6640625" style="1084" customWidth="1"/>
    <col min="5891" max="5891" width="4.44140625" style="1084" customWidth="1"/>
    <col min="5892" max="5892" width="44" style="1084" customWidth="1"/>
    <col min="5893" max="5893" width="6.33203125" style="1084" customWidth="1"/>
    <col min="5894" max="5895" width="21.109375" style="1084" customWidth="1"/>
    <col min="5896" max="5898" width="0" style="1084" hidden="1" customWidth="1"/>
    <col min="5899" max="5899" width="18.6640625" style="1084" customWidth="1"/>
    <col min="5900" max="5900" width="9.33203125" style="1084" customWidth="1"/>
    <col min="5901" max="6144" width="9.109375" style="1084"/>
    <col min="6145" max="6145" width="23.109375" style="1084" customWidth="1"/>
    <col min="6146" max="6146" width="17.6640625" style="1084" customWidth="1"/>
    <col min="6147" max="6147" width="4.44140625" style="1084" customWidth="1"/>
    <col min="6148" max="6148" width="44" style="1084" customWidth="1"/>
    <col min="6149" max="6149" width="6.33203125" style="1084" customWidth="1"/>
    <col min="6150" max="6151" width="21.109375" style="1084" customWidth="1"/>
    <col min="6152" max="6154" width="0" style="1084" hidden="1" customWidth="1"/>
    <col min="6155" max="6155" width="18.6640625" style="1084" customWidth="1"/>
    <col min="6156" max="6156" width="9.33203125" style="1084" customWidth="1"/>
    <col min="6157" max="6400" width="9.109375" style="1084"/>
    <col min="6401" max="6401" width="23.109375" style="1084" customWidth="1"/>
    <col min="6402" max="6402" width="17.6640625" style="1084" customWidth="1"/>
    <col min="6403" max="6403" width="4.44140625" style="1084" customWidth="1"/>
    <col min="6404" max="6404" width="44" style="1084" customWidth="1"/>
    <col min="6405" max="6405" width="6.33203125" style="1084" customWidth="1"/>
    <col min="6406" max="6407" width="21.109375" style="1084" customWidth="1"/>
    <col min="6408" max="6410" width="0" style="1084" hidden="1" customWidth="1"/>
    <col min="6411" max="6411" width="18.6640625" style="1084" customWidth="1"/>
    <col min="6412" max="6412" width="9.33203125" style="1084" customWidth="1"/>
    <col min="6413" max="6656" width="9.109375" style="1084"/>
    <col min="6657" max="6657" width="23.109375" style="1084" customWidth="1"/>
    <col min="6658" max="6658" width="17.6640625" style="1084" customWidth="1"/>
    <col min="6659" max="6659" width="4.44140625" style="1084" customWidth="1"/>
    <col min="6660" max="6660" width="44" style="1084" customWidth="1"/>
    <col min="6661" max="6661" width="6.33203125" style="1084" customWidth="1"/>
    <col min="6662" max="6663" width="21.109375" style="1084" customWidth="1"/>
    <col min="6664" max="6666" width="0" style="1084" hidden="1" customWidth="1"/>
    <col min="6667" max="6667" width="18.6640625" style="1084" customWidth="1"/>
    <col min="6668" max="6668" width="9.33203125" style="1084" customWidth="1"/>
    <col min="6669" max="6912" width="9.109375" style="1084"/>
    <col min="6913" max="6913" width="23.109375" style="1084" customWidth="1"/>
    <col min="6914" max="6914" width="17.6640625" style="1084" customWidth="1"/>
    <col min="6915" max="6915" width="4.44140625" style="1084" customWidth="1"/>
    <col min="6916" max="6916" width="44" style="1084" customWidth="1"/>
    <col min="6917" max="6917" width="6.33203125" style="1084" customWidth="1"/>
    <col min="6918" max="6919" width="21.109375" style="1084" customWidth="1"/>
    <col min="6920" max="6922" width="0" style="1084" hidden="1" customWidth="1"/>
    <col min="6923" max="6923" width="18.6640625" style="1084" customWidth="1"/>
    <col min="6924" max="6924" width="9.33203125" style="1084" customWidth="1"/>
    <col min="6925" max="7168" width="9.109375" style="1084"/>
    <col min="7169" max="7169" width="23.109375" style="1084" customWidth="1"/>
    <col min="7170" max="7170" width="17.6640625" style="1084" customWidth="1"/>
    <col min="7171" max="7171" width="4.44140625" style="1084" customWidth="1"/>
    <col min="7172" max="7172" width="44" style="1084" customWidth="1"/>
    <col min="7173" max="7173" width="6.33203125" style="1084" customWidth="1"/>
    <col min="7174" max="7175" width="21.109375" style="1084" customWidth="1"/>
    <col min="7176" max="7178" width="0" style="1084" hidden="1" customWidth="1"/>
    <col min="7179" max="7179" width="18.6640625" style="1084" customWidth="1"/>
    <col min="7180" max="7180" width="9.33203125" style="1084" customWidth="1"/>
    <col min="7181" max="7424" width="9.109375" style="1084"/>
    <col min="7425" max="7425" width="23.109375" style="1084" customWidth="1"/>
    <col min="7426" max="7426" width="17.6640625" style="1084" customWidth="1"/>
    <col min="7427" max="7427" width="4.44140625" style="1084" customWidth="1"/>
    <col min="7428" max="7428" width="44" style="1084" customWidth="1"/>
    <col min="7429" max="7429" width="6.33203125" style="1084" customWidth="1"/>
    <col min="7430" max="7431" width="21.109375" style="1084" customWidth="1"/>
    <col min="7432" max="7434" width="0" style="1084" hidden="1" customWidth="1"/>
    <col min="7435" max="7435" width="18.6640625" style="1084" customWidth="1"/>
    <col min="7436" max="7436" width="9.33203125" style="1084" customWidth="1"/>
    <col min="7437" max="7680" width="9.109375" style="1084"/>
    <col min="7681" max="7681" width="23.109375" style="1084" customWidth="1"/>
    <col min="7682" max="7682" width="17.6640625" style="1084" customWidth="1"/>
    <col min="7683" max="7683" width="4.44140625" style="1084" customWidth="1"/>
    <col min="7684" max="7684" width="44" style="1084" customWidth="1"/>
    <col min="7685" max="7685" width="6.33203125" style="1084" customWidth="1"/>
    <col min="7686" max="7687" width="21.109375" style="1084" customWidth="1"/>
    <col min="7688" max="7690" width="0" style="1084" hidden="1" customWidth="1"/>
    <col min="7691" max="7691" width="18.6640625" style="1084" customWidth="1"/>
    <col min="7692" max="7692" width="9.33203125" style="1084" customWidth="1"/>
    <col min="7693" max="7936" width="9.109375" style="1084"/>
    <col min="7937" max="7937" width="23.109375" style="1084" customWidth="1"/>
    <col min="7938" max="7938" width="17.6640625" style="1084" customWidth="1"/>
    <col min="7939" max="7939" width="4.44140625" style="1084" customWidth="1"/>
    <col min="7940" max="7940" width="44" style="1084" customWidth="1"/>
    <col min="7941" max="7941" width="6.33203125" style="1084" customWidth="1"/>
    <col min="7942" max="7943" width="21.109375" style="1084" customWidth="1"/>
    <col min="7944" max="7946" width="0" style="1084" hidden="1" customWidth="1"/>
    <col min="7947" max="7947" width="18.6640625" style="1084" customWidth="1"/>
    <col min="7948" max="7948" width="9.33203125" style="1084" customWidth="1"/>
    <col min="7949" max="8192" width="9.109375" style="1084"/>
    <col min="8193" max="8193" width="23.109375" style="1084" customWidth="1"/>
    <col min="8194" max="8194" width="17.6640625" style="1084" customWidth="1"/>
    <col min="8195" max="8195" width="4.44140625" style="1084" customWidth="1"/>
    <col min="8196" max="8196" width="44" style="1084" customWidth="1"/>
    <col min="8197" max="8197" width="6.33203125" style="1084" customWidth="1"/>
    <col min="8198" max="8199" width="21.109375" style="1084" customWidth="1"/>
    <col min="8200" max="8202" width="0" style="1084" hidden="1" customWidth="1"/>
    <col min="8203" max="8203" width="18.6640625" style="1084" customWidth="1"/>
    <col min="8204" max="8204" width="9.33203125" style="1084" customWidth="1"/>
    <col min="8205" max="8448" width="9.109375" style="1084"/>
    <col min="8449" max="8449" width="23.109375" style="1084" customWidth="1"/>
    <col min="8450" max="8450" width="17.6640625" style="1084" customWidth="1"/>
    <col min="8451" max="8451" width="4.44140625" style="1084" customWidth="1"/>
    <col min="8452" max="8452" width="44" style="1084" customWidth="1"/>
    <col min="8453" max="8453" width="6.33203125" style="1084" customWidth="1"/>
    <col min="8454" max="8455" width="21.109375" style="1084" customWidth="1"/>
    <col min="8456" max="8458" width="0" style="1084" hidden="1" customWidth="1"/>
    <col min="8459" max="8459" width="18.6640625" style="1084" customWidth="1"/>
    <col min="8460" max="8460" width="9.33203125" style="1084" customWidth="1"/>
    <col min="8461" max="8704" width="9.109375" style="1084"/>
    <col min="8705" max="8705" width="23.109375" style="1084" customWidth="1"/>
    <col min="8706" max="8706" width="17.6640625" style="1084" customWidth="1"/>
    <col min="8707" max="8707" width="4.44140625" style="1084" customWidth="1"/>
    <col min="8708" max="8708" width="44" style="1084" customWidth="1"/>
    <col min="8709" max="8709" width="6.33203125" style="1084" customWidth="1"/>
    <col min="8710" max="8711" width="21.109375" style="1084" customWidth="1"/>
    <col min="8712" max="8714" width="0" style="1084" hidden="1" customWidth="1"/>
    <col min="8715" max="8715" width="18.6640625" style="1084" customWidth="1"/>
    <col min="8716" max="8716" width="9.33203125" style="1084" customWidth="1"/>
    <col min="8717" max="8960" width="9.109375" style="1084"/>
    <col min="8961" max="8961" width="23.109375" style="1084" customWidth="1"/>
    <col min="8962" max="8962" width="17.6640625" style="1084" customWidth="1"/>
    <col min="8963" max="8963" width="4.44140625" style="1084" customWidth="1"/>
    <col min="8964" max="8964" width="44" style="1084" customWidth="1"/>
    <col min="8965" max="8965" width="6.33203125" style="1084" customWidth="1"/>
    <col min="8966" max="8967" width="21.109375" style="1084" customWidth="1"/>
    <col min="8968" max="8970" width="0" style="1084" hidden="1" customWidth="1"/>
    <col min="8971" max="8971" width="18.6640625" style="1084" customWidth="1"/>
    <col min="8972" max="8972" width="9.33203125" style="1084" customWidth="1"/>
    <col min="8973" max="9216" width="9.109375" style="1084"/>
    <col min="9217" max="9217" width="23.109375" style="1084" customWidth="1"/>
    <col min="9218" max="9218" width="17.6640625" style="1084" customWidth="1"/>
    <col min="9219" max="9219" width="4.44140625" style="1084" customWidth="1"/>
    <col min="9220" max="9220" width="44" style="1084" customWidth="1"/>
    <col min="9221" max="9221" width="6.33203125" style="1084" customWidth="1"/>
    <col min="9222" max="9223" width="21.109375" style="1084" customWidth="1"/>
    <col min="9224" max="9226" width="0" style="1084" hidden="1" customWidth="1"/>
    <col min="9227" max="9227" width="18.6640625" style="1084" customWidth="1"/>
    <col min="9228" max="9228" width="9.33203125" style="1084" customWidth="1"/>
    <col min="9229" max="9472" width="9.109375" style="1084"/>
    <col min="9473" max="9473" width="23.109375" style="1084" customWidth="1"/>
    <col min="9474" max="9474" width="17.6640625" style="1084" customWidth="1"/>
    <col min="9475" max="9475" width="4.44140625" style="1084" customWidth="1"/>
    <col min="9476" max="9476" width="44" style="1084" customWidth="1"/>
    <col min="9477" max="9477" width="6.33203125" style="1084" customWidth="1"/>
    <col min="9478" max="9479" width="21.109375" style="1084" customWidth="1"/>
    <col min="9480" max="9482" width="0" style="1084" hidden="1" customWidth="1"/>
    <col min="9483" max="9483" width="18.6640625" style="1084" customWidth="1"/>
    <col min="9484" max="9484" width="9.33203125" style="1084" customWidth="1"/>
    <col min="9485" max="9728" width="9.109375" style="1084"/>
    <col min="9729" max="9729" width="23.109375" style="1084" customWidth="1"/>
    <col min="9730" max="9730" width="17.6640625" style="1084" customWidth="1"/>
    <col min="9731" max="9731" width="4.44140625" style="1084" customWidth="1"/>
    <col min="9732" max="9732" width="44" style="1084" customWidth="1"/>
    <col min="9733" max="9733" width="6.33203125" style="1084" customWidth="1"/>
    <col min="9734" max="9735" width="21.109375" style="1084" customWidth="1"/>
    <col min="9736" max="9738" width="0" style="1084" hidden="1" customWidth="1"/>
    <col min="9739" max="9739" width="18.6640625" style="1084" customWidth="1"/>
    <col min="9740" max="9740" width="9.33203125" style="1084" customWidth="1"/>
    <col min="9741" max="9984" width="9.109375" style="1084"/>
    <col min="9985" max="9985" width="23.109375" style="1084" customWidth="1"/>
    <col min="9986" max="9986" width="17.6640625" style="1084" customWidth="1"/>
    <col min="9987" max="9987" width="4.44140625" style="1084" customWidth="1"/>
    <col min="9988" max="9988" width="44" style="1084" customWidth="1"/>
    <col min="9989" max="9989" width="6.33203125" style="1084" customWidth="1"/>
    <col min="9990" max="9991" width="21.109375" style="1084" customWidth="1"/>
    <col min="9992" max="9994" width="0" style="1084" hidden="1" customWidth="1"/>
    <col min="9995" max="9995" width="18.6640625" style="1084" customWidth="1"/>
    <col min="9996" max="9996" width="9.33203125" style="1084" customWidth="1"/>
    <col min="9997" max="10240" width="9.109375" style="1084"/>
    <col min="10241" max="10241" width="23.109375" style="1084" customWidth="1"/>
    <col min="10242" max="10242" width="17.6640625" style="1084" customWidth="1"/>
    <col min="10243" max="10243" width="4.44140625" style="1084" customWidth="1"/>
    <col min="10244" max="10244" width="44" style="1084" customWidth="1"/>
    <col min="10245" max="10245" width="6.33203125" style="1084" customWidth="1"/>
    <col min="10246" max="10247" width="21.109375" style="1084" customWidth="1"/>
    <col min="10248" max="10250" width="0" style="1084" hidden="1" customWidth="1"/>
    <col min="10251" max="10251" width="18.6640625" style="1084" customWidth="1"/>
    <col min="10252" max="10252" width="9.33203125" style="1084" customWidth="1"/>
    <col min="10253" max="10496" width="9.109375" style="1084"/>
    <col min="10497" max="10497" width="23.109375" style="1084" customWidth="1"/>
    <col min="10498" max="10498" width="17.6640625" style="1084" customWidth="1"/>
    <col min="10499" max="10499" width="4.44140625" style="1084" customWidth="1"/>
    <col min="10500" max="10500" width="44" style="1084" customWidth="1"/>
    <col min="10501" max="10501" width="6.33203125" style="1084" customWidth="1"/>
    <col min="10502" max="10503" width="21.109375" style="1084" customWidth="1"/>
    <col min="10504" max="10506" width="0" style="1084" hidden="1" customWidth="1"/>
    <col min="10507" max="10507" width="18.6640625" style="1084" customWidth="1"/>
    <col min="10508" max="10508" width="9.33203125" style="1084" customWidth="1"/>
    <col min="10509" max="10752" width="9.109375" style="1084"/>
    <col min="10753" max="10753" width="23.109375" style="1084" customWidth="1"/>
    <col min="10754" max="10754" width="17.6640625" style="1084" customWidth="1"/>
    <col min="10755" max="10755" width="4.44140625" style="1084" customWidth="1"/>
    <col min="10756" max="10756" width="44" style="1084" customWidth="1"/>
    <col min="10757" max="10757" width="6.33203125" style="1084" customWidth="1"/>
    <col min="10758" max="10759" width="21.109375" style="1084" customWidth="1"/>
    <col min="10760" max="10762" width="0" style="1084" hidden="1" customWidth="1"/>
    <col min="10763" max="10763" width="18.6640625" style="1084" customWidth="1"/>
    <col min="10764" max="10764" width="9.33203125" style="1084" customWidth="1"/>
    <col min="10765" max="11008" width="9.109375" style="1084"/>
    <col min="11009" max="11009" width="23.109375" style="1084" customWidth="1"/>
    <col min="11010" max="11010" width="17.6640625" style="1084" customWidth="1"/>
    <col min="11011" max="11011" width="4.44140625" style="1084" customWidth="1"/>
    <col min="11012" max="11012" width="44" style="1084" customWidth="1"/>
    <col min="11013" max="11013" width="6.33203125" style="1084" customWidth="1"/>
    <col min="11014" max="11015" width="21.109375" style="1084" customWidth="1"/>
    <col min="11016" max="11018" width="0" style="1084" hidden="1" customWidth="1"/>
    <col min="11019" max="11019" width="18.6640625" style="1084" customWidth="1"/>
    <col min="11020" max="11020" width="9.33203125" style="1084" customWidth="1"/>
    <col min="11021" max="11264" width="9.109375" style="1084"/>
    <col min="11265" max="11265" width="23.109375" style="1084" customWidth="1"/>
    <col min="11266" max="11266" width="17.6640625" style="1084" customWidth="1"/>
    <col min="11267" max="11267" width="4.44140625" style="1084" customWidth="1"/>
    <col min="11268" max="11268" width="44" style="1084" customWidth="1"/>
    <col min="11269" max="11269" width="6.33203125" style="1084" customWidth="1"/>
    <col min="11270" max="11271" width="21.109375" style="1084" customWidth="1"/>
    <col min="11272" max="11274" width="0" style="1084" hidden="1" customWidth="1"/>
    <col min="11275" max="11275" width="18.6640625" style="1084" customWidth="1"/>
    <col min="11276" max="11276" width="9.33203125" style="1084" customWidth="1"/>
    <col min="11277" max="11520" width="9.109375" style="1084"/>
    <col min="11521" max="11521" width="23.109375" style="1084" customWidth="1"/>
    <col min="11522" max="11522" width="17.6640625" style="1084" customWidth="1"/>
    <col min="11523" max="11523" width="4.44140625" style="1084" customWidth="1"/>
    <col min="11524" max="11524" width="44" style="1084" customWidth="1"/>
    <col min="11525" max="11525" width="6.33203125" style="1084" customWidth="1"/>
    <col min="11526" max="11527" width="21.109375" style="1084" customWidth="1"/>
    <col min="11528" max="11530" width="0" style="1084" hidden="1" customWidth="1"/>
    <col min="11531" max="11531" width="18.6640625" style="1084" customWidth="1"/>
    <col min="11532" max="11532" width="9.33203125" style="1084" customWidth="1"/>
    <col min="11533" max="11776" width="9.109375" style="1084"/>
    <col min="11777" max="11777" width="23.109375" style="1084" customWidth="1"/>
    <col min="11778" max="11778" width="17.6640625" style="1084" customWidth="1"/>
    <col min="11779" max="11779" width="4.44140625" style="1084" customWidth="1"/>
    <col min="11780" max="11780" width="44" style="1084" customWidth="1"/>
    <col min="11781" max="11781" width="6.33203125" style="1084" customWidth="1"/>
    <col min="11782" max="11783" width="21.109375" style="1084" customWidth="1"/>
    <col min="11784" max="11786" width="0" style="1084" hidden="1" customWidth="1"/>
    <col min="11787" max="11787" width="18.6640625" style="1084" customWidth="1"/>
    <col min="11788" max="11788" width="9.33203125" style="1084" customWidth="1"/>
    <col min="11789" max="12032" width="9.109375" style="1084"/>
    <col min="12033" max="12033" width="23.109375" style="1084" customWidth="1"/>
    <col min="12034" max="12034" width="17.6640625" style="1084" customWidth="1"/>
    <col min="12035" max="12035" width="4.44140625" style="1084" customWidth="1"/>
    <col min="12036" max="12036" width="44" style="1084" customWidth="1"/>
    <col min="12037" max="12037" width="6.33203125" style="1084" customWidth="1"/>
    <col min="12038" max="12039" width="21.109375" style="1084" customWidth="1"/>
    <col min="12040" max="12042" width="0" style="1084" hidden="1" customWidth="1"/>
    <col min="12043" max="12043" width="18.6640625" style="1084" customWidth="1"/>
    <col min="12044" max="12044" width="9.33203125" style="1084" customWidth="1"/>
    <col min="12045" max="12288" width="9.109375" style="1084"/>
    <col min="12289" max="12289" width="23.109375" style="1084" customWidth="1"/>
    <col min="12290" max="12290" width="17.6640625" style="1084" customWidth="1"/>
    <col min="12291" max="12291" width="4.44140625" style="1084" customWidth="1"/>
    <col min="12292" max="12292" width="44" style="1084" customWidth="1"/>
    <col min="12293" max="12293" width="6.33203125" style="1084" customWidth="1"/>
    <col min="12294" max="12295" width="21.109375" style="1084" customWidth="1"/>
    <col min="12296" max="12298" width="0" style="1084" hidden="1" customWidth="1"/>
    <col min="12299" max="12299" width="18.6640625" style="1084" customWidth="1"/>
    <col min="12300" max="12300" width="9.33203125" style="1084" customWidth="1"/>
    <col min="12301" max="12544" width="9.109375" style="1084"/>
    <col min="12545" max="12545" width="23.109375" style="1084" customWidth="1"/>
    <col min="12546" max="12546" width="17.6640625" style="1084" customWidth="1"/>
    <col min="12547" max="12547" width="4.44140625" style="1084" customWidth="1"/>
    <col min="12548" max="12548" width="44" style="1084" customWidth="1"/>
    <col min="12549" max="12549" width="6.33203125" style="1084" customWidth="1"/>
    <col min="12550" max="12551" width="21.109375" style="1084" customWidth="1"/>
    <col min="12552" max="12554" width="0" style="1084" hidden="1" customWidth="1"/>
    <col min="12555" max="12555" width="18.6640625" style="1084" customWidth="1"/>
    <col min="12556" max="12556" width="9.33203125" style="1084" customWidth="1"/>
    <col min="12557" max="12800" width="9.109375" style="1084"/>
    <col min="12801" max="12801" width="23.109375" style="1084" customWidth="1"/>
    <col min="12802" max="12802" width="17.6640625" style="1084" customWidth="1"/>
    <col min="12803" max="12803" width="4.44140625" style="1084" customWidth="1"/>
    <col min="12804" max="12804" width="44" style="1084" customWidth="1"/>
    <col min="12805" max="12805" width="6.33203125" style="1084" customWidth="1"/>
    <col min="12806" max="12807" width="21.109375" style="1084" customWidth="1"/>
    <col min="12808" max="12810" width="0" style="1084" hidden="1" customWidth="1"/>
    <col min="12811" max="12811" width="18.6640625" style="1084" customWidth="1"/>
    <col min="12812" max="12812" width="9.33203125" style="1084" customWidth="1"/>
    <col min="12813" max="13056" width="9.109375" style="1084"/>
    <col min="13057" max="13057" width="23.109375" style="1084" customWidth="1"/>
    <col min="13058" max="13058" width="17.6640625" style="1084" customWidth="1"/>
    <col min="13059" max="13059" width="4.44140625" style="1084" customWidth="1"/>
    <col min="13060" max="13060" width="44" style="1084" customWidth="1"/>
    <col min="13061" max="13061" width="6.33203125" style="1084" customWidth="1"/>
    <col min="13062" max="13063" width="21.109375" style="1084" customWidth="1"/>
    <col min="13064" max="13066" width="0" style="1084" hidden="1" customWidth="1"/>
    <col min="13067" max="13067" width="18.6640625" style="1084" customWidth="1"/>
    <col min="13068" max="13068" width="9.33203125" style="1084" customWidth="1"/>
    <col min="13069" max="13312" width="9.109375" style="1084"/>
    <col min="13313" max="13313" width="23.109375" style="1084" customWidth="1"/>
    <col min="13314" max="13314" width="17.6640625" style="1084" customWidth="1"/>
    <col min="13315" max="13315" width="4.44140625" style="1084" customWidth="1"/>
    <col min="13316" max="13316" width="44" style="1084" customWidth="1"/>
    <col min="13317" max="13317" width="6.33203125" style="1084" customWidth="1"/>
    <col min="13318" max="13319" width="21.109375" style="1084" customWidth="1"/>
    <col min="13320" max="13322" width="0" style="1084" hidden="1" customWidth="1"/>
    <col min="13323" max="13323" width="18.6640625" style="1084" customWidth="1"/>
    <col min="13324" max="13324" width="9.33203125" style="1084" customWidth="1"/>
    <col min="13325" max="13568" width="9.109375" style="1084"/>
    <col min="13569" max="13569" width="23.109375" style="1084" customWidth="1"/>
    <col min="13570" max="13570" width="17.6640625" style="1084" customWidth="1"/>
    <col min="13571" max="13571" width="4.44140625" style="1084" customWidth="1"/>
    <col min="13572" max="13572" width="44" style="1084" customWidth="1"/>
    <col min="13573" max="13573" width="6.33203125" style="1084" customWidth="1"/>
    <col min="13574" max="13575" width="21.109375" style="1084" customWidth="1"/>
    <col min="13576" max="13578" width="0" style="1084" hidden="1" customWidth="1"/>
    <col min="13579" max="13579" width="18.6640625" style="1084" customWidth="1"/>
    <col min="13580" max="13580" width="9.33203125" style="1084" customWidth="1"/>
    <col min="13581" max="13824" width="9.109375" style="1084"/>
    <col min="13825" max="13825" width="23.109375" style="1084" customWidth="1"/>
    <col min="13826" max="13826" width="17.6640625" style="1084" customWidth="1"/>
    <col min="13827" max="13827" width="4.44140625" style="1084" customWidth="1"/>
    <col min="13828" max="13828" width="44" style="1084" customWidth="1"/>
    <col min="13829" max="13829" width="6.33203125" style="1084" customWidth="1"/>
    <col min="13830" max="13831" width="21.109375" style="1084" customWidth="1"/>
    <col min="13832" max="13834" width="0" style="1084" hidden="1" customWidth="1"/>
    <col min="13835" max="13835" width="18.6640625" style="1084" customWidth="1"/>
    <col min="13836" max="13836" width="9.33203125" style="1084" customWidth="1"/>
    <col min="13837" max="14080" width="9.109375" style="1084"/>
    <col min="14081" max="14081" width="23.109375" style="1084" customWidth="1"/>
    <col min="14082" max="14082" width="17.6640625" style="1084" customWidth="1"/>
    <col min="14083" max="14083" width="4.44140625" style="1084" customWidth="1"/>
    <col min="14084" max="14084" width="44" style="1084" customWidth="1"/>
    <col min="14085" max="14085" width="6.33203125" style="1084" customWidth="1"/>
    <col min="14086" max="14087" width="21.109375" style="1084" customWidth="1"/>
    <col min="14088" max="14090" width="0" style="1084" hidden="1" customWidth="1"/>
    <col min="14091" max="14091" width="18.6640625" style="1084" customWidth="1"/>
    <col min="14092" max="14092" width="9.33203125" style="1084" customWidth="1"/>
    <col min="14093" max="14336" width="9.109375" style="1084"/>
    <col min="14337" max="14337" width="23.109375" style="1084" customWidth="1"/>
    <col min="14338" max="14338" width="17.6640625" style="1084" customWidth="1"/>
    <col min="14339" max="14339" width="4.44140625" style="1084" customWidth="1"/>
    <col min="14340" max="14340" width="44" style="1084" customWidth="1"/>
    <col min="14341" max="14341" width="6.33203125" style="1084" customWidth="1"/>
    <col min="14342" max="14343" width="21.109375" style="1084" customWidth="1"/>
    <col min="14344" max="14346" width="0" style="1084" hidden="1" customWidth="1"/>
    <col min="14347" max="14347" width="18.6640625" style="1084" customWidth="1"/>
    <col min="14348" max="14348" width="9.33203125" style="1084" customWidth="1"/>
    <col min="14349" max="14592" width="9.109375" style="1084"/>
    <col min="14593" max="14593" width="23.109375" style="1084" customWidth="1"/>
    <col min="14594" max="14594" width="17.6640625" style="1084" customWidth="1"/>
    <col min="14595" max="14595" width="4.44140625" style="1084" customWidth="1"/>
    <col min="14596" max="14596" width="44" style="1084" customWidth="1"/>
    <col min="14597" max="14597" width="6.33203125" style="1084" customWidth="1"/>
    <col min="14598" max="14599" width="21.109375" style="1084" customWidth="1"/>
    <col min="14600" max="14602" width="0" style="1084" hidden="1" customWidth="1"/>
    <col min="14603" max="14603" width="18.6640625" style="1084" customWidth="1"/>
    <col min="14604" max="14604" width="9.33203125" style="1084" customWidth="1"/>
    <col min="14605" max="14848" width="9.109375" style="1084"/>
    <col min="14849" max="14849" width="23.109375" style="1084" customWidth="1"/>
    <col min="14850" max="14850" width="17.6640625" style="1084" customWidth="1"/>
    <col min="14851" max="14851" width="4.44140625" style="1084" customWidth="1"/>
    <col min="14852" max="14852" width="44" style="1084" customWidth="1"/>
    <col min="14853" max="14853" width="6.33203125" style="1084" customWidth="1"/>
    <col min="14854" max="14855" width="21.109375" style="1084" customWidth="1"/>
    <col min="14856" max="14858" width="0" style="1084" hidden="1" customWidth="1"/>
    <col min="14859" max="14859" width="18.6640625" style="1084" customWidth="1"/>
    <col min="14860" max="14860" width="9.33203125" style="1084" customWidth="1"/>
    <col min="14861" max="15104" width="9.109375" style="1084"/>
    <col min="15105" max="15105" width="23.109375" style="1084" customWidth="1"/>
    <col min="15106" max="15106" width="17.6640625" style="1084" customWidth="1"/>
    <col min="15107" max="15107" width="4.44140625" style="1084" customWidth="1"/>
    <col min="15108" max="15108" width="44" style="1084" customWidth="1"/>
    <col min="15109" max="15109" width="6.33203125" style="1084" customWidth="1"/>
    <col min="15110" max="15111" width="21.109375" style="1084" customWidth="1"/>
    <col min="15112" max="15114" width="0" style="1084" hidden="1" customWidth="1"/>
    <col min="15115" max="15115" width="18.6640625" style="1084" customWidth="1"/>
    <col min="15116" max="15116" width="9.33203125" style="1084" customWidth="1"/>
    <col min="15117" max="15360" width="9.109375" style="1084"/>
    <col min="15361" max="15361" width="23.109375" style="1084" customWidth="1"/>
    <col min="15362" max="15362" width="17.6640625" style="1084" customWidth="1"/>
    <col min="15363" max="15363" width="4.44140625" style="1084" customWidth="1"/>
    <col min="15364" max="15364" width="44" style="1084" customWidth="1"/>
    <col min="15365" max="15365" width="6.33203125" style="1084" customWidth="1"/>
    <col min="15366" max="15367" width="21.109375" style="1084" customWidth="1"/>
    <col min="15368" max="15370" width="0" style="1084" hidden="1" customWidth="1"/>
    <col min="15371" max="15371" width="18.6640625" style="1084" customWidth="1"/>
    <col min="15372" max="15372" width="9.33203125" style="1084" customWidth="1"/>
    <col min="15373" max="15616" width="9.109375" style="1084"/>
    <col min="15617" max="15617" width="23.109375" style="1084" customWidth="1"/>
    <col min="15618" max="15618" width="17.6640625" style="1084" customWidth="1"/>
    <col min="15619" max="15619" width="4.44140625" style="1084" customWidth="1"/>
    <col min="15620" max="15620" width="44" style="1084" customWidth="1"/>
    <col min="15621" max="15621" width="6.33203125" style="1084" customWidth="1"/>
    <col min="15622" max="15623" width="21.109375" style="1084" customWidth="1"/>
    <col min="15624" max="15626" width="0" style="1084" hidden="1" customWidth="1"/>
    <col min="15627" max="15627" width="18.6640625" style="1084" customWidth="1"/>
    <col min="15628" max="15628" width="9.33203125" style="1084" customWidth="1"/>
    <col min="15629" max="15872" width="9.109375" style="1084"/>
    <col min="15873" max="15873" width="23.109375" style="1084" customWidth="1"/>
    <col min="15874" max="15874" width="17.6640625" style="1084" customWidth="1"/>
    <col min="15875" max="15875" width="4.44140625" style="1084" customWidth="1"/>
    <col min="15876" max="15876" width="44" style="1084" customWidth="1"/>
    <col min="15877" max="15877" width="6.33203125" style="1084" customWidth="1"/>
    <col min="15878" max="15879" width="21.109375" style="1084" customWidth="1"/>
    <col min="15880" max="15882" width="0" style="1084" hidden="1" customWidth="1"/>
    <col min="15883" max="15883" width="18.6640625" style="1084" customWidth="1"/>
    <col min="15884" max="15884" width="9.33203125" style="1084" customWidth="1"/>
    <col min="15885" max="16128" width="9.109375" style="1084"/>
    <col min="16129" max="16129" width="23.109375" style="1084" customWidth="1"/>
    <col min="16130" max="16130" width="17.6640625" style="1084" customWidth="1"/>
    <col min="16131" max="16131" width="4.44140625" style="1084" customWidth="1"/>
    <col min="16132" max="16132" width="44" style="1084" customWidth="1"/>
    <col min="16133" max="16133" width="6.33203125" style="1084" customWidth="1"/>
    <col min="16134" max="16135" width="21.109375" style="1084" customWidth="1"/>
    <col min="16136" max="16138" width="0" style="1084" hidden="1" customWidth="1"/>
    <col min="16139" max="16139" width="18.6640625" style="1084" customWidth="1"/>
    <col min="16140" max="16140" width="9.33203125" style="1084" customWidth="1"/>
    <col min="16141" max="16384" width="9.109375" style="1084"/>
  </cols>
  <sheetData>
    <row r="1" spans="1:19" s="1016" customFormat="1" ht="22.8">
      <c r="A1" s="1175" t="s">
        <v>1000</v>
      </c>
      <c r="B1" s="1175"/>
      <c r="C1" s="1175"/>
      <c r="D1" s="1175"/>
      <c r="E1" s="1175"/>
      <c r="F1" s="1175"/>
      <c r="G1" s="1175"/>
      <c r="H1" s="1175"/>
      <c r="I1" s="1175"/>
      <c r="J1" s="1175"/>
      <c r="K1" s="1015"/>
    </row>
    <row r="2" spans="1:19" s="1016" customFormat="1" ht="23.4" thickBot="1">
      <c r="A2" s="1176" t="s">
        <v>1001</v>
      </c>
      <c r="B2" s="1176"/>
      <c r="C2" s="1176"/>
      <c r="D2" s="1176"/>
      <c r="E2" s="1176"/>
      <c r="F2" s="1176"/>
      <c r="G2" s="1176"/>
      <c r="H2" s="1176"/>
      <c r="I2" s="1176"/>
      <c r="J2" s="1176"/>
      <c r="K2" s="1015"/>
    </row>
    <row r="3" spans="1:19" s="1019" customFormat="1" ht="17.399999999999999">
      <c r="A3" s="1017"/>
      <c r="B3" s="1017"/>
      <c r="C3" s="1017"/>
      <c r="D3" s="1017"/>
      <c r="E3" s="1017"/>
      <c r="F3" s="1017"/>
      <c r="G3" s="1017"/>
      <c r="H3" s="1017"/>
      <c r="I3" s="1017"/>
      <c r="J3" s="1017"/>
      <c r="K3" s="1018"/>
    </row>
    <row r="4" spans="1:19" s="1019" customFormat="1" ht="17.399999999999999">
      <c r="A4" s="1020" t="s">
        <v>1002</v>
      </c>
      <c r="B4" s="1021"/>
      <c r="C4" s="1022"/>
      <c r="D4" s="1023" t="s">
        <v>1054</v>
      </c>
      <c r="E4" s="1022"/>
      <c r="F4" s="1024" t="s">
        <v>1004</v>
      </c>
      <c r="G4" s="1021"/>
      <c r="H4" s="1022"/>
      <c r="I4" s="1022"/>
      <c r="J4" s="1022"/>
      <c r="K4" s="1018"/>
    </row>
    <row r="5" spans="1:19" s="1019" customFormat="1" ht="17.399999999999999">
      <c r="B5" s="1022"/>
      <c r="C5" s="1022"/>
      <c r="D5" s="1024"/>
      <c r="E5" s="1022"/>
      <c r="F5" s="1024" t="s">
        <v>1005</v>
      </c>
      <c r="G5" s="1025"/>
      <c r="H5" s="1022"/>
      <c r="I5" s="1022"/>
      <c r="J5" s="1022"/>
      <c r="K5" s="1018"/>
    </row>
    <row r="6" spans="1:19" s="1019" customFormat="1" ht="18" thickBot="1">
      <c r="A6" s="1020"/>
      <c r="B6" s="1026"/>
      <c r="C6" s="1027"/>
      <c r="E6" s="1028"/>
      <c r="G6" s="1028"/>
      <c r="H6" s="1022"/>
      <c r="I6" s="1029"/>
      <c r="J6" s="1030"/>
      <c r="K6" s="1018"/>
    </row>
    <row r="7" spans="1:19" s="1019" customFormat="1" ht="18" thickBot="1">
      <c r="A7" s="1031"/>
      <c r="B7" s="1028" t="s">
        <v>1006</v>
      </c>
      <c r="C7" s="1032" t="s">
        <v>1055</v>
      </c>
      <c r="D7" s="1033"/>
      <c r="E7" s="1033"/>
      <c r="F7" s="1177"/>
      <c r="G7" s="1177"/>
      <c r="H7" s="1028"/>
      <c r="I7" s="1028"/>
      <c r="J7" s="1028"/>
      <c r="K7" s="1018"/>
    </row>
    <row r="8" spans="1:19" s="1019" customFormat="1" ht="17.399999999999999">
      <c r="A8" s="1031"/>
      <c r="B8" s="1028"/>
      <c r="C8" s="1022"/>
      <c r="D8" s="1019" t="s">
        <v>1008</v>
      </c>
      <c r="F8" s="1034"/>
      <c r="G8" s="1034" t="s">
        <v>1056</v>
      </c>
      <c r="H8" s="1028"/>
      <c r="I8" s="1028"/>
      <c r="J8" s="1028"/>
      <c r="K8" s="1018"/>
    </row>
    <row r="9" spans="1:19" s="1019" customFormat="1" ht="18" thickBot="1">
      <c r="A9" s="1028" t="s">
        <v>1010</v>
      </c>
      <c r="B9" s="1178">
        <v>43100</v>
      </c>
      <c r="C9" s="1179"/>
      <c r="D9" s="1035"/>
      <c r="E9" s="1022"/>
      <c r="F9" s="1028" t="s">
        <v>1011</v>
      </c>
      <c r="G9" s="1036">
        <v>1462189</v>
      </c>
      <c r="H9" s="1022"/>
      <c r="I9" s="1022"/>
      <c r="J9" s="1022"/>
      <c r="K9" s="1018"/>
    </row>
    <row r="10" spans="1:19" s="1019" customFormat="1" ht="18" thickBot="1">
      <c r="A10" s="1028"/>
      <c r="B10" s="1037"/>
      <c r="C10" s="1022"/>
      <c r="D10" s="1035"/>
      <c r="E10" s="1022"/>
      <c r="F10" s="1028" t="s">
        <v>1012</v>
      </c>
      <c r="G10" s="1038"/>
      <c r="H10" s="1022"/>
      <c r="I10" s="1022"/>
      <c r="J10" s="1022"/>
      <c r="K10" s="1018"/>
    </row>
    <row r="11" spans="1:19" s="1040" customFormat="1" ht="13.2">
      <c r="A11" s="1039"/>
      <c r="E11" s="1041"/>
      <c r="F11" s="1042"/>
      <c r="G11" s="1042"/>
      <c r="H11" s="1043"/>
      <c r="I11" s="1043"/>
      <c r="J11" s="1043"/>
      <c r="K11" s="1044"/>
    </row>
    <row r="12" spans="1:19" s="1049" customFormat="1" ht="15.6">
      <c r="A12" s="1045" t="s">
        <v>1013</v>
      </c>
      <c r="B12" s="1046" t="s">
        <v>1014</v>
      </c>
      <c r="C12" s="1046" t="s">
        <v>1015</v>
      </c>
      <c r="D12" s="1046" t="s">
        <v>1016</v>
      </c>
      <c r="E12" s="1046" t="s">
        <v>747</v>
      </c>
      <c r="F12" s="1046" t="s">
        <v>1017</v>
      </c>
      <c r="G12" s="1046" t="s">
        <v>1018</v>
      </c>
      <c r="H12" s="1047"/>
      <c r="I12" s="1047"/>
      <c r="J12" s="1047"/>
      <c r="K12" s="1048"/>
      <c r="L12" s="1159">
        <f>SUM(L13:L19)</f>
        <v>-959061.37</v>
      </c>
    </row>
    <row r="13" spans="1:19" s="1049" customFormat="1" ht="28.5" customHeight="1">
      <c r="A13" s="1050" t="s">
        <v>1019</v>
      </c>
      <c r="B13" s="1051"/>
      <c r="C13" s="1052"/>
      <c r="D13" s="1053" t="s">
        <v>1057</v>
      </c>
      <c r="E13" s="1054"/>
      <c r="F13" s="1055">
        <v>118949.38</v>
      </c>
      <c r="G13" s="1055"/>
      <c r="H13" s="1056"/>
      <c r="I13" s="1056"/>
      <c r="J13" s="1056"/>
      <c r="K13" s="1048"/>
      <c r="L13" s="1159">
        <f>ROUND('JE Summary'!$C$123,2)</f>
        <v>5970.7</v>
      </c>
      <c r="N13" s="1091"/>
      <c r="O13" s="1088"/>
      <c r="P13" s="1061"/>
      <c r="Q13" s="1088"/>
      <c r="R13" s="1062"/>
      <c r="S13" s="1062"/>
    </row>
    <row r="14" spans="1:19" s="1049" customFormat="1" ht="28.5" customHeight="1">
      <c r="A14" s="1050" t="s">
        <v>1021</v>
      </c>
      <c r="B14" s="1051"/>
      <c r="C14" s="1052"/>
      <c r="D14" s="1053" t="s">
        <v>1058</v>
      </c>
      <c r="E14" s="1054"/>
      <c r="F14" s="1055">
        <v>61318.65</v>
      </c>
      <c r="G14" s="1055"/>
      <c r="H14" s="1056"/>
      <c r="I14" s="1056"/>
      <c r="J14" s="1056"/>
      <c r="K14" s="1048"/>
      <c r="L14" s="1159">
        <f>ROUND('JE Summary'!$D$123,2)</f>
        <v>-448510</v>
      </c>
      <c r="N14" s="1091"/>
      <c r="O14" s="1088"/>
      <c r="P14" s="1061"/>
      <c r="Q14" s="1088"/>
      <c r="R14" s="1062"/>
      <c r="S14" s="1062"/>
    </row>
    <row r="15" spans="1:19" s="1049" customFormat="1" ht="28.5" customHeight="1">
      <c r="A15" s="1057" t="s">
        <v>1023</v>
      </c>
      <c r="B15" s="1051"/>
      <c r="C15" s="1052"/>
      <c r="D15" s="1053" t="s">
        <v>1059</v>
      </c>
      <c r="E15" s="1054"/>
      <c r="F15" s="1055">
        <v>213061.77</v>
      </c>
      <c r="G15" s="1055"/>
      <c r="H15" s="1056"/>
      <c r="I15" s="1056"/>
      <c r="J15" s="1056"/>
      <c r="K15" s="1048"/>
      <c r="L15" s="1159">
        <f>ROUND('JE Summary'!$E$123,2)</f>
        <v>-430581.16</v>
      </c>
      <c r="N15" s="1091"/>
      <c r="O15" s="1088"/>
      <c r="P15" s="1061"/>
      <c r="Q15" s="1088"/>
      <c r="R15" s="1062"/>
      <c r="S15" s="1062"/>
    </row>
    <row r="16" spans="1:19" s="1049" customFormat="1" ht="28.5" customHeight="1">
      <c r="A16" s="1058" t="s">
        <v>1027</v>
      </c>
      <c r="B16" s="1051"/>
      <c r="C16" s="1052"/>
      <c r="D16" s="1053" t="s">
        <v>1061</v>
      </c>
      <c r="E16" s="1054"/>
      <c r="F16" s="1055">
        <v>67.92</v>
      </c>
      <c r="G16" s="1055"/>
      <c r="H16" s="1056"/>
      <c r="I16" s="1056"/>
      <c r="J16" s="1056"/>
      <c r="K16" s="1048"/>
      <c r="L16" s="1159">
        <f>ROUND('JE Summary'!$F$123,2)</f>
        <v>5283.97</v>
      </c>
      <c r="N16" s="1091"/>
      <c r="O16" s="1088"/>
      <c r="P16" s="1061"/>
      <c r="Q16" s="1088"/>
      <c r="R16" s="1062"/>
      <c r="S16" s="1062"/>
    </row>
    <row r="17" spans="1:19" s="1049" customFormat="1" ht="28.5" customHeight="1">
      <c r="A17" s="1058" t="s">
        <v>1062</v>
      </c>
      <c r="B17" s="1051"/>
      <c r="C17" s="1052"/>
      <c r="D17" s="1053" t="s">
        <v>1063</v>
      </c>
      <c r="E17" s="1054"/>
      <c r="F17" s="1055">
        <v>41.73</v>
      </c>
      <c r="G17" s="1055"/>
      <c r="H17" s="1056"/>
      <c r="I17" s="1056"/>
      <c r="J17" s="1056"/>
      <c r="K17" s="1048"/>
      <c r="L17" s="1159">
        <f>ROUND('JE Summary'!$G$123,2)</f>
        <v>3317.17</v>
      </c>
      <c r="N17" s="1091"/>
      <c r="O17" s="1088"/>
      <c r="P17" s="1061"/>
      <c r="Q17" s="1088"/>
      <c r="R17" s="1062"/>
      <c r="S17" s="1062"/>
    </row>
    <row r="18" spans="1:19" s="1049" customFormat="1" ht="28.5" customHeight="1">
      <c r="A18" s="1058" t="s">
        <v>1029</v>
      </c>
      <c r="B18" s="1051"/>
      <c r="C18" s="1052"/>
      <c r="D18" s="1053" t="s">
        <v>1064</v>
      </c>
      <c r="E18" s="1054"/>
      <c r="F18" s="1055">
        <v>2.0699999999999998</v>
      </c>
      <c r="G18" s="1055"/>
      <c r="H18" s="1056"/>
      <c r="I18" s="1056"/>
      <c r="J18" s="1056"/>
      <c r="K18" s="1048"/>
      <c r="L18" s="1159">
        <f>ROUND('JE Summary'!$H$123,2)</f>
        <v>160.34</v>
      </c>
      <c r="N18" s="1091"/>
      <c r="O18" s="1088"/>
      <c r="P18" s="1061"/>
      <c r="Q18" s="1088"/>
      <c r="R18" s="1062"/>
      <c r="S18" s="1062"/>
    </row>
    <row r="19" spans="1:19" s="1049" customFormat="1" ht="28.5" customHeight="1">
      <c r="A19" s="1050" t="s">
        <v>1025</v>
      </c>
      <c r="B19" s="1051"/>
      <c r="C19" s="1052"/>
      <c r="D19" s="1053" t="s">
        <v>1060</v>
      </c>
      <c r="E19" s="1054"/>
      <c r="F19" s="1055"/>
      <c r="G19" s="1055">
        <v>27156.17</v>
      </c>
      <c r="H19" s="1056"/>
      <c r="I19" s="1056"/>
      <c r="J19" s="1056"/>
      <c r="K19" s="1048"/>
      <c r="L19" s="1159">
        <f>ROUND('JE Summary'!$I$123,2)</f>
        <v>-94702.39</v>
      </c>
      <c r="N19" s="1091"/>
      <c r="O19" s="1088"/>
      <c r="P19" s="1061"/>
      <c r="Q19" s="1088"/>
      <c r="R19" s="1062"/>
      <c r="S19" s="1062"/>
    </row>
    <row r="20" spans="1:19" s="1049" customFormat="1" ht="28.5" customHeight="1">
      <c r="A20" s="1050" t="s">
        <v>1031</v>
      </c>
      <c r="B20" s="1051"/>
      <c r="C20" s="1052"/>
      <c r="D20" s="1053" t="s">
        <v>1065</v>
      </c>
      <c r="E20" s="1054"/>
      <c r="F20" s="1055"/>
      <c r="G20" s="1055">
        <f t="shared" ref="G20:G25" si="0">F13</f>
        <v>118949.38</v>
      </c>
      <c r="H20" s="1056"/>
      <c r="I20" s="1056"/>
      <c r="J20" s="1056"/>
      <c r="K20" s="1048"/>
      <c r="L20" s="1064"/>
      <c r="M20" s="1086"/>
      <c r="N20" s="1087"/>
      <c r="O20" s="1088"/>
      <c r="P20" s="1061"/>
      <c r="Q20" s="1088"/>
      <c r="R20" s="1062"/>
      <c r="S20" s="1062"/>
    </row>
    <row r="21" spans="1:19" s="1049" customFormat="1" ht="28.5" customHeight="1">
      <c r="A21" s="1057" t="s">
        <v>1033</v>
      </c>
      <c r="B21" s="1051"/>
      <c r="C21" s="1052"/>
      <c r="D21" s="1053" t="s">
        <v>1058</v>
      </c>
      <c r="E21" s="1054"/>
      <c r="F21" s="1055"/>
      <c r="G21" s="1055">
        <f t="shared" si="0"/>
        <v>61318.65</v>
      </c>
      <c r="H21" s="1056"/>
      <c r="I21" s="1056"/>
      <c r="J21" s="1056"/>
      <c r="K21" s="1048"/>
      <c r="L21" s="1064"/>
      <c r="M21" s="1089"/>
      <c r="N21" s="1087"/>
      <c r="O21" s="1088"/>
      <c r="P21" s="1061"/>
      <c r="Q21" s="1088"/>
      <c r="R21" s="1062"/>
      <c r="S21" s="1062"/>
    </row>
    <row r="22" spans="1:19" s="1049" customFormat="1" ht="28.5" customHeight="1">
      <c r="A22" s="1057" t="s">
        <v>1034</v>
      </c>
      <c r="B22" s="1051"/>
      <c r="C22" s="1052"/>
      <c r="D22" s="1053" t="s">
        <v>1059</v>
      </c>
      <c r="E22" s="1054"/>
      <c r="F22" s="1055"/>
      <c r="G22" s="1055">
        <f t="shared" si="0"/>
        <v>213061.77</v>
      </c>
      <c r="H22" s="1056"/>
      <c r="I22" s="1056"/>
      <c r="J22" s="1056"/>
      <c r="K22" s="1048"/>
      <c r="L22" s="1064"/>
      <c r="M22" s="1089"/>
      <c r="N22" s="1087"/>
      <c r="O22" s="1088"/>
      <c r="P22" s="1061"/>
      <c r="Q22" s="1088"/>
      <c r="R22" s="1062"/>
      <c r="S22" s="1062"/>
    </row>
    <row r="23" spans="1:19" s="1049" customFormat="1" ht="28.5" customHeight="1">
      <c r="A23" s="1057" t="s">
        <v>1036</v>
      </c>
      <c r="B23" s="1051"/>
      <c r="C23" s="1052"/>
      <c r="D23" s="1053" t="s">
        <v>1061</v>
      </c>
      <c r="E23" s="1054"/>
      <c r="F23" s="1055"/>
      <c r="G23" s="1055">
        <f t="shared" si="0"/>
        <v>67.92</v>
      </c>
      <c r="H23" s="1056"/>
      <c r="I23" s="1056"/>
      <c r="J23" s="1056"/>
      <c r="K23" s="1048"/>
      <c r="L23" s="1064"/>
      <c r="M23" s="1089"/>
      <c r="N23" s="1087"/>
      <c r="O23" s="1088"/>
      <c r="P23" s="1061"/>
      <c r="Q23" s="1088"/>
      <c r="R23" s="1062"/>
      <c r="S23" s="1062"/>
    </row>
    <row r="24" spans="1:19" s="1049" customFormat="1" ht="28.5" customHeight="1">
      <c r="A24" s="1059" t="s">
        <v>1066</v>
      </c>
      <c r="B24" s="1051"/>
      <c r="C24" s="1052"/>
      <c r="D24" s="1053" t="s">
        <v>1063</v>
      </c>
      <c r="E24" s="1054"/>
      <c r="F24" s="1055"/>
      <c r="G24" s="1055">
        <f t="shared" si="0"/>
        <v>41.73</v>
      </c>
      <c r="H24" s="1056"/>
      <c r="I24" s="1056"/>
      <c r="J24" s="1056"/>
      <c r="K24" s="1048"/>
      <c r="L24" s="1064"/>
      <c r="M24" s="1089"/>
      <c r="N24" s="1087"/>
      <c r="O24" s="1088"/>
      <c r="P24" s="1061"/>
      <c r="Q24" s="1088"/>
      <c r="R24" s="1062"/>
      <c r="S24" s="1062"/>
    </row>
    <row r="25" spans="1:19" s="1049" customFormat="1" ht="28.5" customHeight="1">
      <c r="A25" s="1057" t="s">
        <v>1037</v>
      </c>
      <c r="B25" s="1051"/>
      <c r="C25" s="1052"/>
      <c r="D25" s="1053" t="s">
        <v>1064</v>
      </c>
      <c r="E25" s="1054"/>
      <c r="F25" s="1055"/>
      <c r="G25" s="1055">
        <f t="shared" si="0"/>
        <v>2.0699999999999998</v>
      </c>
      <c r="H25" s="1056"/>
      <c r="I25" s="1056"/>
      <c r="J25" s="1056"/>
      <c r="K25" s="1048"/>
      <c r="L25" s="1064"/>
      <c r="M25" s="1089"/>
      <c r="N25" s="1087"/>
      <c r="O25" s="1088"/>
      <c r="P25" s="1061"/>
      <c r="Q25" s="1088"/>
      <c r="R25" s="1062"/>
      <c r="S25" s="1062"/>
    </row>
    <row r="26" spans="1:19" s="1049" customFormat="1" ht="28.5" customHeight="1">
      <c r="A26" s="1057" t="s">
        <v>1035</v>
      </c>
      <c r="B26" s="1051"/>
      <c r="C26" s="1052"/>
      <c r="D26" s="1053" t="s">
        <v>1060</v>
      </c>
      <c r="E26" s="1054"/>
      <c r="F26" s="1055">
        <f>G19</f>
        <v>27156.17</v>
      </c>
      <c r="G26" s="1055"/>
      <c r="H26" s="1056"/>
      <c r="I26" s="1056"/>
      <c r="J26" s="1056"/>
      <c r="K26" s="1048"/>
      <c r="L26" s="1064"/>
      <c r="M26" s="1089"/>
      <c r="N26" s="1087"/>
      <c r="O26" s="1088"/>
      <c r="P26" s="1061"/>
      <c r="Q26" s="1088"/>
      <c r="R26" s="1062"/>
      <c r="S26" s="1062"/>
    </row>
    <row r="27" spans="1:19" s="1049" customFormat="1" ht="28.5" customHeight="1">
      <c r="A27" s="1059" t="s">
        <v>1038</v>
      </c>
      <c r="B27" s="1051"/>
      <c r="C27" s="1052"/>
      <c r="D27" s="1053" t="s">
        <v>1067</v>
      </c>
      <c r="E27" s="1054"/>
      <c r="F27" s="1055">
        <v>15741.09</v>
      </c>
      <c r="G27" s="1055"/>
      <c r="H27" s="1056"/>
      <c r="I27" s="1056"/>
      <c r="J27" s="1056"/>
      <c r="K27" s="1048"/>
      <c r="L27" s="1162">
        <f>ROUND(Summary!N39,2)</f>
        <v>-19626.669999999998</v>
      </c>
      <c r="M27" s="1089"/>
      <c r="N27" s="1087"/>
      <c r="O27" s="1088"/>
      <c r="P27" s="1061"/>
      <c r="Q27" s="1088"/>
      <c r="R27" s="1062"/>
      <c r="S27" s="1062"/>
    </row>
    <row r="28" spans="1:19" s="1049" customFormat="1" ht="28.5" customHeight="1">
      <c r="A28" s="1059" t="s">
        <v>1040</v>
      </c>
      <c r="B28" s="1051"/>
      <c r="C28" s="1052"/>
      <c r="D28" s="1053" t="s">
        <v>1041</v>
      </c>
      <c r="E28" s="1054"/>
      <c r="F28" s="1055"/>
      <c r="G28" s="1055">
        <f>F27</f>
        <v>15741.09</v>
      </c>
      <c r="H28" s="1056"/>
      <c r="I28" s="1056"/>
      <c r="J28" s="1056"/>
      <c r="K28" s="1048"/>
      <c r="L28" s="1064"/>
      <c r="M28" s="1089"/>
      <c r="N28" s="1087"/>
      <c r="O28" s="1088"/>
      <c r="P28" s="1061"/>
      <c r="Q28" s="1088"/>
      <c r="R28" s="1062"/>
      <c r="S28" s="1062"/>
    </row>
    <row r="29" spans="1:19" s="1049" customFormat="1" ht="28.5" customHeight="1">
      <c r="A29" s="1059"/>
      <c r="B29" s="1051"/>
      <c r="C29" s="1052"/>
      <c r="D29" s="1053"/>
      <c r="E29" s="1054"/>
      <c r="F29" s="1055"/>
      <c r="G29" s="1055"/>
      <c r="H29" s="1056"/>
      <c r="I29" s="1056"/>
      <c r="J29" s="1056"/>
      <c r="K29" s="1048"/>
      <c r="L29" s="1064"/>
      <c r="M29" s="1064"/>
      <c r="N29" s="1064"/>
      <c r="O29" s="1064"/>
      <c r="P29" s="1064"/>
      <c r="Q29" s="1064"/>
      <c r="R29" s="1064"/>
      <c r="S29" s="1064"/>
    </row>
    <row r="30" spans="1:19" s="1049" customFormat="1" ht="28.5" customHeight="1">
      <c r="A30" s="1059"/>
      <c r="B30" s="1051"/>
      <c r="C30" s="1052"/>
      <c r="D30" s="1053"/>
      <c r="E30" s="1054"/>
      <c r="F30" s="1055"/>
      <c r="G30" s="1055"/>
      <c r="H30" s="1056"/>
      <c r="I30" s="1056"/>
      <c r="J30" s="1056"/>
      <c r="K30" s="1048"/>
    </row>
    <row r="31" spans="1:19" s="1049" customFormat="1" ht="28.5" customHeight="1">
      <c r="A31" s="1059"/>
      <c r="B31" s="1051"/>
      <c r="C31" s="1052"/>
      <c r="D31" s="1053"/>
      <c r="E31" s="1054"/>
      <c r="F31" s="1055"/>
      <c r="G31" s="1055"/>
      <c r="H31" s="1056"/>
      <c r="I31" s="1056"/>
      <c r="J31" s="1056"/>
      <c r="K31" s="1048"/>
    </row>
    <row r="32" spans="1:19" s="1049" customFormat="1" ht="28.5" customHeight="1">
      <c r="A32" s="1059"/>
      <c r="B32" s="1051"/>
      <c r="C32" s="1052"/>
      <c r="D32" s="1053"/>
      <c r="E32" s="1054"/>
      <c r="F32" s="1055"/>
      <c r="G32" s="1055"/>
      <c r="H32" s="1056"/>
      <c r="I32" s="1056"/>
      <c r="J32" s="1056"/>
      <c r="K32" s="1048"/>
    </row>
    <row r="33" spans="1:11" s="1049" customFormat="1" ht="28.5" customHeight="1">
      <c r="A33" s="1059"/>
      <c r="B33" s="1051"/>
      <c r="C33" s="1052"/>
      <c r="D33" s="1053"/>
      <c r="E33" s="1054"/>
      <c r="F33" s="1055"/>
      <c r="G33" s="1055"/>
      <c r="H33" s="1056"/>
      <c r="I33" s="1056"/>
      <c r="J33" s="1056"/>
      <c r="K33" s="1048"/>
    </row>
    <row r="34" spans="1:11" s="1049" customFormat="1" ht="28.5" customHeight="1">
      <c r="A34" s="1059"/>
      <c r="B34" s="1051"/>
      <c r="C34" s="1052"/>
      <c r="D34" s="1053"/>
      <c r="E34" s="1054"/>
      <c r="F34" s="1055"/>
      <c r="G34" s="1055"/>
      <c r="H34" s="1056"/>
      <c r="I34" s="1056"/>
      <c r="J34" s="1056"/>
      <c r="K34" s="1048"/>
    </row>
    <row r="35" spans="1:11" s="1049" customFormat="1" ht="28.5" customHeight="1">
      <c r="A35" s="1059"/>
      <c r="B35" s="1051"/>
      <c r="C35" s="1052"/>
      <c r="D35" s="1053"/>
      <c r="E35" s="1054"/>
      <c r="F35" s="1055"/>
      <c r="G35" s="1055"/>
      <c r="H35" s="1056"/>
      <c r="I35" s="1056"/>
      <c r="J35" s="1056"/>
      <c r="K35" s="1048"/>
    </row>
    <row r="36" spans="1:11" s="1049" customFormat="1" ht="28.5" customHeight="1">
      <c r="A36" s="1059"/>
      <c r="B36" s="1051"/>
      <c r="C36" s="1052"/>
      <c r="D36" s="1053"/>
      <c r="E36" s="1054"/>
      <c r="F36" s="1055"/>
      <c r="G36" s="1055"/>
      <c r="H36" s="1056"/>
      <c r="I36" s="1056"/>
      <c r="J36" s="1056"/>
      <c r="K36" s="1048"/>
    </row>
    <row r="37" spans="1:11" s="1049" customFormat="1" ht="28.5" customHeight="1">
      <c r="A37" s="1059"/>
      <c r="B37" s="1051"/>
      <c r="C37" s="1052"/>
      <c r="D37" s="1053"/>
      <c r="E37" s="1054"/>
      <c r="F37" s="1055"/>
      <c r="G37" s="1055"/>
      <c r="H37" s="1056"/>
      <c r="I37" s="1056"/>
      <c r="J37" s="1056"/>
      <c r="K37" s="1048"/>
    </row>
    <row r="38" spans="1:11" s="1064" customFormat="1" ht="15">
      <c r="A38" s="1060"/>
      <c r="B38" s="1060"/>
      <c r="C38" s="1060"/>
      <c r="D38" s="1061"/>
      <c r="E38" s="1060"/>
      <c r="F38" s="1062"/>
      <c r="G38" s="1062"/>
      <c r="H38" s="1060"/>
      <c r="I38" s="1060"/>
      <c r="J38" s="1060"/>
      <c r="K38" s="1063"/>
    </row>
    <row r="39" spans="1:11" s="1064" customFormat="1" ht="15.6">
      <c r="A39" s="1065" t="s">
        <v>1042</v>
      </c>
      <c r="B39" s="1066" t="s">
        <v>1043</v>
      </c>
      <c r="C39" s="1066"/>
      <c r="D39" s="1067"/>
      <c r="E39" s="1066" t="s">
        <v>1043</v>
      </c>
      <c r="F39" s="1068">
        <f>SUM(F13:F37)</f>
        <v>436338.77999999997</v>
      </c>
      <c r="G39" s="1068">
        <f>SUM(G13:G37)</f>
        <v>436338.77999999997</v>
      </c>
      <c r="H39" s="1060" t="s">
        <v>1044</v>
      </c>
      <c r="I39" s="1060"/>
      <c r="J39" s="1060"/>
      <c r="K39" s="1063"/>
    </row>
    <row r="40" spans="1:11" s="1049" customFormat="1" ht="15">
      <c r="A40" s="1060"/>
      <c r="B40" s="1056"/>
      <c r="C40" s="1056"/>
      <c r="D40" s="1060"/>
      <c r="E40" s="1056"/>
      <c r="F40" s="1056"/>
      <c r="G40" s="1056"/>
      <c r="H40" s="1056"/>
      <c r="I40" s="1056"/>
      <c r="J40" s="1056"/>
      <c r="K40" s="1048"/>
    </row>
    <row r="41" spans="1:11" s="1049" customFormat="1" ht="15">
      <c r="A41" s="1060"/>
      <c r="B41" s="1056"/>
      <c r="C41" s="1056"/>
      <c r="D41" s="1069"/>
      <c r="E41" s="1056"/>
      <c r="F41" s="1070">
        <f>F39-G39</f>
        <v>0</v>
      </c>
      <c r="G41" s="1056"/>
      <c r="H41" s="1056"/>
      <c r="I41" s="1056"/>
      <c r="J41" s="1056"/>
      <c r="K41" s="1048"/>
    </row>
    <row r="42" spans="1:11" s="1049" customFormat="1" ht="23.4">
      <c r="A42" s="1071" t="s">
        <v>1045</v>
      </c>
      <c r="B42" s="1072" t="s">
        <v>1046</v>
      </c>
      <c r="C42" s="1073"/>
      <c r="D42" s="1074" t="s">
        <v>1047</v>
      </c>
      <c r="E42" s="1075"/>
      <c r="F42" s="1076" t="s">
        <v>1048</v>
      </c>
      <c r="G42" s="1077">
        <f ca="1">NOW()</f>
        <v>43272.699841550922</v>
      </c>
      <c r="H42" s="1075"/>
      <c r="I42" s="1075"/>
      <c r="J42" s="1075"/>
      <c r="K42" s="1048" t="s">
        <v>1043</v>
      </c>
    </row>
    <row r="43" spans="1:11" s="1049" customFormat="1" ht="15.6">
      <c r="A43" s="1078"/>
      <c r="B43" s="1060"/>
      <c r="C43" s="1060"/>
      <c r="D43" s="1047"/>
      <c r="E43" s="1056"/>
      <c r="F43" s="1079"/>
      <c r="G43" s="1056"/>
      <c r="H43" s="1056"/>
      <c r="I43" s="1056"/>
      <c r="J43" s="1056"/>
      <c r="K43" s="1048"/>
    </row>
    <row r="44" spans="1:11" s="1049" customFormat="1" ht="15.6">
      <c r="A44" s="1071" t="s">
        <v>1049</v>
      </c>
      <c r="B44" s="1180" t="s">
        <v>1050</v>
      </c>
      <c r="C44" s="1180"/>
      <c r="D44" s="1080"/>
      <c r="E44" s="1075"/>
      <c r="F44" s="1076" t="s">
        <v>1048</v>
      </c>
      <c r="G44" s="1077">
        <f ca="1">G42</f>
        <v>43272.699841550922</v>
      </c>
      <c r="H44" s="1075"/>
      <c r="I44" s="1075"/>
      <c r="J44" s="1075"/>
      <c r="K44" s="1048"/>
    </row>
    <row r="45" spans="1:11" s="1049" customFormat="1" ht="15">
      <c r="A45" s="1064"/>
      <c r="F45" s="1081"/>
      <c r="K45" s="1048"/>
    </row>
    <row r="46" spans="1:11" s="1049" customFormat="1" ht="23.4">
      <c r="A46" s="1071" t="s">
        <v>1051</v>
      </c>
      <c r="B46" s="1072" t="s">
        <v>1046</v>
      </c>
      <c r="C46" s="1073"/>
      <c r="D46" s="1082" t="s">
        <v>1047</v>
      </c>
      <c r="E46" s="1083"/>
      <c r="F46" s="1076" t="s">
        <v>1048</v>
      </c>
      <c r="G46" s="1077">
        <f ca="1">G42</f>
        <v>43272.699841550922</v>
      </c>
      <c r="H46" s="1083"/>
      <c r="I46" s="1083"/>
      <c r="J46" s="1083"/>
      <c r="K46" s="1048"/>
    </row>
    <row r="47" spans="1:11" s="1049" customFormat="1" ht="15">
      <c r="A47" s="1064"/>
      <c r="K47" s="1048"/>
    </row>
    <row r="48" spans="1:11" s="1049" customFormat="1" ht="15.6">
      <c r="A48" s="1071" t="s">
        <v>1052</v>
      </c>
      <c r="B48" s="1174"/>
      <c r="C48" s="1174"/>
      <c r="D48" s="1083"/>
      <c r="E48" s="1083"/>
      <c r="F48" s="1076" t="s">
        <v>1048</v>
      </c>
      <c r="G48" s="1083"/>
      <c r="H48" s="1083"/>
      <c r="I48" s="1083"/>
      <c r="J48" s="1083"/>
      <c r="K48" s="1048"/>
    </row>
    <row r="49" spans="1:11" s="1049" customFormat="1" ht="15">
      <c r="A49" s="1064"/>
      <c r="K49" s="1048"/>
    </row>
    <row r="50" spans="1:11" s="1049" customFormat="1" ht="15">
      <c r="A50" s="1064"/>
      <c r="G50" s="1048"/>
      <c r="K50" s="1048"/>
    </row>
    <row r="51" spans="1:11" s="1049" customFormat="1" ht="15">
      <c r="A51" s="1064"/>
      <c r="I51" s="1048"/>
    </row>
    <row r="52" spans="1:11" s="1049" customFormat="1" ht="15">
      <c r="A52" s="1064"/>
      <c r="I52" s="1048"/>
    </row>
    <row r="53" spans="1:11" s="1049" customFormat="1" ht="15">
      <c r="A53" s="1064"/>
      <c r="I53" s="1048"/>
    </row>
    <row r="54" spans="1:11" s="1049" customFormat="1" ht="15">
      <c r="A54" s="1064"/>
      <c r="I54" s="1048"/>
    </row>
    <row r="55" spans="1:11" s="1049" customFormat="1" ht="15">
      <c r="A55" s="1064"/>
      <c r="I55" s="1048"/>
    </row>
    <row r="56" spans="1:11" s="1049" customFormat="1" ht="15">
      <c r="A56" s="1064"/>
      <c r="D56" s="1049" t="s">
        <v>1053</v>
      </c>
      <c r="I56" s="1048"/>
    </row>
    <row r="57" spans="1:11" s="1049" customFormat="1" ht="15">
      <c r="A57" s="1064"/>
      <c r="I57" s="1048"/>
    </row>
    <row r="58" spans="1:11" s="1049" customFormat="1" ht="15">
      <c r="A58" s="1064"/>
      <c r="I58" s="1048"/>
    </row>
    <row r="59" spans="1:11" s="1049" customFormat="1" ht="15">
      <c r="A59" s="1064"/>
      <c r="I59" s="1048"/>
    </row>
    <row r="60" spans="1:11" s="1049" customFormat="1" ht="15">
      <c r="A60" s="1064"/>
      <c r="G60" s="1048"/>
      <c r="K60" s="1048"/>
    </row>
    <row r="61" spans="1:11" s="1049" customFormat="1" ht="15">
      <c r="A61" s="1064"/>
      <c r="G61" s="1048"/>
      <c r="K61" s="1048"/>
    </row>
    <row r="62" spans="1:11" s="1049" customFormat="1" ht="15">
      <c r="A62" s="1064"/>
      <c r="G62" s="1048"/>
      <c r="K62" s="1048"/>
    </row>
    <row r="63" spans="1:11" s="1049" customFormat="1" ht="15">
      <c r="A63" s="1064"/>
      <c r="G63" s="1048"/>
      <c r="K63" s="1048"/>
    </row>
    <row r="64" spans="1:11" s="1049" customFormat="1" ht="15">
      <c r="A64" s="1064"/>
      <c r="G64" s="1048"/>
      <c r="K64" s="1048"/>
    </row>
    <row r="65" spans="1:11" s="1049" customFormat="1" ht="15">
      <c r="A65" s="1064"/>
      <c r="G65" s="1048"/>
      <c r="K65" s="1048"/>
    </row>
    <row r="66" spans="1:11" s="1049" customFormat="1" ht="15">
      <c r="A66" s="1064"/>
      <c r="G66" s="1048"/>
      <c r="K66" s="1048"/>
    </row>
    <row r="67" spans="1:11" s="1049" customFormat="1" ht="15">
      <c r="A67" s="1064"/>
      <c r="G67" s="1048"/>
      <c r="K67" s="1048"/>
    </row>
    <row r="68" spans="1:11" s="1049" customFormat="1" ht="15">
      <c r="A68" s="1064"/>
      <c r="G68" s="1048"/>
      <c r="K68" s="1048"/>
    </row>
    <row r="69" spans="1:11" s="1049" customFormat="1" ht="15">
      <c r="G69" s="1048"/>
      <c r="K69" s="1048"/>
    </row>
    <row r="70" spans="1:11" s="1049" customFormat="1" ht="15">
      <c r="G70" s="1048"/>
      <c r="K70" s="1048"/>
    </row>
    <row r="75" spans="1:11" ht="13.2">
      <c r="K75" s="1084"/>
    </row>
  </sheetData>
  <mergeCells count="6">
    <mergeCell ref="B48:C48"/>
    <mergeCell ref="A1:J1"/>
    <mergeCell ref="A2:J2"/>
    <mergeCell ref="F7:G7"/>
    <mergeCell ref="B9:C9"/>
    <mergeCell ref="B44:C44"/>
  </mergeCells>
  <pageMargins left="0.7" right="0.7" top="0.75" bottom="0.75" header="0.3" footer="0.3"/>
  <pageSetup scale="59" orientation="portrait" r:id="rId1"/>
  <headerFooter>
    <oddFooter>&amp;R&amp;Z&amp;F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opLeftCell="A14" workbookViewId="0">
      <selection activeCell="F25" sqref="F25"/>
    </sheetView>
  </sheetViews>
  <sheetFormatPr defaultRowHeight="14.4"/>
  <cols>
    <col min="1" max="1" width="21.109375" style="1084" customWidth="1"/>
    <col min="2" max="2" width="17.33203125" style="1084" customWidth="1"/>
    <col min="3" max="3" width="4.44140625" style="1084" customWidth="1"/>
    <col min="4" max="4" width="44" style="1084" customWidth="1"/>
    <col min="5" max="5" width="5.109375" style="1084" bestFit="1" customWidth="1"/>
    <col min="6" max="6" width="23.88671875" style="1084" customWidth="1"/>
    <col min="7" max="7" width="18.6640625" style="1084" customWidth="1"/>
    <col min="8" max="9" width="0.109375" style="1084" hidden="1" customWidth="1"/>
    <col min="10" max="10" width="9.109375" style="1084" hidden="1" customWidth="1"/>
    <col min="11" max="11" width="18.6640625" style="1085" customWidth="1"/>
    <col min="12" max="12" width="19.109375" style="1084" customWidth="1"/>
    <col min="13" max="15" width="9.109375" style="1084"/>
    <col min="16" max="16" width="17" style="1084" customWidth="1"/>
    <col min="17" max="256" width="9.109375" style="1084"/>
    <col min="257" max="257" width="23.109375" style="1084" customWidth="1"/>
    <col min="258" max="258" width="17.6640625" style="1084" customWidth="1"/>
    <col min="259" max="259" width="4.44140625" style="1084" customWidth="1"/>
    <col min="260" max="260" width="44" style="1084" customWidth="1"/>
    <col min="261" max="261" width="6.33203125" style="1084" customWidth="1"/>
    <col min="262" max="263" width="21.109375" style="1084" customWidth="1"/>
    <col min="264" max="266" width="0" style="1084" hidden="1" customWidth="1"/>
    <col min="267" max="267" width="18.6640625" style="1084" customWidth="1"/>
    <col min="268" max="268" width="9.33203125" style="1084" customWidth="1"/>
    <col min="269" max="512" width="9.109375" style="1084"/>
    <col min="513" max="513" width="23.109375" style="1084" customWidth="1"/>
    <col min="514" max="514" width="17.6640625" style="1084" customWidth="1"/>
    <col min="515" max="515" width="4.44140625" style="1084" customWidth="1"/>
    <col min="516" max="516" width="44" style="1084" customWidth="1"/>
    <col min="517" max="517" width="6.33203125" style="1084" customWidth="1"/>
    <col min="518" max="519" width="21.109375" style="1084" customWidth="1"/>
    <col min="520" max="522" width="0" style="1084" hidden="1" customWidth="1"/>
    <col min="523" max="523" width="18.6640625" style="1084" customWidth="1"/>
    <col min="524" max="524" width="9.33203125" style="1084" customWidth="1"/>
    <col min="525" max="768" width="9.109375" style="1084"/>
    <col min="769" max="769" width="23.109375" style="1084" customWidth="1"/>
    <col min="770" max="770" width="17.6640625" style="1084" customWidth="1"/>
    <col min="771" max="771" width="4.44140625" style="1084" customWidth="1"/>
    <col min="772" max="772" width="44" style="1084" customWidth="1"/>
    <col min="773" max="773" width="6.33203125" style="1084" customWidth="1"/>
    <col min="774" max="775" width="21.109375" style="1084" customWidth="1"/>
    <col min="776" max="778" width="0" style="1084" hidden="1" customWidth="1"/>
    <col min="779" max="779" width="18.6640625" style="1084" customWidth="1"/>
    <col min="780" max="780" width="9.33203125" style="1084" customWidth="1"/>
    <col min="781" max="1024" width="9.109375" style="1084"/>
    <col min="1025" max="1025" width="23.109375" style="1084" customWidth="1"/>
    <col min="1026" max="1026" width="17.6640625" style="1084" customWidth="1"/>
    <col min="1027" max="1027" width="4.44140625" style="1084" customWidth="1"/>
    <col min="1028" max="1028" width="44" style="1084" customWidth="1"/>
    <col min="1029" max="1029" width="6.33203125" style="1084" customWidth="1"/>
    <col min="1030" max="1031" width="21.109375" style="1084" customWidth="1"/>
    <col min="1032" max="1034" width="0" style="1084" hidden="1" customWidth="1"/>
    <col min="1035" max="1035" width="18.6640625" style="1084" customWidth="1"/>
    <col min="1036" max="1036" width="9.33203125" style="1084" customWidth="1"/>
    <col min="1037" max="1280" width="9.109375" style="1084"/>
    <col min="1281" max="1281" width="23.109375" style="1084" customWidth="1"/>
    <col min="1282" max="1282" width="17.6640625" style="1084" customWidth="1"/>
    <col min="1283" max="1283" width="4.44140625" style="1084" customWidth="1"/>
    <col min="1284" max="1284" width="44" style="1084" customWidth="1"/>
    <col min="1285" max="1285" width="6.33203125" style="1084" customWidth="1"/>
    <col min="1286" max="1287" width="21.109375" style="1084" customWidth="1"/>
    <col min="1288" max="1290" width="0" style="1084" hidden="1" customWidth="1"/>
    <col min="1291" max="1291" width="18.6640625" style="1084" customWidth="1"/>
    <col min="1292" max="1292" width="9.33203125" style="1084" customWidth="1"/>
    <col min="1293" max="1536" width="9.109375" style="1084"/>
    <col min="1537" max="1537" width="23.109375" style="1084" customWidth="1"/>
    <col min="1538" max="1538" width="17.6640625" style="1084" customWidth="1"/>
    <col min="1539" max="1539" width="4.44140625" style="1084" customWidth="1"/>
    <col min="1540" max="1540" width="44" style="1084" customWidth="1"/>
    <col min="1541" max="1541" width="6.33203125" style="1084" customWidth="1"/>
    <col min="1542" max="1543" width="21.109375" style="1084" customWidth="1"/>
    <col min="1544" max="1546" width="0" style="1084" hidden="1" customWidth="1"/>
    <col min="1547" max="1547" width="18.6640625" style="1084" customWidth="1"/>
    <col min="1548" max="1548" width="9.33203125" style="1084" customWidth="1"/>
    <col min="1549" max="1792" width="9.109375" style="1084"/>
    <col min="1793" max="1793" width="23.109375" style="1084" customWidth="1"/>
    <col min="1794" max="1794" width="17.6640625" style="1084" customWidth="1"/>
    <col min="1795" max="1795" width="4.44140625" style="1084" customWidth="1"/>
    <col min="1796" max="1796" width="44" style="1084" customWidth="1"/>
    <col min="1797" max="1797" width="6.33203125" style="1084" customWidth="1"/>
    <col min="1798" max="1799" width="21.109375" style="1084" customWidth="1"/>
    <col min="1800" max="1802" width="0" style="1084" hidden="1" customWidth="1"/>
    <col min="1803" max="1803" width="18.6640625" style="1084" customWidth="1"/>
    <col min="1804" max="1804" width="9.33203125" style="1084" customWidth="1"/>
    <col min="1805" max="2048" width="9.109375" style="1084"/>
    <col min="2049" max="2049" width="23.109375" style="1084" customWidth="1"/>
    <col min="2050" max="2050" width="17.6640625" style="1084" customWidth="1"/>
    <col min="2051" max="2051" width="4.44140625" style="1084" customWidth="1"/>
    <col min="2052" max="2052" width="44" style="1084" customWidth="1"/>
    <col min="2053" max="2053" width="6.33203125" style="1084" customWidth="1"/>
    <col min="2054" max="2055" width="21.109375" style="1084" customWidth="1"/>
    <col min="2056" max="2058" width="0" style="1084" hidden="1" customWidth="1"/>
    <col min="2059" max="2059" width="18.6640625" style="1084" customWidth="1"/>
    <col min="2060" max="2060" width="9.33203125" style="1084" customWidth="1"/>
    <col min="2061" max="2304" width="9.109375" style="1084"/>
    <col min="2305" max="2305" width="23.109375" style="1084" customWidth="1"/>
    <col min="2306" max="2306" width="17.6640625" style="1084" customWidth="1"/>
    <col min="2307" max="2307" width="4.44140625" style="1084" customWidth="1"/>
    <col min="2308" max="2308" width="44" style="1084" customWidth="1"/>
    <col min="2309" max="2309" width="6.33203125" style="1084" customWidth="1"/>
    <col min="2310" max="2311" width="21.109375" style="1084" customWidth="1"/>
    <col min="2312" max="2314" width="0" style="1084" hidden="1" customWidth="1"/>
    <col min="2315" max="2315" width="18.6640625" style="1084" customWidth="1"/>
    <col min="2316" max="2316" width="9.33203125" style="1084" customWidth="1"/>
    <col min="2317" max="2560" width="9.109375" style="1084"/>
    <col min="2561" max="2561" width="23.109375" style="1084" customWidth="1"/>
    <col min="2562" max="2562" width="17.6640625" style="1084" customWidth="1"/>
    <col min="2563" max="2563" width="4.44140625" style="1084" customWidth="1"/>
    <col min="2564" max="2564" width="44" style="1084" customWidth="1"/>
    <col min="2565" max="2565" width="6.33203125" style="1084" customWidth="1"/>
    <col min="2566" max="2567" width="21.109375" style="1084" customWidth="1"/>
    <col min="2568" max="2570" width="0" style="1084" hidden="1" customWidth="1"/>
    <col min="2571" max="2571" width="18.6640625" style="1084" customWidth="1"/>
    <col min="2572" max="2572" width="9.33203125" style="1084" customWidth="1"/>
    <col min="2573" max="2816" width="9.109375" style="1084"/>
    <col min="2817" max="2817" width="23.109375" style="1084" customWidth="1"/>
    <col min="2818" max="2818" width="17.6640625" style="1084" customWidth="1"/>
    <col min="2819" max="2819" width="4.44140625" style="1084" customWidth="1"/>
    <col min="2820" max="2820" width="44" style="1084" customWidth="1"/>
    <col min="2821" max="2821" width="6.33203125" style="1084" customWidth="1"/>
    <col min="2822" max="2823" width="21.109375" style="1084" customWidth="1"/>
    <col min="2824" max="2826" width="0" style="1084" hidden="1" customWidth="1"/>
    <col min="2827" max="2827" width="18.6640625" style="1084" customWidth="1"/>
    <col min="2828" max="2828" width="9.33203125" style="1084" customWidth="1"/>
    <col min="2829" max="3072" width="9.109375" style="1084"/>
    <col min="3073" max="3073" width="23.109375" style="1084" customWidth="1"/>
    <col min="3074" max="3074" width="17.6640625" style="1084" customWidth="1"/>
    <col min="3075" max="3075" width="4.44140625" style="1084" customWidth="1"/>
    <col min="3076" max="3076" width="44" style="1084" customWidth="1"/>
    <col min="3077" max="3077" width="6.33203125" style="1084" customWidth="1"/>
    <col min="3078" max="3079" width="21.109375" style="1084" customWidth="1"/>
    <col min="3080" max="3082" width="0" style="1084" hidden="1" customWidth="1"/>
    <col min="3083" max="3083" width="18.6640625" style="1084" customWidth="1"/>
    <col min="3084" max="3084" width="9.33203125" style="1084" customWidth="1"/>
    <col min="3085" max="3328" width="9.109375" style="1084"/>
    <col min="3329" max="3329" width="23.109375" style="1084" customWidth="1"/>
    <col min="3330" max="3330" width="17.6640625" style="1084" customWidth="1"/>
    <col min="3331" max="3331" width="4.44140625" style="1084" customWidth="1"/>
    <col min="3332" max="3332" width="44" style="1084" customWidth="1"/>
    <col min="3333" max="3333" width="6.33203125" style="1084" customWidth="1"/>
    <col min="3334" max="3335" width="21.109375" style="1084" customWidth="1"/>
    <col min="3336" max="3338" width="0" style="1084" hidden="1" customWidth="1"/>
    <col min="3339" max="3339" width="18.6640625" style="1084" customWidth="1"/>
    <col min="3340" max="3340" width="9.33203125" style="1084" customWidth="1"/>
    <col min="3341" max="3584" width="9.109375" style="1084"/>
    <col min="3585" max="3585" width="23.109375" style="1084" customWidth="1"/>
    <col min="3586" max="3586" width="17.6640625" style="1084" customWidth="1"/>
    <col min="3587" max="3587" width="4.44140625" style="1084" customWidth="1"/>
    <col min="3588" max="3588" width="44" style="1084" customWidth="1"/>
    <col min="3589" max="3589" width="6.33203125" style="1084" customWidth="1"/>
    <col min="3590" max="3591" width="21.109375" style="1084" customWidth="1"/>
    <col min="3592" max="3594" width="0" style="1084" hidden="1" customWidth="1"/>
    <col min="3595" max="3595" width="18.6640625" style="1084" customWidth="1"/>
    <col min="3596" max="3596" width="9.33203125" style="1084" customWidth="1"/>
    <col min="3597" max="3840" width="9.109375" style="1084"/>
    <col min="3841" max="3841" width="23.109375" style="1084" customWidth="1"/>
    <col min="3842" max="3842" width="17.6640625" style="1084" customWidth="1"/>
    <col min="3843" max="3843" width="4.44140625" style="1084" customWidth="1"/>
    <col min="3844" max="3844" width="44" style="1084" customWidth="1"/>
    <col min="3845" max="3845" width="6.33203125" style="1084" customWidth="1"/>
    <col min="3846" max="3847" width="21.109375" style="1084" customWidth="1"/>
    <col min="3848" max="3850" width="0" style="1084" hidden="1" customWidth="1"/>
    <col min="3851" max="3851" width="18.6640625" style="1084" customWidth="1"/>
    <col min="3852" max="3852" width="9.33203125" style="1084" customWidth="1"/>
    <col min="3853" max="4096" width="9.109375" style="1084"/>
    <col min="4097" max="4097" width="23.109375" style="1084" customWidth="1"/>
    <col min="4098" max="4098" width="17.6640625" style="1084" customWidth="1"/>
    <col min="4099" max="4099" width="4.44140625" style="1084" customWidth="1"/>
    <col min="4100" max="4100" width="44" style="1084" customWidth="1"/>
    <col min="4101" max="4101" width="6.33203125" style="1084" customWidth="1"/>
    <col min="4102" max="4103" width="21.109375" style="1084" customWidth="1"/>
    <col min="4104" max="4106" width="0" style="1084" hidden="1" customWidth="1"/>
    <col min="4107" max="4107" width="18.6640625" style="1084" customWidth="1"/>
    <col min="4108" max="4108" width="9.33203125" style="1084" customWidth="1"/>
    <col min="4109" max="4352" width="9.109375" style="1084"/>
    <col min="4353" max="4353" width="23.109375" style="1084" customWidth="1"/>
    <col min="4354" max="4354" width="17.6640625" style="1084" customWidth="1"/>
    <col min="4355" max="4355" width="4.44140625" style="1084" customWidth="1"/>
    <col min="4356" max="4356" width="44" style="1084" customWidth="1"/>
    <col min="4357" max="4357" width="6.33203125" style="1084" customWidth="1"/>
    <col min="4358" max="4359" width="21.109375" style="1084" customWidth="1"/>
    <col min="4360" max="4362" width="0" style="1084" hidden="1" customWidth="1"/>
    <col min="4363" max="4363" width="18.6640625" style="1084" customWidth="1"/>
    <col min="4364" max="4364" width="9.33203125" style="1084" customWidth="1"/>
    <col min="4365" max="4608" width="9.109375" style="1084"/>
    <col min="4609" max="4609" width="23.109375" style="1084" customWidth="1"/>
    <col min="4610" max="4610" width="17.6640625" style="1084" customWidth="1"/>
    <col min="4611" max="4611" width="4.44140625" style="1084" customWidth="1"/>
    <col min="4612" max="4612" width="44" style="1084" customWidth="1"/>
    <col min="4613" max="4613" width="6.33203125" style="1084" customWidth="1"/>
    <col min="4614" max="4615" width="21.109375" style="1084" customWidth="1"/>
    <col min="4616" max="4618" width="0" style="1084" hidden="1" customWidth="1"/>
    <col min="4619" max="4619" width="18.6640625" style="1084" customWidth="1"/>
    <col min="4620" max="4620" width="9.33203125" style="1084" customWidth="1"/>
    <col min="4621" max="4864" width="9.109375" style="1084"/>
    <col min="4865" max="4865" width="23.109375" style="1084" customWidth="1"/>
    <col min="4866" max="4866" width="17.6640625" style="1084" customWidth="1"/>
    <col min="4867" max="4867" width="4.44140625" style="1084" customWidth="1"/>
    <col min="4868" max="4868" width="44" style="1084" customWidth="1"/>
    <col min="4869" max="4869" width="6.33203125" style="1084" customWidth="1"/>
    <col min="4870" max="4871" width="21.109375" style="1084" customWidth="1"/>
    <col min="4872" max="4874" width="0" style="1084" hidden="1" customWidth="1"/>
    <col min="4875" max="4875" width="18.6640625" style="1084" customWidth="1"/>
    <col min="4876" max="4876" width="9.33203125" style="1084" customWidth="1"/>
    <col min="4877" max="5120" width="9.109375" style="1084"/>
    <col min="5121" max="5121" width="23.109375" style="1084" customWidth="1"/>
    <col min="5122" max="5122" width="17.6640625" style="1084" customWidth="1"/>
    <col min="5123" max="5123" width="4.44140625" style="1084" customWidth="1"/>
    <col min="5124" max="5124" width="44" style="1084" customWidth="1"/>
    <col min="5125" max="5125" width="6.33203125" style="1084" customWidth="1"/>
    <col min="5126" max="5127" width="21.109375" style="1084" customWidth="1"/>
    <col min="5128" max="5130" width="0" style="1084" hidden="1" customWidth="1"/>
    <col min="5131" max="5131" width="18.6640625" style="1084" customWidth="1"/>
    <col min="5132" max="5132" width="9.33203125" style="1084" customWidth="1"/>
    <col min="5133" max="5376" width="9.109375" style="1084"/>
    <col min="5377" max="5377" width="23.109375" style="1084" customWidth="1"/>
    <col min="5378" max="5378" width="17.6640625" style="1084" customWidth="1"/>
    <col min="5379" max="5379" width="4.44140625" style="1084" customWidth="1"/>
    <col min="5380" max="5380" width="44" style="1084" customWidth="1"/>
    <col min="5381" max="5381" width="6.33203125" style="1084" customWidth="1"/>
    <col min="5382" max="5383" width="21.109375" style="1084" customWidth="1"/>
    <col min="5384" max="5386" width="0" style="1084" hidden="1" customWidth="1"/>
    <col min="5387" max="5387" width="18.6640625" style="1084" customWidth="1"/>
    <col min="5388" max="5388" width="9.33203125" style="1084" customWidth="1"/>
    <col min="5389" max="5632" width="9.109375" style="1084"/>
    <col min="5633" max="5633" width="23.109375" style="1084" customWidth="1"/>
    <col min="5634" max="5634" width="17.6640625" style="1084" customWidth="1"/>
    <col min="5635" max="5635" width="4.44140625" style="1084" customWidth="1"/>
    <col min="5636" max="5636" width="44" style="1084" customWidth="1"/>
    <col min="5637" max="5637" width="6.33203125" style="1084" customWidth="1"/>
    <col min="5638" max="5639" width="21.109375" style="1084" customWidth="1"/>
    <col min="5640" max="5642" width="0" style="1084" hidden="1" customWidth="1"/>
    <col min="5643" max="5643" width="18.6640625" style="1084" customWidth="1"/>
    <col min="5644" max="5644" width="9.33203125" style="1084" customWidth="1"/>
    <col min="5645" max="5888" width="9.109375" style="1084"/>
    <col min="5889" max="5889" width="23.109375" style="1084" customWidth="1"/>
    <col min="5890" max="5890" width="17.6640625" style="1084" customWidth="1"/>
    <col min="5891" max="5891" width="4.44140625" style="1084" customWidth="1"/>
    <col min="5892" max="5892" width="44" style="1084" customWidth="1"/>
    <col min="5893" max="5893" width="6.33203125" style="1084" customWidth="1"/>
    <col min="5894" max="5895" width="21.109375" style="1084" customWidth="1"/>
    <col min="5896" max="5898" width="0" style="1084" hidden="1" customWidth="1"/>
    <col min="5899" max="5899" width="18.6640625" style="1084" customWidth="1"/>
    <col min="5900" max="5900" width="9.33203125" style="1084" customWidth="1"/>
    <col min="5901" max="6144" width="9.109375" style="1084"/>
    <col min="6145" max="6145" width="23.109375" style="1084" customWidth="1"/>
    <col min="6146" max="6146" width="17.6640625" style="1084" customWidth="1"/>
    <col min="6147" max="6147" width="4.44140625" style="1084" customWidth="1"/>
    <col min="6148" max="6148" width="44" style="1084" customWidth="1"/>
    <col min="6149" max="6149" width="6.33203125" style="1084" customWidth="1"/>
    <col min="6150" max="6151" width="21.109375" style="1084" customWidth="1"/>
    <col min="6152" max="6154" width="0" style="1084" hidden="1" customWidth="1"/>
    <col min="6155" max="6155" width="18.6640625" style="1084" customWidth="1"/>
    <col min="6156" max="6156" width="9.33203125" style="1084" customWidth="1"/>
    <col min="6157" max="6400" width="9.109375" style="1084"/>
    <col min="6401" max="6401" width="23.109375" style="1084" customWidth="1"/>
    <col min="6402" max="6402" width="17.6640625" style="1084" customWidth="1"/>
    <col min="6403" max="6403" width="4.44140625" style="1084" customWidth="1"/>
    <col min="6404" max="6404" width="44" style="1084" customWidth="1"/>
    <col min="6405" max="6405" width="6.33203125" style="1084" customWidth="1"/>
    <col min="6406" max="6407" width="21.109375" style="1084" customWidth="1"/>
    <col min="6408" max="6410" width="0" style="1084" hidden="1" customWidth="1"/>
    <col min="6411" max="6411" width="18.6640625" style="1084" customWidth="1"/>
    <col min="6412" max="6412" width="9.33203125" style="1084" customWidth="1"/>
    <col min="6413" max="6656" width="9.109375" style="1084"/>
    <col min="6657" max="6657" width="23.109375" style="1084" customWidth="1"/>
    <col min="6658" max="6658" width="17.6640625" style="1084" customWidth="1"/>
    <col min="6659" max="6659" width="4.44140625" style="1084" customWidth="1"/>
    <col min="6660" max="6660" width="44" style="1084" customWidth="1"/>
    <col min="6661" max="6661" width="6.33203125" style="1084" customWidth="1"/>
    <col min="6662" max="6663" width="21.109375" style="1084" customWidth="1"/>
    <col min="6664" max="6666" width="0" style="1084" hidden="1" customWidth="1"/>
    <col min="6667" max="6667" width="18.6640625" style="1084" customWidth="1"/>
    <col min="6668" max="6668" width="9.33203125" style="1084" customWidth="1"/>
    <col min="6669" max="6912" width="9.109375" style="1084"/>
    <col min="6913" max="6913" width="23.109375" style="1084" customWidth="1"/>
    <col min="6914" max="6914" width="17.6640625" style="1084" customWidth="1"/>
    <col min="6915" max="6915" width="4.44140625" style="1084" customWidth="1"/>
    <col min="6916" max="6916" width="44" style="1084" customWidth="1"/>
    <col min="6917" max="6917" width="6.33203125" style="1084" customWidth="1"/>
    <col min="6918" max="6919" width="21.109375" style="1084" customWidth="1"/>
    <col min="6920" max="6922" width="0" style="1084" hidden="1" customWidth="1"/>
    <col min="6923" max="6923" width="18.6640625" style="1084" customWidth="1"/>
    <col min="6924" max="6924" width="9.33203125" style="1084" customWidth="1"/>
    <col min="6925" max="7168" width="9.109375" style="1084"/>
    <col min="7169" max="7169" width="23.109375" style="1084" customWidth="1"/>
    <col min="7170" max="7170" width="17.6640625" style="1084" customWidth="1"/>
    <col min="7171" max="7171" width="4.44140625" style="1084" customWidth="1"/>
    <col min="7172" max="7172" width="44" style="1084" customWidth="1"/>
    <col min="7173" max="7173" width="6.33203125" style="1084" customWidth="1"/>
    <col min="7174" max="7175" width="21.109375" style="1084" customWidth="1"/>
    <col min="7176" max="7178" width="0" style="1084" hidden="1" customWidth="1"/>
    <col min="7179" max="7179" width="18.6640625" style="1084" customWidth="1"/>
    <col min="7180" max="7180" width="9.33203125" style="1084" customWidth="1"/>
    <col min="7181" max="7424" width="9.109375" style="1084"/>
    <col min="7425" max="7425" width="23.109375" style="1084" customWidth="1"/>
    <col min="7426" max="7426" width="17.6640625" style="1084" customWidth="1"/>
    <col min="7427" max="7427" width="4.44140625" style="1084" customWidth="1"/>
    <col min="7428" max="7428" width="44" style="1084" customWidth="1"/>
    <col min="7429" max="7429" width="6.33203125" style="1084" customWidth="1"/>
    <col min="7430" max="7431" width="21.109375" style="1084" customWidth="1"/>
    <col min="7432" max="7434" width="0" style="1084" hidden="1" customWidth="1"/>
    <col min="7435" max="7435" width="18.6640625" style="1084" customWidth="1"/>
    <col min="7436" max="7436" width="9.33203125" style="1084" customWidth="1"/>
    <col min="7437" max="7680" width="9.109375" style="1084"/>
    <col min="7681" max="7681" width="23.109375" style="1084" customWidth="1"/>
    <col min="7682" max="7682" width="17.6640625" style="1084" customWidth="1"/>
    <col min="7683" max="7683" width="4.44140625" style="1084" customWidth="1"/>
    <col min="7684" max="7684" width="44" style="1084" customWidth="1"/>
    <col min="7685" max="7685" width="6.33203125" style="1084" customWidth="1"/>
    <col min="7686" max="7687" width="21.109375" style="1084" customWidth="1"/>
    <col min="7688" max="7690" width="0" style="1084" hidden="1" customWidth="1"/>
    <col min="7691" max="7691" width="18.6640625" style="1084" customWidth="1"/>
    <col min="7692" max="7692" width="9.33203125" style="1084" customWidth="1"/>
    <col min="7693" max="7936" width="9.109375" style="1084"/>
    <col min="7937" max="7937" width="23.109375" style="1084" customWidth="1"/>
    <col min="7938" max="7938" width="17.6640625" style="1084" customWidth="1"/>
    <col min="7939" max="7939" width="4.44140625" style="1084" customWidth="1"/>
    <col min="7940" max="7940" width="44" style="1084" customWidth="1"/>
    <col min="7941" max="7941" width="6.33203125" style="1084" customWidth="1"/>
    <col min="7942" max="7943" width="21.109375" style="1084" customWidth="1"/>
    <col min="7944" max="7946" width="0" style="1084" hidden="1" customWidth="1"/>
    <col min="7947" max="7947" width="18.6640625" style="1084" customWidth="1"/>
    <col min="7948" max="7948" width="9.33203125" style="1084" customWidth="1"/>
    <col min="7949" max="8192" width="9.109375" style="1084"/>
    <col min="8193" max="8193" width="23.109375" style="1084" customWidth="1"/>
    <col min="8194" max="8194" width="17.6640625" style="1084" customWidth="1"/>
    <col min="8195" max="8195" width="4.44140625" style="1084" customWidth="1"/>
    <col min="8196" max="8196" width="44" style="1084" customWidth="1"/>
    <col min="8197" max="8197" width="6.33203125" style="1084" customWidth="1"/>
    <col min="8198" max="8199" width="21.109375" style="1084" customWidth="1"/>
    <col min="8200" max="8202" width="0" style="1084" hidden="1" customWidth="1"/>
    <col min="8203" max="8203" width="18.6640625" style="1084" customWidth="1"/>
    <col min="8204" max="8204" width="9.33203125" style="1084" customWidth="1"/>
    <col min="8205" max="8448" width="9.109375" style="1084"/>
    <col min="8449" max="8449" width="23.109375" style="1084" customWidth="1"/>
    <col min="8450" max="8450" width="17.6640625" style="1084" customWidth="1"/>
    <col min="8451" max="8451" width="4.44140625" style="1084" customWidth="1"/>
    <col min="8452" max="8452" width="44" style="1084" customWidth="1"/>
    <col min="8453" max="8453" width="6.33203125" style="1084" customWidth="1"/>
    <col min="8454" max="8455" width="21.109375" style="1084" customWidth="1"/>
    <col min="8456" max="8458" width="0" style="1084" hidden="1" customWidth="1"/>
    <col min="8459" max="8459" width="18.6640625" style="1084" customWidth="1"/>
    <col min="8460" max="8460" width="9.33203125" style="1084" customWidth="1"/>
    <col min="8461" max="8704" width="9.109375" style="1084"/>
    <col min="8705" max="8705" width="23.109375" style="1084" customWidth="1"/>
    <col min="8706" max="8706" width="17.6640625" style="1084" customWidth="1"/>
    <col min="8707" max="8707" width="4.44140625" style="1084" customWidth="1"/>
    <col min="8708" max="8708" width="44" style="1084" customWidth="1"/>
    <col min="8709" max="8709" width="6.33203125" style="1084" customWidth="1"/>
    <col min="8710" max="8711" width="21.109375" style="1084" customWidth="1"/>
    <col min="8712" max="8714" width="0" style="1084" hidden="1" customWidth="1"/>
    <col min="8715" max="8715" width="18.6640625" style="1084" customWidth="1"/>
    <col min="8716" max="8716" width="9.33203125" style="1084" customWidth="1"/>
    <col min="8717" max="8960" width="9.109375" style="1084"/>
    <col min="8961" max="8961" width="23.109375" style="1084" customWidth="1"/>
    <col min="8962" max="8962" width="17.6640625" style="1084" customWidth="1"/>
    <col min="8963" max="8963" width="4.44140625" style="1084" customWidth="1"/>
    <col min="8964" max="8964" width="44" style="1084" customWidth="1"/>
    <col min="8965" max="8965" width="6.33203125" style="1084" customWidth="1"/>
    <col min="8966" max="8967" width="21.109375" style="1084" customWidth="1"/>
    <col min="8968" max="8970" width="0" style="1084" hidden="1" customWidth="1"/>
    <col min="8971" max="8971" width="18.6640625" style="1084" customWidth="1"/>
    <col min="8972" max="8972" width="9.33203125" style="1084" customWidth="1"/>
    <col min="8973" max="9216" width="9.109375" style="1084"/>
    <col min="9217" max="9217" width="23.109375" style="1084" customWidth="1"/>
    <col min="9218" max="9218" width="17.6640625" style="1084" customWidth="1"/>
    <col min="9219" max="9219" width="4.44140625" style="1084" customWidth="1"/>
    <col min="9220" max="9220" width="44" style="1084" customWidth="1"/>
    <col min="9221" max="9221" width="6.33203125" style="1084" customWidth="1"/>
    <col min="9222" max="9223" width="21.109375" style="1084" customWidth="1"/>
    <col min="9224" max="9226" width="0" style="1084" hidden="1" customWidth="1"/>
    <col min="9227" max="9227" width="18.6640625" style="1084" customWidth="1"/>
    <col min="9228" max="9228" width="9.33203125" style="1084" customWidth="1"/>
    <col min="9229" max="9472" width="9.109375" style="1084"/>
    <col min="9473" max="9473" width="23.109375" style="1084" customWidth="1"/>
    <col min="9474" max="9474" width="17.6640625" style="1084" customWidth="1"/>
    <col min="9475" max="9475" width="4.44140625" style="1084" customWidth="1"/>
    <col min="9476" max="9476" width="44" style="1084" customWidth="1"/>
    <col min="9477" max="9477" width="6.33203125" style="1084" customWidth="1"/>
    <col min="9478" max="9479" width="21.109375" style="1084" customWidth="1"/>
    <col min="9480" max="9482" width="0" style="1084" hidden="1" customWidth="1"/>
    <col min="9483" max="9483" width="18.6640625" style="1084" customWidth="1"/>
    <col min="9484" max="9484" width="9.33203125" style="1084" customWidth="1"/>
    <col min="9485" max="9728" width="9.109375" style="1084"/>
    <col min="9729" max="9729" width="23.109375" style="1084" customWidth="1"/>
    <col min="9730" max="9730" width="17.6640625" style="1084" customWidth="1"/>
    <col min="9731" max="9731" width="4.44140625" style="1084" customWidth="1"/>
    <col min="9732" max="9732" width="44" style="1084" customWidth="1"/>
    <col min="9733" max="9733" width="6.33203125" style="1084" customWidth="1"/>
    <col min="9734" max="9735" width="21.109375" style="1084" customWidth="1"/>
    <col min="9736" max="9738" width="0" style="1084" hidden="1" customWidth="1"/>
    <col min="9739" max="9739" width="18.6640625" style="1084" customWidth="1"/>
    <col min="9740" max="9740" width="9.33203125" style="1084" customWidth="1"/>
    <col min="9741" max="9984" width="9.109375" style="1084"/>
    <col min="9985" max="9985" width="23.109375" style="1084" customWidth="1"/>
    <col min="9986" max="9986" width="17.6640625" style="1084" customWidth="1"/>
    <col min="9987" max="9987" width="4.44140625" style="1084" customWidth="1"/>
    <col min="9988" max="9988" width="44" style="1084" customWidth="1"/>
    <col min="9989" max="9989" width="6.33203125" style="1084" customWidth="1"/>
    <col min="9990" max="9991" width="21.109375" style="1084" customWidth="1"/>
    <col min="9992" max="9994" width="0" style="1084" hidden="1" customWidth="1"/>
    <col min="9995" max="9995" width="18.6640625" style="1084" customWidth="1"/>
    <col min="9996" max="9996" width="9.33203125" style="1084" customWidth="1"/>
    <col min="9997" max="10240" width="9.109375" style="1084"/>
    <col min="10241" max="10241" width="23.109375" style="1084" customWidth="1"/>
    <col min="10242" max="10242" width="17.6640625" style="1084" customWidth="1"/>
    <col min="10243" max="10243" width="4.44140625" style="1084" customWidth="1"/>
    <col min="10244" max="10244" width="44" style="1084" customWidth="1"/>
    <col min="10245" max="10245" width="6.33203125" style="1084" customWidth="1"/>
    <col min="10246" max="10247" width="21.109375" style="1084" customWidth="1"/>
    <col min="10248" max="10250" width="0" style="1084" hidden="1" customWidth="1"/>
    <col min="10251" max="10251" width="18.6640625" style="1084" customWidth="1"/>
    <col min="10252" max="10252" width="9.33203125" style="1084" customWidth="1"/>
    <col min="10253" max="10496" width="9.109375" style="1084"/>
    <col min="10497" max="10497" width="23.109375" style="1084" customWidth="1"/>
    <col min="10498" max="10498" width="17.6640625" style="1084" customWidth="1"/>
    <col min="10499" max="10499" width="4.44140625" style="1084" customWidth="1"/>
    <col min="10500" max="10500" width="44" style="1084" customWidth="1"/>
    <col min="10501" max="10501" width="6.33203125" style="1084" customWidth="1"/>
    <col min="10502" max="10503" width="21.109375" style="1084" customWidth="1"/>
    <col min="10504" max="10506" width="0" style="1084" hidden="1" customWidth="1"/>
    <col min="10507" max="10507" width="18.6640625" style="1084" customWidth="1"/>
    <col min="10508" max="10508" width="9.33203125" style="1084" customWidth="1"/>
    <col min="10509" max="10752" width="9.109375" style="1084"/>
    <col min="10753" max="10753" width="23.109375" style="1084" customWidth="1"/>
    <col min="10754" max="10754" width="17.6640625" style="1084" customWidth="1"/>
    <col min="10755" max="10755" width="4.44140625" style="1084" customWidth="1"/>
    <col min="10756" max="10756" width="44" style="1084" customWidth="1"/>
    <col min="10757" max="10757" width="6.33203125" style="1084" customWidth="1"/>
    <col min="10758" max="10759" width="21.109375" style="1084" customWidth="1"/>
    <col min="10760" max="10762" width="0" style="1084" hidden="1" customWidth="1"/>
    <col min="10763" max="10763" width="18.6640625" style="1084" customWidth="1"/>
    <col min="10764" max="10764" width="9.33203125" style="1084" customWidth="1"/>
    <col min="10765" max="11008" width="9.109375" style="1084"/>
    <col min="11009" max="11009" width="23.109375" style="1084" customWidth="1"/>
    <col min="11010" max="11010" width="17.6640625" style="1084" customWidth="1"/>
    <col min="11011" max="11011" width="4.44140625" style="1084" customWidth="1"/>
    <col min="11012" max="11012" width="44" style="1084" customWidth="1"/>
    <col min="11013" max="11013" width="6.33203125" style="1084" customWidth="1"/>
    <col min="11014" max="11015" width="21.109375" style="1084" customWidth="1"/>
    <col min="11016" max="11018" width="0" style="1084" hidden="1" customWidth="1"/>
    <col min="11019" max="11019" width="18.6640625" style="1084" customWidth="1"/>
    <col min="11020" max="11020" width="9.33203125" style="1084" customWidth="1"/>
    <col min="11021" max="11264" width="9.109375" style="1084"/>
    <col min="11265" max="11265" width="23.109375" style="1084" customWidth="1"/>
    <col min="11266" max="11266" width="17.6640625" style="1084" customWidth="1"/>
    <col min="11267" max="11267" width="4.44140625" style="1084" customWidth="1"/>
    <col min="11268" max="11268" width="44" style="1084" customWidth="1"/>
    <col min="11269" max="11269" width="6.33203125" style="1084" customWidth="1"/>
    <col min="11270" max="11271" width="21.109375" style="1084" customWidth="1"/>
    <col min="11272" max="11274" width="0" style="1084" hidden="1" customWidth="1"/>
    <col min="11275" max="11275" width="18.6640625" style="1084" customWidth="1"/>
    <col min="11276" max="11276" width="9.33203125" style="1084" customWidth="1"/>
    <col min="11277" max="11520" width="9.109375" style="1084"/>
    <col min="11521" max="11521" width="23.109375" style="1084" customWidth="1"/>
    <col min="11522" max="11522" width="17.6640625" style="1084" customWidth="1"/>
    <col min="11523" max="11523" width="4.44140625" style="1084" customWidth="1"/>
    <col min="11524" max="11524" width="44" style="1084" customWidth="1"/>
    <col min="11525" max="11525" width="6.33203125" style="1084" customWidth="1"/>
    <col min="11526" max="11527" width="21.109375" style="1084" customWidth="1"/>
    <col min="11528" max="11530" width="0" style="1084" hidden="1" customWidth="1"/>
    <col min="11531" max="11531" width="18.6640625" style="1084" customWidth="1"/>
    <col min="11532" max="11532" width="9.33203125" style="1084" customWidth="1"/>
    <col min="11533" max="11776" width="9.109375" style="1084"/>
    <col min="11777" max="11777" width="23.109375" style="1084" customWidth="1"/>
    <col min="11778" max="11778" width="17.6640625" style="1084" customWidth="1"/>
    <col min="11779" max="11779" width="4.44140625" style="1084" customWidth="1"/>
    <col min="11780" max="11780" width="44" style="1084" customWidth="1"/>
    <col min="11781" max="11781" width="6.33203125" style="1084" customWidth="1"/>
    <col min="11782" max="11783" width="21.109375" style="1084" customWidth="1"/>
    <col min="11784" max="11786" width="0" style="1084" hidden="1" customWidth="1"/>
    <col min="11787" max="11787" width="18.6640625" style="1084" customWidth="1"/>
    <col min="11788" max="11788" width="9.33203125" style="1084" customWidth="1"/>
    <col min="11789" max="12032" width="9.109375" style="1084"/>
    <col min="12033" max="12033" width="23.109375" style="1084" customWidth="1"/>
    <col min="12034" max="12034" width="17.6640625" style="1084" customWidth="1"/>
    <col min="12035" max="12035" width="4.44140625" style="1084" customWidth="1"/>
    <col min="12036" max="12036" width="44" style="1084" customWidth="1"/>
    <col min="12037" max="12037" width="6.33203125" style="1084" customWidth="1"/>
    <col min="12038" max="12039" width="21.109375" style="1084" customWidth="1"/>
    <col min="12040" max="12042" width="0" style="1084" hidden="1" customWidth="1"/>
    <col min="12043" max="12043" width="18.6640625" style="1084" customWidth="1"/>
    <col min="12044" max="12044" width="9.33203125" style="1084" customWidth="1"/>
    <col min="12045" max="12288" width="9.109375" style="1084"/>
    <col min="12289" max="12289" width="23.109375" style="1084" customWidth="1"/>
    <col min="12290" max="12290" width="17.6640625" style="1084" customWidth="1"/>
    <col min="12291" max="12291" width="4.44140625" style="1084" customWidth="1"/>
    <col min="12292" max="12292" width="44" style="1084" customWidth="1"/>
    <col min="12293" max="12293" width="6.33203125" style="1084" customWidth="1"/>
    <col min="12294" max="12295" width="21.109375" style="1084" customWidth="1"/>
    <col min="12296" max="12298" width="0" style="1084" hidden="1" customWidth="1"/>
    <col min="12299" max="12299" width="18.6640625" style="1084" customWidth="1"/>
    <col min="12300" max="12300" width="9.33203125" style="1084" customWidth="1"/>
    <col min="12301" max="12544" width="9.109375" style="1084"/>
    <col min="12545" max="12545" width="23.109375" style="1084" customWidth="1"/>
    <col min="12546" max="12546" width="17.6640625" style="1084" customWidth="1"/>
    <col min="12547" max="12547" width="4.44140625" style="1084" customWidth="1"/>
    <col min="12548" max="12548" width="44" style="1084" customWidth="1"/>
    <col min="12549" max="12549" width="6.33203125" style="1084" customWidth="1"/>
    <col min="12550" max="12551" width="21.109375" style="1084" customWidth="1"/>
    <col min="12552" max="12554" width="0" style="1084" hidden="1" customWidth="1"/>
    <col min="12555" max="12555" width="18.6640625" style="1084" customWidth="1"/>
    <col min="12556" max="12556" width="9.33203125" style="1084" customWidth="1"/>
    <col min="12557" max="12800" width="9.109375" style="1084"/>
    <col min="12801" max="12801" width="23.109375" style="1084" customWidth="1"/>
    <col min="12802" max="12802" width="17.6640625" style="1084" customWidth="1"/>
    <col min="12803" max="12803" width="4.44140625" style="1084" customWidth="1"/>
    <col min="12804" max="12804" width="44" style="1084" customWidth="1"/>
    <col min="12805" max="12805" width="6.33203125" style="1084" customWidth="1"/>
    <col min="12806" max="12807" width="21.109375" style="1084" customWidth="1"/>
    <col min="12808" max="12810" width="0" style="1084" hidden="1" customWidth="1"/>
    <col min="12811" max="12811" width="18.6640625" style="1084" customWidth="1"/>
    <col min="12812" max="12812" width="9.33203125" style="1084" customWidth="1"/>
    <col min="12813" max="13056" width="9.109375" style="1084"/>
    <col min="13057" max="13057" width="23.109375" style="1084" customWidth="1"/>
    <col min="13058" max="13058" width="17.6640625" style="1084" customWidth="1"/>
    <col min="13059" max="13059" width="4.44140625" style="1084" customWidth="1"/>
    <col min="13060" max="13060" width="44" style="1084" customWidth="1"/>
    <col min="13061" max="13061" width="6.33203125" style="1084" customWidth="1"/>
    <col min="13062" max="13063" width="21.109375" style="1084" customWidth="1"/>
    <col min="13064" max="13066" width="0" style="1084" hidden="1" customWidth="1"/>
    <col min="13067" max="13067" width="18.6640625" style="1084" customWidth="1"/>
    <col min="13068" max="13068" width="9.33203125" style="1084" customWidth="1"/>
    <col min="13069" max="13312" width="9.109375" style="1084"/>
    <col min="13313" max="13313" width="23.109375" style="1084" customWidth="1"/>
    <col min="13314" max="13314" width="17.6640625" style="1084" customWidth="1"/>
    <col min="13315" max="13315" width="4.44140625" style="1084" customWidth="1"/>
    <col min="13316" max="13316" width="44" style="1084" customWidth="1"/>
    <col min="13317" max="13317" width="6.33203125" style="1084" customWidth="1"/>
    <col min="13318" max="13319" width="21.109375" style="1084" customWidth="1"/>
    <col min="13320" max="13322" width="0" style="1084" hidden="1" customWidth="1"/>
    <col min="13323" max="13323" width="18.6640625" style="1084" customWidth="1"/>
    <col min="13324" max="13324" width="9.33203125" style="1084" customWidth="1"/>
    <col min="13325" max="13568" width="9.109375" style="1084"/>
    <col min="13569" max="13569" width="23.109375" style="1084" customWidth="1"/>
    <col min="13570" max="13570" width="17.6640625" style="1084" customWidth="1"/>
    <col min="13571" max="13571" width="4.44140625" style="1084" customWidth="1"/>
    <col min="13572" max="13572" width="44" style="1084" customWidth="1"/>
    <col min="13573" max="13573" width="6.33203125" style="1084" customWidth="1"/>
    <col min="13574" max="13575" width="21.109375" style="1084" customWidth="1"/>
    <col min="13576" max="13578" width="0" style="1084" hidden="1" customWidth="1"/>
    <col min="13579" max="13579" width="18.6640625" style="1084" customWidth="1"/>
    <col min="13580" max="13580" width="9.33203125" style="1084" customWidth="1"/>
    <col min="13581" max="13824" width="9.109375" style="1084"/>
    <col min="13825" max="13825" width="23.109375" style="1084" customWidth="1"/>
    <col min="13826" max="13826" width="17.6640625" style="1084" customWidth="1"/>
    <col min="13827" max="13827" width="4.44140625" style="1084" customWidth="1"/>
    <col min="13828" max="13828" width="44" style="1084" customWidth="1"/>
    <col min="13829" max="13829" width="6.33203125" style="1084" customWidth="1"/>
    <col min="13830" max="13831" width="21.109375" style="1084" customWidth="1"/>
    <col min="13832" max="13834" width="0" style="1084" hidden="1" customWidth="1"/>
    <col min="13835" max="13835" width="18.6640625" style="1084" customWidth="1"/>
    <col min="13836" max="13836" width="9.33203125" style="1084" customWidth="1"/>
    <col min="13837" max="14080" width="9.109375" style="1084"/>
    <col min="14081" max="14081" width="23.109375" style="1084" customWidth="1"/>
    <col min="14082" max="14082" width="17.6640625" style="1084" customWidth="1"/>
    <col min="14083" max="14083" width="4.44140625" style="1084" customWidth="1"/>
    <col min="14084" max="14084" width="44" style="1084" customWidth="1"/>
    <col min="14085" max="14085" width="6.33203125" style="1084" customWidth="1"/>
    <col min="14086" max="14087" width="21.109375" style="1084" customWidth="1"/>
    <col min="14088" max="14090" width="0" style="1084" hidden="1" customWidth="1"/>
    <col min="14091" max="14091" width="18.6640625" style="1084" customWidth="1"/>
    <col min="14092" max="14092" width="9.33203125" style="1084" customWidth="1"/>
    <col min="14093" max="14336" width="9.109375" style="1084"/>
    <col min="14337" max="14337" width="23.109375" style="1084" customWidth="1"/>
    <col min="14338" max="14338" width="17.6640625" style="1084" customWidth="1"/>
    <col min="14339" max="14339" width="4.44140625" style="1084" customWidth="1"/>
    <col min="14340" max="14340" width="44" style="1084" customWidth="1"/>
    <col min="14341" max="14341" width="6.33203125" style="1084" customWidth="1"/>
    <col min="14342" max="14343" width="21.109375" style="1084" customWidth="1"/>
    <col min="14344" max="14346" width="0" style="1084" hidden="1" customWidth="1"/>
    <col min="14347" max="14347" width="18.6640625" style="1084" customWidth="1"/>
    <col min="14348" max="14348" width="9.33203125" style="1084" customWidth="1"/>
    <col min="14349" max="14592" width="9.109375" style="1084"/>
    <col min="14593" max="14593" width="23.109375" style="1084" customWidth="1"/>
    <col min="14594" max="14594" width="17.6640625" style="1084" customWidth="1"/>
    <col min="14595" max="14595" width="4.44140625" style="1084" customWidth="1"/>
    <col min="14596" max="14596" width="44" style="1084" customWidth="1"/>
    <col min="14597" max="14597" width="6.33203125" style="1084" customWidth="1"/>
    <col min="14598" max="14599" width="21.109375" style="1084" customWidth="1"/>
    <col min="14600" max="14602" width="0" style="1084" hidden="1" customWidth="1"/>
    <col min="14603" max="14603" width="18.6640625" style="1084" customWidth="1"/>
    <col min="14604" max="14604" width="9.33203125" style="1084" customWidth="1"/>
    <col min="14605" max="14848" width="9.109375" style="1084"/>
    <col min="14849" max="14849" width="23.109375" style="1084" customWidth="1"/>
    <col min="14850" max="14850" width="17.6640625" style="1084" customWidth="1"/>
    <col min="14851" max="14851" width="4.44140625" style="1084" customWidth="1"/>
    <col min="14852" max="14852" width="44" style="1084" customWidth="1"/>
    <col min="14853" max="14853" width="6.33203125" style="1084" customWidth="1"/>
    <col min="14854" max="14855" width="21.109375" style="1084" customWidth="1"/>
    <col min="14856" max="14858" width="0" style="1084" hidden="1" customWidth="1"/>
    <col min="14859" max="14859" width="18.6640625" style="1084" customWidth="1"/>
    <col min="14860" max="14860" width="9.33203125" style="1084" customWidth="1"/>
    <col min="14861" max="15104" width="9.109375" style="1084"/>
    <col min="15105" max="15105" width="23.109375" style="1084" customWidth="1"/>
    <col min="15106" max="15106" width="17.6640625" style="1084" customWidth="1"/>
    <col min="15107" max="15107" width="4.44140625" style="1084" customWidth="1"/>
    <col min="15108" max="15108" width="44" style="1084" customWidth="1"/>
    <col min="15109" max="15109" width="6.33203125" style="1084" customWidth="1"/>
    <col min="15110" max="15111" width="21.109375" style="1084" customWidth="1"/>
    <col min="15112" max="15114" width="0" style="1084" hidden="1" customWidth="1"/>
    <col min="15115" max="15115" width="18.6640625" style="1084" customWidth="1"/>
    <col min="15116" max="15116" width="9.33203125" style="1084" customWidth="1"/>
    <col min="15117" max="15360" width="9.109375" style="1084"/>
    <col min="15361" max="15361" width="23.109375" style="1084" customWidth="1"/>
    <col min="15362" max="15362" width="17.6640625" style="1084" customWidth="1"/>
    <col min="15363" max="15363" width="4.44140625" style="1084" customWidth="1"/>
    <col min="15364" max="15364" width="44" style="1084" customWidth="1"/>
    <col min="15365" max="15365" width="6.33203125" style="1084" customWidth="1"/>
    <col min="15366" max="15367" width="21.109375" style="1084" customWidth="1"/>
    <col min="15368" max="15370" width="0" style="1084" hidden="1" customWidth="1"/>
    <col min="15371" max="15371" width="18.6640625" style="1084" customWidth="1"/>
    <col min="15372" max="15372" width="9.33203125" style="1084" customWidth="1"/>
    <col min="15373" max="15616" width="9.109375" style="1084"/>
    <col min="15617" max="15617" width="23.109375" style="1084" customWidth="1"/>
    <col min="15618" max="15618" width="17.6640625" style="1084" customWidth="1"/>
    <col min="15619" max="15619" width="4.44140625" style="1084" customWidth="1"/>
    <col min="15620" max="15620" width="44" style="1084" customWidth="1"/>
    <col min="15621" max="15621" width="6.33203125" style="1084" customWidth="1"/>
    <col min="15622" max="15623" width="21.109375" style="1084" customWidth="1"/>
    <col min="15624" max="15626" width="0" style="1084" hidden="1" customWidth="1"/>
    <col min="15627" max="15627" width="18.6640625" style="1084" customWidth="1"/>
    <col min="15628" max="15628" width="9.33203125" style="1084" customWidth="1"/>
    <col min="15629" max="15872" width="9.109375" style="1084"/>
    <col min="15873" max="15873" width="23.109375" style="1084" customWidth="1"/>
    <col min="15874" max="15874" width="17.6640625" style="1084" customWidth="1"/>
    <col min="15875" max="15875" width="4.44140625" style="1084" customWidth="1"/>
    <col min="15876" max="15876" width="44" style="1084" customWidth="1"/>
    <col min="15877" max="15877" width="6.33203125" style="1084" customWidth="1"/>
    <col min="15878" max="15879" width="21.109375" style="1084" customWidth="1"/>
    <col min="15880" max="15882" width="0" style="1084" hidden="1" customWidth="1"/>
    <col min="15883" max="15883" width="18.6640625" style="1084" customWidth="1"/>
    <col min="15884" max="15884" width="9.33203125" style="1084" customWidth="1"/>
    <col min="15885" max="16128" width="9.109375" style="1084"/>
    <col min="16129" max="16129" width="23.109375" style="1084" customWidth="1"/>
    <col min="16130" max="16130" width="17.6640625" style="1084" customWidth="1"/>
    <col min="16131" max="16131" width="4.44140625" style="1084" customWidth="1"/>
    <col min="16132" max="16132" width="44" style="1084" customWidth="1"/>
    <col min="16133" max="16133" width="6.33203125" style="1084" customWidth="1"/>
    <col min="16134" max="16135" width="21.109375" style="1084" customWidth="1"/>
    <col min="16136" max="16138" width="0" style="1084" hidden="1" customWidth="1"/>
    <col min="16139" max="16139" width="18.6640625" style="1084" customWidth="1"/>
    <col min="16140" max="16140" width="9.33203125" style="1084" customWidth="1"/>
    <col min="16141" max="16384" width="9.109375" style="1084"/>
  </cols>
  <sheetData>
    <row r="1" spans="1:19" s="1016" customFormat="1" ht="22.8">
      <c r="A1" s="1175" t="s">
        <v>1000</v>
      </c>
      <c r="B1" s="1175"/>
      <c r="C1" s="1175"/>
      <c r="D1" s="1175"/>
      <c r="E1" s="1175"/>
      <c r="F1" s="1175"/>
      <c r="G1" s="1175"/>
      <c r="H1" s="1175"/>
      <c r="I1" s="1175"/>
      <c r="J1" s="1175"/>
      <c r="K1" s="1015"/>
    </row>
    <row r="2" spans="1:19" s="1016" customFormat="1" ht="23.4" thickBot="1">
      <c r="A2" s="1176" t="s">
        <v>1001</v>
      </c>
      <c r="B2" s="1176"/>
      <c r="C2" s="1176"/>
      <c r="D2" s="1176"/>
      <c r="E2" s="1176"/>
      <c r="F2" s="1176"/>
      <c r="G2" s="1176"/>
      <c r="H2" s="1176"/>
      <c r="I2" s="1176"/>
      <c r="J2" s="1176"/>
      <c r="K2" s="1015"/>
    </row>
    <row r="3" spans="1:19" s="1019" customFormat="1" ht="17.399999999999999">
      <c r="A3" s="1017"/>
      <c r="B3" s="1017"/>
      <c r="C3" s="1017"/>
      <c r="D3" s="1017"/>
      <c r="E3" s="1017"/>
      <c r="F3" s="1017"/>
      <c r="G3" s="1017"/>
      <c r="H3" s="1017"/>
      <c r="I3" s="1017"/>
      <c r="J3" s="1017"/>
      <c r="K3" s="1018"/>
    </row>
    <row r="4" spans="1:19" s="1019" customFormat="1" ht="17.399999999999999">
      <c r="A4" s="1020" t="s">
        <v>1002</v>
      </c>
      <c r="B4" s="1021"/>
      <c r="C4" s="1022"/>
      <c r="D4" s="1023" t="s">
        <v>1068</v>
      </c>
      <c r="E4" s="1022"/>
      <c r="F4" s="1024" t="s">
        <v>1004</v>
      </c>
      <c r="G4" s="1021"/>
      <c r="H4" s="1022"/>
      <c r="I4" s="1022"/>
      <c r="J4" s="1022"/>
      <c r="K4" s="1018"/>
    </row>
    <row r="5" spans="1:19" s="1019" customFormat="1" ht="17.399999999999999">
      <c r="B5" s="1022"/>
      <c r="C5" s="1022"/>
      <c r="D5" s="1024"/>
      <c r="E5" s="1022"/>
      <c r="F5" s="1024" t="s">
        <v>1005</v>
      </c>
      <c r="G5" s="1025"/>
      <c r="H5" s="1022"/>
      <c r="I5" s="1022"/>
      <c r="J5" s="1022"/>
      <c r="K5" s="1018"/>
    </row>
    <row r="6" spans="1:19" s="1019" customFormat="1" ht="18" thickBot="1">
      <c r="A6" s="1020"/>
      <c r="B6" s="1026"/>
      <c r="C6" s="1027"/>
      <c r="E6" s="1028"/>
      <c r="G6" s="1028"/>
      <c r="H6" s="1022"/>
      <c r="I6" s="1029"/>
      <c r="J6" s="1030"/>
      <c r="K6" s="1018"/>
    </row>
    <row r="7" spans="1:19" s="1019" customFormat="1" ht="18" thickBot="1">
      <c r="A7" s="1031"/>
      <c r="B7" s="1028" t="s">
        <v>1006</v>
      </c>
      <c r="C7" s="1032" t="s">
        <v>1069</v>
      </c>
      <c r="D7" s="1033"/>
      <c r="E7" s="1033"/>
      <c r="F7" s="1177"/>
      <c r="G7" s="1177"/>
      <c r="H7" s="1028"/>
      <c r="I7" s="1028"/>
      <c r="J7" s="1028"/>
      <c r="K7" s="1018"/>
    </row>
    <row r="8" spans="1:19" s="1019" customFormat="1" ht="17.399999999999999">
      <c r="A8" s="1031"/>
      <c r="B8" s="1028"/>
      <c r="C8" s="1022"/>
      <c r="D8" s="1019" t="s">
        <v>1008</v>
      </c>
      <c r="F8" s="1034"/>
      <c r="G8" s="1034" t="s">
        <v>1009</v>
      </c>
      <c r="H8" s="1028"/>
      <c r="I8" s="1028"/>
      <c r="J8" s="1028"/>
      <c r="K8" s="1018"/>
    </row>
    <row r="9" spans="1:19" s="1019" customFormat="1" ht="18" thickBot="1">
      <c r="A9" s="1028" t="s">
        <v>1010</v>
      </c>
      <c r="B9" s="1178">
        <v>43100</v>
      </c>
      <c r="C9" s="1179"/>
      <c r="D9" s="1035"/>
      <c r="E9" s="1022"/>
      <c r="F9" s="1028" t="s">
        <v>1011</v>
      </c>
      <c r="G9" s="1036">
        <v>1462194</v>
      </c>
      <c r="H9" s="1022"/>
      <c r="I9" s="1022"/>
      <c r="J9" s="1022"/>
      <c r="K9" s="1018"/>
    </row>
    <row r="10" spans="1:19" s="1019" customFormat="1" ht="18" thickBot="1">
      <c r="A10" s="1028"/>
      <c r="B10" s="1037"/>
      <c r="C10" s="1022"/>
      <c r="D10" s="1035"/>
      <c r="E10" s="1022"/>
      <c r="F10" s="1028" t="s">
        <v>1012</v>
      </c>
      <c r="G10" s="1038"/>
      <c r="H10" s="1022"/>
      <c r="I10" s="1022"/>
      <c r="J10" s="1022"/>
      <c r="K10" s="1018"/>
    </row>
    <row r="11" spans="1:19" s="1040" customFormat="1" ht="13.2">
      <c r="A11" s="1039"/>
      <c r="E11" s="1041"/>
      <c r="F11" s="1042"/>
      <c r="G11" s="1042"/>
      <c r="H11" s="1043"/>
      <c r="I11" s="1043"/>
      <c r="J11" s="1043"/>
      <c r="K11" s="1044"/>
    </row>
    <row r="12" spans="1:19" s="1049" customFormat="1" ht="15.6">
      <c r="A12" s="1045" t="s">
        <v>1013</v>
      </c>
      <c r="B12" s="1046" t="s">
        <v>1014</v>
      </c>
      <c r="C12" s="1046" t="s">
        <v>1015</v>
      </c>
      <c r="D12" s="1046" t="s">
        <v>1016</v>
      </c>
      <c r="E12" s="1046" t="s">
        <v>747</v>
      </c>
      <c r="F12" s="1046" t="s">
        <v>1017</v>
      </c>
      <c r="G12" s="1046" t="s">
        <v>1018</v>
      </c>
      <c r="H12" s="1047"/>
      <c r="I12" s="1047"/>
      <c r="J12" s="1047"/>
      <c r="K12" s="1048"/>
      <c r="L12" s="1159">
        <f>SUM(L13:L18)</f>
        <v>478284.20000000007</v>
      </c>
    </row>
    <row r="13" spans="1:19" s="1049" customFormat="1" ht="28.5" customHeight="1">
      <c r="A13" s="1050" t="s">
        <v>1019</v>
      </c>
      <c r="B13" s="1051"/>
      <c r="C13" s="1052"/>
      <c r="D13" s="1053" t="s">
        <v>1070</v>
      </c>
      <c r="E13" s="1054"/>
      <c r="F13" s="1055">
        <v>224136.44</v>
      </c>
      <c r="G13" s="1055"/>
      <c r="H13" s="1056"/>
      <c r="I13" s="1056"/>
      <c r="J13" s="1056"/>
      <c r="K13" s="1048"/>
      <c r="L13" s="1159">
        <f>ROUND('JE Summary'!$C$124,2)</f>
        <v>224136.44</v>
      </c>
      <c r="N13" s="1087"/>
      <c r="O13" s="1088"/>
      <c r="P13" s="1061"/>
      <c r="Q13" s="1088"/>
      <c r="R13" s="1062"/>
      <c r="S13" s="1062"/>
    </row>
    <row r="14" spans="1:19" s="1049" customFormat="1" ht="28.5" customHeight="1">
      <c r="A14" s="1050" t="s">
        <v>1021</v>
      </c>
      <c r="B14" s="1051"/>
      <c r="C14" s="1052"/>
      <c r="D14" s="1053" t="s">
        <v>1071</v>
      </c>
      <c r="E14" s="1054"/>
      <c r="F14" s="1055">
        <v>71217.759999999995</v>
      </c>
      <c r="G14" s="1055"/>
      <c r="H14" s="1056"/>
      <c r="I14" s="1056"/>
      <c r="J14" s="1056"/>
      <c r="K14" s="1048"/>
      <c r="L14" s="1159">
        <f>ROUND('JE Summary'!$D$124,2)</f>
        <v>71217.759999999995</v>
      </c>
      <c r="N14" s="1087"/>
      <c r="O14" s="1088"/>
      <c r="P14" s="1061"/>
      <c r="Q14" s="1088"/>
      <c r="R14" s="1062"/>
      <c r="S14" s="1062"/>
    </row>
    <row r="15" spans="1:19" s="1049" customFormat="1" ht="28.5" customHeight="1">
      <c r="A15" s="1057" t="s">
        <v>1023</v>
      </c>
      <c r="B15" s="1051"/>
      <c r="C15" s="1052"/>
      <c r="D15" s="1053" t="s">
        <v>1072</v>
      </c>
      <c r="E15" s="1054"/>
      <c r="F15" s="1055">
        <v>232425.2</v>
      </c>
      <c r="G15" s="1055"/>
      <c r="H15" s="1056"/>
      <c r="I15" s="1056"/>
      <c r="J15" s="1056"/>
      <c r="K15" s="1048"/>
      <c r="L15" s="1159">
        <f>ROUND('JE Summary'!$E$124,2)</f>
        <v>232425.2</v>
      </c>
      <c r="N15" s="1087"/>
      <c r="O15" s="1088"/>
      <c r="P15" s="1061"/>
      <c r="Q15" s="1088"/>
      <c r="R15" s="1062"/>
      <c r="S15" s="1062"/>
    </row>
    <row r="16" spans="1:19" s="1049" customFormat="1" ht="28.5" customHeight="1">
      <c r="A16" s="1058" t="s">
        <v>1027</v>
      </c>
      <c r="B16" s="1051"/>
      <c r="C16" s="1052"/>
      <c r="D16" s="1053" t="s">
        <v>1074</v>
      </c>
      <c r="E16" s="1054"/>
      <c r="F16" s="1055">
        <v>0.37</v>
      </c>
      <c r="G16" s="1055"/>
      <c r="H16" s="1056"/>
      <c r="I16" s="1056"/>
      <c r="J16" s="1056"/>
      <c r="K16" s="1048"/>
      <c r="L16" s="1159">
        <f>ROUND('JE Summary'!$F$124,2)</f>
        <v>0.37</v>
      </c>
      <c r="N16" s="1087"/>
      <c r="O16" s="1088"/>
      <c r="P16" s="1061"/>
      <c r="Q16" s="1088"/>
      <c r="R16" s="1062"/>
      <c r="S16" s="1062"/>
    </row>
    <row r="17" spans="1:19" s="1049" customFormat="1" ht="28.5" customHeight="1">
      <c r="A17" s="1058" t="s">
        <v>1029</v>
      </c>
      <c r="B17" s="1051"/>
      <c r="C17" s="1052"/>
      <c r="D17" s="1053" t="s">
        <v>1075</v>
      </c>
      <c r="E17" s="1054"/>
      <c r="F17" s="1055">
        <v>0.06</v>
      </c>
      <c r="G17" s="1055"/>
      <c r="H17" s="1056"/>
      <c r="I17" s="1056"/>
      <c r="J17" s="1056"/>
      <c r="K17" s="1048"/>
      <c r="L17" s="1159">
        <f>ROUND('JE Summary'!$H$124,2)</f>
        <v>0.06</v>
      </c>
      <c r="N17" s="1087"/>
      <c r="O17" s="1088"/>
      <c r="P17" s="1061"/>
      <c r="Q17" s="1088"/>
      <c r="R17" s="1062"/>
      <c r="S17" s="1062"/>
    </row>
    <row r="18" spans="1:19" s="1049" customFormat="1" ht="28.5" customHeight="1">
      <c r="A18" s="1050" t="s">
        <v>1025</v>
      </c>
      <c r="B18" s="1051"/>
      <c r="C18" s="1052"/>
      <c r="D18" s="1053" t="s">
        <v>1073</v>
      </c>
      <c r="E18" s="1054"/>
      <c r="F18" s="1055"/>
      <c r="G18" s="1055">
        <v>49495.63</v>
      </c>
      <c r="H18" s="1056"/>
      <c r="I18" s="1056"/>
      <c r="J18" s="1056"/>
      <c r="K18" s="1048"/>
      <c r="L18" s="1159">
        <f>ROUND('JE Summary'!$I$124,2)</f>
        <v>-49495.63</v>
      </c>
      <c r="N18" s="1087"/>
      <c r="O18" s="1088"/>
      <c r="P18" s="1061"/>
      <c r="Q18" s="1088"/>
      <c r="R18" s="1062"/>
      <c r="S18" s="1062"/>
    </row>
    <row r="19" spans="1:19" s="1049" customFormat="1" ht="28.5" customHeight="1">
      <c r="A19" s="1050" t="s">
        <v>1031</v>
      </c>
      <c r="B19" s="1051"/>
      <c r="C19" s="1052"/>
      <c r="D19" s="1053" t="s">
        <v>1076</v>
      </c>
      <c r="E19" s="1054"/>
      <c r="F19" s="1055"/>
      <c r="G19" s="1055">
        <f>F13</f>
        <v>224136.44</v>
      </c>
      <c r="H19" s="1056"/>
      <c r="I19" s="1056"/>
      <c r="J19" s="1056"/>
      <c r="K19" s="1048"/>
      <c r="N19" s="1087"/>
      <c r="O19" s="1088"/>
      <c r="P19" s="1061"/>
      <c r="Q19" s="1088"/>
      <c r="R19" s="1062"/>
      <c r="S19" s="1062"/>
    </row>
    <row r="20" spans="1:19" s="1049" customFormat="1" ht="28.5" customHeight="1">
      <c r="A20" s="1057" t="s">
        <v>1033</v>
      </c>
      <c r="B20" s="1051"/>
      <c r="C20" s="1052"/>
      <c r="D20" s="1053" t="s">
        <v>1071</v>
      </c>
      <c r="E20" s="1054"/>
      <c r="F20" s="1055"/>
      <c r="G20" s="1055">
        <f t="shared" ref="G20:G23" si="0">F14</f>
        <v>71217.759999999995</v>
      </c>
      <c r="H20" s="1056"/>
      <c r="I20" s="1056"/>
      <c r="J20" s="1056"/>
      <c r="K20" s="1048"/>
      <c r="L20" s="1064"/>
      <c r="M20" s="1089"/>
      <c r="N20" s="1087"/>
      <c r="O20" s="1088"/>
      <c r="P20" s="1061"/>
      <c r="Q20" s="1088"/>
      <c r="R20" s="1062"/>
      <c r="S20" s="1062"/>
    </row>
    <row r="21" spans="1:19" s="1049" customFormat="1" ht="28.5" customHeight="1">
      <c r="A21" s="1057" t="s">
        <v>1034</v>
      </c>
      <c r="B21" s="1051"/>
      <c r="C21" s="1052"/>
      <c r="D21" s="1053" t="s">
        <v>1072</v>
      </c>
      <c r="E21" s="1054"/>
      <c r="F21" s="1055"/>
      <c r="G21" s="1055">
        <f t="shared" si="0"/>
        <v>232425.2</v>
      </c>
      <c r="H21" s="1056"/>
      <c r="I21" s="1056"/>
      <c r="J21" s="1056"/>
      <c r="K21" s="1048"/>
      <c r="L21" s="1064"/>
      <c r="M21" s="1089"/>
      <c r="N21" s="1087"/>
      <c r="O21" s="1088"/>
      <c r="P21" s="1061"/>
      <c r="Q21" s="1088"/>
      <c r="R21" s="1062"/>
      <c r="S21" s="1062"/>
    </row>
    <row r="22" spans="1:19" s="1049" customFormat="1" ht="28.5" customHeight="1">
      <c r="A22" s="1057" t="s">
        <v>1036</v>
      </c>
      <c r="B22" s="1051"/>
      <c r="C22" s="1052"/>
      <c r="D22" s="1053" t="s">
        <v>1074</v>
      </c>
      <c r="E22" s="1054"/>
      <c r="F22" s="1055"/>
      <c r="G22" s="1055">
        <f t="shared" si="0"/>
        <v>0.37</v>
      </c>
      <c r="H22" s="1056"/>
      <c r="I22" s="1056"/>
      <c r="J22" s="1056"/>
      <c r="K22" s="1048"/>
      <c r="L22" s="1064"/>
      <c r="M22" s="1089"/>
      <c r="N22" s="1087"/>
      <c r="O22" s="1088"/>
      <c r="P22" s="1061"/>
      <c r="Q22" s="1088"/>
      <c r="R22" s="1062"/>
      <c r="S22" s="1062"/>
    </row>
    <row r="23" spans="1:19" s="1049" customFormat="1" ht="28.5" customHeight="1">
      <c r="A23" s="1057" t="s">
        <v>1037</v>
      </c>
      <c r="B23" s="1051"/>
      <c r="C23" s="1052"/>
      <c r="D23" s="1053" t="s">
        <v>1075</v>
      </c>
      <c r="E23" s="1054"/>
      <c r="F23" s="1055"/>
      <c r="G23" s="1055">
        <f t="shared" si="0"/>
        <v>0.06</v>
      </c>
      <c r="H23" s="1056"/>
      <c r="I23" s="1056"/>
      <c r="J23" s="1056"/>
      <c r="K23" s="1048"/>
      <c r="L23" s="1064"/>
      <c r="M23" s="1089"/>
      <c r="N23" s="1087"/>
      <c r="O23" s="1088"/>
      <c r="P23" s="1061"/>
      <c r="Q23" s="1088"/>
      <c r="R23" s="1062"/>
      <c r="S23" s="1062"/>
    </row>
    <row r="24" spans="1:19" s="1049" customFormat="1" ht="28.5" customHeight="1">
      <c r="A24" s="1057" t="s">
        <v>1035</v>
      </c>
      <c r="B24" s="1051"/>
      <c r="C24" s="1052"/>
      <c r="D24" s="1053" t="s">
        <v>1073</v>
      </c>
      <c r="E24" s="1054"/>
      <c r="F24" s="1055">
        <f>G18</f>
        <v>49495.63</v>
      </c>
      <c r="G24" s="1055"/>
      <c r="H24" s="1056"/>
      <c r="I24" s="1056"/>
      <c r="J24" s="1056"/>
      <c r="K24" s="1048"/>
      <c r="L24" s="1064"/>
      <c r="M24" s="1089"/>
      <c r="N24" s="1087"/>
      <c r="O24" s="1088"/>
      <c r="P24" s="1061"/>
      <c r="Q24" s="1088"/>
      <c r="R24" s="1062"/>
      <c r="S24" s="1062"/>
    </row>
    <row r="25" spans="1:19" s="1049" customFormat="1" ht="28.5" customHeight="1">
      <c r="A25" s="1059" t="s">
        <v>1038</v>
      </c>
      <c r="B25" s="1051"/>
      <c r="C25" s="1052"/>
      <c r="D25" s="1053" t="s">
        <v>1077</v>
      </c>
      <c r="E25" s="1054"/>
      <c r="F25" s="1055">
        <v>17300.89</v>
      </c>
      <c r="G25" s="1055"/>
      <c r="H25" s="1056"/>
      <c r="I25" s="1056"/>
      <c r="J25" s="1056"/>
      <c r="K25" s="1048"/>
      <c r="L25" s="1162">
        <f>ROUND(Summary!N40,2)</f>
        <v>17300.89</v>
      </c>
      <c r="M25" s="1089"/>
      <c r="N25" s="1087"/>
      <c r="O25" s="1088"/>
      <c r="P25" s="1061"/>
      <c r="Q25" s="1088"/>
      <c r="R25" s="1062"/>
      <c r="S25" s="1062"/>
    </row>
    <row r="26" spans="1:19" s="1049" customFormat="1" ht="28.5" customHeight="1">
      <c r="A26" s="1059" t="s">
        <v>1040</v>
      </c>
      <c r="B26" s="1051"/>
      <c r="C26" s="1052"/>
      <c r="D26" s="1053" t="s">
        <v>1041</v>
      </c>
      <c r="E26" s="1054"/>
      <c r="F26" s="1055"/>
      <c r="G26" s="1055">
        <f>F25</f>
        <v>17300.89</v>
      </c>
      <c r="H26" s="1056"/>
      <c r="I26" s="1056"/>
      <c r="J26" s="1056"/>
      <c r="K26" s="1048"/>
      <c r="L26" s="1064"/>
      <c r="M26" s="1089"/>
      <c r="N26" s="1087"/>
      <c r="O26" s="1088"/>
      <c r="P26" s="1061"/>
      <c r="Q26" s="1088"/>
      <c r="R26" s="1062"/>
      <c r="S26" s="1062"/>
    </row>
    <row r="27" spans="1:19" s="1049" customFormat="1" ht="28.5" customHeight="1">
      <c r="A27" s="1059"/>
      <c r="B27" s="1051"/>
      <c r="C27" s="1052"/>
      <c r="D27" s="1053"/>
      <c r="E27" s="1054"/>
      <c r="F27" s="1055"/>
      <c r="G27" s="1055"/>
      <c r="H27" s="1056"/>
      <c r="I27" s="1056"/>
      <c r="J27" s="1056"/>
      <c r="K27" s="1048"/>
      <c r="L27" s="1064"/>
      <c r="M27" s="1064"/>
      <c r="N27" s="1064"/>
      <c r="O27" s="1064"/>
      <c r="P27" s="1064"/>
      <c r="Q27" s="1064"/>
      <c r="R27" s="1064"/>
      <c r="S27" s="1064"/>
    </row>
    <row r="28" spans="1:19" s="1049" customFormat="1" ht="28.5" customHeight="1">
      <c r="A28" s="1059"/>
      <c r="B28" s="1051"/>
      <c r="C28" s="1052"/>
      <c r="D28" s="1053"/>
      <c r="E28" s="1054"/>
      <c r="F28" s="1055"/>
      <c r="G28" s="1055"/>
      <c r="H28" s="1056"/>
      <c r="I28" s="1056"/>
      <c r="J28" s="1056"/>
      <c r="K28" s="1048"/>
    </row>
    <row r="29" spans="1:19" s="1049" customFormat="1" ht="28.5" customHeight="1">
      <c r="A29" s="1059"/>
      <c r="B29" s="1051"/>
      <c r="C29" s="1052"/>
      <c r="D29" s="1053"/>
      <c r="E29" s="1054"/>
      <c r="F29" s="1055"/>
      <c r="G29" s="1055"/>
      <c r="H29" s="1056"/>
      <c r="I29" s="1056"/>
      <c r="J29" s="1056"/>
      <c r="K29" s="1048"/>
    </row>
    <row r="30" spans="1:19" s="1049" customFormat="1" ht="28.5" customHeight="1">
      <c r="A30" s="1059"/>
      <c r="B30" s="1051"/>
      <c r="C30" s="1052"/>
      <c r="D30" s="1053"/>
      <c r="E30" s="1054"/>
      <c r="F30" s="1055"/>
      <c r="G30" s="1055"/>
      <c r="H30" s="1056"/>
      <c r="I30" s="1056"/>
      <c r="J30" s="1056"/>
      <c r="K30" s="1048"/>
    </row>
    <row r="31" spans="1:19" s="1049" customFormat="1" ht="28.5" customHeight="1">
      <c r="A31" s="1059"/>
      <c r="B31" s="1051"/>
      <c r="C31" s="1052"/>
      <c r="D31" s="1053"/>
      <c r="E31" s="1054"/>
      <c r="F31" s="1055"/>
      <c r="G31" s="1055"/>
      <c r="H31" s="1056"/>
      <c r="I31" s="1056"/>
      <c r="J31" s="1056"/>
      <c r="K31" s="1048"/>
    </row>
    <row r="32" spans="1:19" s="1049" customFormat="1" ht="28.5" customHeight="1">
      <c r="A32" s="1059"/>
      <c r="B32" s="1051"/>
      <c r="C32" s="1052"/>
      <c r="D32" s="1053"/>
      <c r="E32" s="1054"/>
      <c r="F32" s="1055"/>
      <c r="G32" s="1055"/>
      <c r="H32" s="1056"/>
      <c r="I32" s="1056"/>
      <c r="J32" s="1056"/>
      <c r="K32" s="1048"/>
    </row>
    <row r="33" spans="1:11" s="1049" customFormat="1" ht="28.5" customHeight="1">
      <c r="A33" s="1059"/>
      <c r="B33" s="1051"/>
      <c r="C33" s="1052"/>
      <c r="D33" s="1053"/>
      <c r="E33" s="1054"/>
      <c r="F33" s="1055"/>
      <c r="G33" s="1055"/>
      <c r="H33" s="1056"/>
      <c r="I33" s="1056"/>
      <c r="J33" s="1056"/>
      <c r="K33" s="1048"/>
    </row>
    <row r="34" spans="1:11" s="1049" customFormat="1" ht="28.5" customHeight="1">
      <c r="A34" s="1059"/>
      <c r="B34" s="1051"/>
      <c r="C34" s="1052"/>
      <c r="D34" s="1053"/>
      <c r="E34" s="1054"/>
      <c r="F34" s="1055"/>
      <c r="G34" s="1055"/>
      <c r="H34" s="1056"/>
      <c r="I34" s="1056"/>
      <c r="J34" s="1056"/>
      <c r="K34" s="1048"/>
    </row>
    <row r="35" spans="1:11" s="1049" customFormat="1" ht="28.5" customHeight="1">
      <c r="A35" s="1059"/>
      <c r="B35" s="1051"/>
      <c r="C35" s="1052"/>
      <c r="D35" s="1053"/>
      <c r="E35" s="1054"/>
      <c r="F35" s="1055"/>
      <c r="G35" s="1055"/>
      <c r="H35" s="1056"/>
      <c r="I35" s="1056"/>
      <c r="J35" s="1056"/>
      <c r="K35" s="1048"/>
    </row>
    <row r="36" spans="1:11" s="1064" customFormat="1" ht="15">
      <c r="A36" s="1060"/>
      <c r="B36" s="1060"/>
      <c r="C36" s="1060"/>
      <c r="D36" s="1061"/>
      <c r="E36" s="1060"/>
      <c r="F36" s="1062"/>
      <c r="G36" s="1062"/>
      <c r="H36" s="1060"/>
      <c r="I36" s="1060"/>
      <c r="J36" s="1060"/>
      <c r="K36" s="1063"/>
    </row>
    <row r="37" spans="1:11" s="1064" customFormat="1" ht="15.6">
      <c r="A37" s="1065" t="s">
        <v>1042</v>
      </c>
      <c r="B37" s="1066" t="s">
        <v>1043</v>
      </c>
      <c r="C37" s="1066"/>
      <c r="D37" s="1067"/>
      <c r="E37" s="1066" t="s">
        <v>1043</v>
      </c>
      <c r="F37" s="1068">
        <f>SUM(F13:F35)</f>
        <v>594576.35000000009</v>
      </c>
      <c r="G37" s="1068">
        <f>SUM(G13:G35)</f>
        <v>594576.35000000009</v>
      </c>
      <c r="H37" s="1060" t="s">
        <v>1044</v>
      </c>
      <c r="I37" s="1060"/>
      <c r="J37" s="1060"/>
      <c r="K37" s="1063"/>
    </row>
    <row r="38" spans="1:11" s="1049" customFormat="1" ht="15">
      <c r="A38" s="1060"/>
      <c r="B38" s="1056"/>
      <c r="C38" s="1056"/>
      <c r="D38" s="1060"/>
      <c r="E38" s="1056"/>
      <c r="F38" s="1056"/>
      <c r="G38" s="1056"/>
      <c r="H38" s="1056"/>
      <c r="I38" s="1056"/>
      <c r="J38" s="1056"/>
      <c r="K38" s="1048"/>
    </row>
    <row r="39" spans="1:11" s="1049" customFormat="1" ht="15">
      <c r="A39" s="1060"/>
      <c r="B39" s="1056"/>
      <c r="C39" s="1056"/>
      <c r="D39" s="1069"/>
      <c r="E39" s="1056"/>
      <c r="F39" s="1070">
        <f>F37-G37</f>
        <v>0</v>
      </c>
      <c r="G39" s="1056"/>
      <c r="H39" s="1056"/>
      <c r="I39" s="1056"/>
      <c r="J39" s="1056"/>
      <c r="K39" s="1048"/>
    </row>
    <row r="40" spans="1:11" s="1049" customFormat="1" ht="23.4">
      <c r="A40" s="1071" t="s">
        <v>1045</v>
      </c>
      <c r="B40" s="1072" t="s">
        <v>1046</v>
      </c>
      <c r="C40" s="1073"/>
      <c r="D40" s="1074" t="s">
        <v>1047</v>
      </c>
      <c r="E40" s="1075"/>
      <c r="F40" s="1076" t="s">
        <v>1048</v>
      </c>
      <c r="G40" s="1077">
        <f ca="1">NOW()</f>
        <v>43272.699841550922</v>
      </c>
      <c r="H40" s="1075"/>
      <c r="I40" s="1075"/>
      <c r="J40" s="1075"/>
      <c r="K40" s="1048" t="s">
        <v>1043</v>
      </c>
    </row>
    <row r="41" spans="1:11" s="1049" customFormat="1" ht="15.6">
      <c r="A41" s="1078"/>
      <c r="B41" s="1060"/>
      <c r="C41" s="1060"/>
      <c r="D41" s="1047"/>
      <c r="E41" s="1056"/>
      <c r="F41" s="1079"/>
      <c r="G41" s="1056"/>
      <c r="H41" s="1056"/>
      <c r="I41" s="1056"/>
      <c r="J41" s="1056"/>
      <c r="K41" s="1048"/>
    </row>
    <row r="42" spans="1:11" s="1049" customFormat="1" ht="15.6">
      <c r="A42" s="1071" t="s">
        <v>1049</v>
      </c>
      <c r="B42" s="1180" t="s">
        <v>1050</v>
      </c>
      <c r="C42" s="1180"/>
      <c r="D42" s="1080"/>
      <c r="E42" s="1075"/>
      <c r="F42" s="1076" t="s">
        <v>1048</v>
      </c>
      <c r="G42" s="1077">
        <f ca="1">G40</f>
        <v>43272.699841550922</v>
      </c>
      <c r="H42" s="1075"/>
      <c r="I42" s="1075"/>
      <c r="J42" s="1075"/>
      <c r="K42" s="1048"/>
    </row>
    <row r="43" spans="1:11" s="1049" customFormat="1" ht="15">
      <c r="A43" s="1064"/>
      <c r="F43" s="1081"/>
      <c r="K43" s="1048"/>
    </row>
    <row r="44" spans="1:11" s="1049" customFormat="1" ht="23.4">
      <c r="A44" s="1071" t="s">
        <v>1051</v>
      </c>
      <c r="B44" s="1072" t="s">
        <v>1046</v>
      </c>
      <c r="C44" s="1073"/>
      <c r="D44" s="1082" t="s">
        <v>1047</v>
      </c>
      <c r="E44" s="1083"/>
      <c r="F44" s="1076" t="s">
        <v>1048</v>
      </c>
      <c r="G44" s="1077">
        <f ca="1">G40</f>
        <v>43272.699841550922</v>
      </c>
      <c r="H44" s="1083"/>
      <c r="I44" s="1083"/>
      <c r="J44" s="1083"/>
      <c r="K44" s="1048"/>
    </row>
    <row r="45" spans="1:11" s="1049" customFormat="1" ht="15">
      <c r="A45" s="1064"/>
      <c r="K45" s="1048"/>
    </row>
    <row r="46" spans="1:11" s="1049" customFormat="1" ht="15.6">
      <c r="A46" s="1071" t="s">
        <v>1052</v>
      </c>
      <c r="B46" s="1174"/>
      <c r="C46" s="1174"/>
      <c r="D46" s="1083"/>
      <c r="E46" s="1083"/>
      <c r="F46" s="1076" t="s">
        <v>1048</v>
      </c>
      <c r="G46" s="1083"/>
      <c r="H46" s="1083"/>
      <c r="I46" s="1083"/>
      <c r="J46" s="1083"/>
      <c r="K46" s="1048"/>
    </row>
    <row r="47" spans="1:11" s="1049" customFormat="1" ht="15">
      <c r="A47" s="1064"/>
      <c r="K47" s="1048"/>
    </row>
    <row r="48" spans="1:11" s="1049" customFormat="1" ht="15">
      <c r="A48" s="1064"/>
      <c r="G48" s="1048"/>
      <c r="K48" s="1048"/>
    </row>
    <row r="49" spans="1:11" s="1049" customFormat="1" ht="15">
      <c r="A49" s="1064"/>
      <c r="I49" s="1048"/>
    </row>
    <row r="50" spans="1:11" s="1049" customFormat="1" ht="15">
      <c r="A50" s="1064"/>
      <c r="I50" s="1048"/>
    </row>
    <row r="51" spans="1:11" s="1049" customFormat="1" ht="15">
      <c r="A51" s="1064"/>
      <c r="I51" s="1048"/>
    </row>
    <row r="52" spans="1:11" s="1049" customFormat="1" ht="15">
      <c r="A52" s="1064"/>
      <c r="I52" s="1048"/>
    </row>
    <row r="53" spans="1:11" s="1049" customFormat="1" ht="15">
      <c r="A53" s="1064"/>
      <c r="I53" s="1048"/>
    </row>
    <row r="54" spans="1:11" s="1049" customFormat="1" ht="15">
      <c r="A54" s="1064"/>
      <c r="D54" s="1049" t="s">
        <v>1053</v>
      </c>
      <c r="I54" s="1048"/>
    </row>
    <row r="55" spans="1:11" s="1049" customFormat="1" ht="15">
      <c r="A55" s="1064"/>
      <c r="I55" s="1048"/>
    </row>
    <row r="56" spans="1:11" s="1049" customFormat="1" ht="15">
      <c r="A56" s="1064"/>
      <c r="I56" s="1048"/>
    </row>
    <row r="57" spans="1:11" s="1049" customFormat="1" ht="15">
      <c r="A57" s="1064"/>
      <c r="I57" s="1048"/>
    </row>
    <row r="58" spans="1:11" s="1049" customFormat="1" ht="15">
      <c r="A58" s="1064"/>
      <c r="G58" s="1048"/>
      <c r="K58" s="1048"/>
    </row>
    <row r="59" spans="1:11" s="1049" customFormat="1" ht="15">
      <c r="A59" s="1064"/>
      <c r="G59" s="1048"/>
      <c r="K59" s="1048"/>
    </row>
    <row r="60" spans="1:11" s="1049" customFormat="1" ht="15">
      <c r="A60" s="1064"/>
      <c r="G60" s="1048"/>
      <c r="K60" s="1048"/>
    </row>
    <row r="61" spans="1:11" s="1049" customFormat="1" ht="15">
      <c r="A61" s="1064"/>
      <c r="G61" s="1048"/>
      <c r="K61" s="1048"/>
    </row>
    <row r="62" spans="1:11" s="1049" customFormat="1" ht="15">
      <c r="A62" s="1064"/>
      <c r="G62" s="1048"/>
      <c r="K62" s="1048"/>
    </row>
    <row r="63" spans="1:11" s="1049" customFormat="1" ht="15">
      <c r="A63" s="1064"/>
      <c r="G63" s="1048"/>
      <c r="K63" s="1048"/>
    </row>
    <row r="64" spans="1:11" s="1049" customFormat="1" ht="15">
      <c r="A64" s="1064"/>
      <c r="G64" s="1048"/>
      <c r="K64" s="1048"/>
    </row>
    <row r="65" spans="1:11" s="1049" customFormat="1" ht="15">
      <c r="A65" s="1064"/>
      <c r="G65" s="1048"/>
      <c r="K65" s="1048"/>
    </row>
    <row r="66" spans="1:11" s="1049" customFormat="1" ht="15">
      <c r="A66" s="1064"/>
      <c r="G66" s="1048"/>
      <c r="K66" s="1048"/>
    </row>
    <row r="67" spans="1:11" s="1049" customFormat="1" ht="15">
      <c r="G67" s="1048"/>
      <c r="K67" s="1048"/>
    </row>
    <row r="68" spans="1:11" s="1049" customFormat="1" ht="15">
      <c r="G68" s="1048"/>
      <c r="K68" s="1048"/>
    </row>
    <row r="73" spans="1:11" ht="13.2">
      <c r="K73" s="1084"/>
    </row>
  </sheetData>
  <mergeCells count="6">
    <mergeCell ref="B46:C46"/>
    <mergeCell ref="A1:J1"/>
    <mergeCell ref="A2:J2"/>
    <mergeCell ref="F7:G7"/>
    <mergeCell ref="B9:C9"/>
    <mergeCell ref="B42:C42"/>
  </mergeCells>
  <pageMargins left="0.7" right="0.7" top="0.75" bottom="0.75" header="0.3" footer="0.3"/>
  <pageSetup scale="59" orientation="portrait" r:id="rId1"/>
  <headerFooter>
    <oddFooter>&amp;R&amp;Z&amp;F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topLeftCell="A7" workbookViewId="0">
      <selection activeCell="L19" sqref="L19"/>
    </sheetView>
  </sheetViews>
  <sheetFormatPr defaultRowHeight="14.4"/>
  <cols>
    <col min="1" max="1" width="21.109375" style="1084" customWidth="1"/>
    <col min="2" max="2" width="17.33203125" style="1084" customWidth="1"/>
    <col min="3" max="3" width="4.44140625" style="1084" customWidth="1"/>
    <col min="4" max="4" width="44" style="1084" customWidth="1"/>
    <col min="5" max="5" width="5.109375" style="1084" bestFit="1" customWidth="1"/>
    <col min="6" max="6" width="23.88671875" style="1084" customWidth="1"/>
    <col min="7" max="7" width="18.6640625" style="1084" customWidth="1"/>
    <col min="8" max="9" width="0.109375" style="1084" hidden="1" customWidth="1"/>
    <col min="10" max="10" width="9.109375" style="1084" hidden="1" customWidth="1"/>
    <col min="11" max="11" width="18.6640625" style="1085" customWidth="1"/>
    <col min="12" max="12" width="17.6640625" style="1084" customWidth="1"/>
    <col min="13" max="15" width="9.109375" style="1084"/>
    <col min="16" max="16" width="23.33203125" style="1084" customWidth="1"/>
    <col min="17" max="256" width="9.109375" style="1084"/>
    <col min="257" max="257" width="23.109375" style="1084" customWidth="1"/>
    <col min="258" max="258" width="17.6640625" style="1084" customWidth="1"/>
    <col min="259" max="259" width="4.44140625" style="1084" customWidth="1"/>
    <col min="260" max="260" width="44" style="1084" customWidth="1"/>
    <col min="261" max="261" width="6.33203125" style="1084" customWidth="1"/>
    <col min="262" max="263" width="21.109375" style="1084" customWidth="1"/>
    <col min="264" max="266" width="0" style="1084" hidden="1" customWidth="1"/>
    <col min="267" max="267" width="18.6640625" style="1084" customWidth="1"/>
    <col min="268" max="268" width="9.33203125" style="1084" customWidth="1"/>
    <col min="269" max="512" width="9.109375" style="1084"/>
    <col min="513" max="513" width="23.109375" style="1084" customWidth="1"/>
    <col min="514" max="514" width="17.6640625" style="1084" customWidth="1"/>
    <col min="515" max="515" width="4.44140625" style="1084" customWidth="1"/>
    <col min="516" max="516" width="44" style="1084" customWidth="1"/>
    <col min="517" max="517" width="6.33203125" style="1084" customWidth="1"/>
    <col min="518" max="519" width="21.109375" style="1084" customWidth="1"/>
    <col min="520" max="522" width="0" style="1084" hidden="1" customWidth="1"/>
    <col min="523" max="523" width="18.6640625" style="1084" customWidth="1"/>
    <col min="524" max="524" width="9.33203125" style="1084" customWidth="1"/>
    <col min="525" max="768" width="9.109375" style="1084"/>
    <col min="769" max="769" width="23.109375" style="1084" customWidth="1"/>
    <col min="770" max="770" width="17.6640625" style="1084" customWidth="1"/>
    <col min="771" max="771" width="4.44140625" style="1084" customWidth="1"/>
    <col min="772" max="772" width="44" style="1084" customWidth="1"/>
    <col min="773" max="773" width="6.33203125" style="1084" customWidth="1"/>
    <col min="774" max="775" width="21.109375" style="1084" customWidth="1"/>
    <col min="776" max="778" width="0" style="1084" hidden="1" customWidth="1"/>
    <col min="779" max="779" width="18.6640625" style="1084" customWidth="1"/>
    <col min="780" max="780" width="9.33203125" style="1084" customWidth="1"/>
    <col min="781" max="1024" width="9.109375" style="1084"/>
    <col min="1025" max="1025" width="23.109375" style="1084" customWidth="1"/>
    <col min="1026" max="1026" width="17.6640625" style="1084" customWidth="1"/>
    <col min="1027" max="1027" width="4.44140625" style="1084" customWidth="1"/>
    <col min="1028" max="1028" width="44" style="1084" customWidth="1"/>
    <col min="1029" max="1029" width="6.33203125" style="1084" customWidth="1"/>
    <col min="1030" max="1031" width="21.109375" style="1084" customWidth="1"/>
    <col min="1032" max="1034" width="0" style="1084" hidden="1" customWidth="1"/>
    <col min="1035" max="1035" width="18.6640625" style="1084" customWidth="1"/>
    <col min="1036" max="1036" width="9.33203125" style="1084" customWidth="1"/>
    <col min="1037" max="1280" width="9.109375" style="1084"/>
    <col min="1281" max="1281" width="23.109375" style="1084" customWidth="1"/>
    <col min="1282" max="1282" width="17.6640625" style="1084" customWidth="1"/>
    <col min="1283" max="1283" width="4.44140625" style="1084" customWidth="1"/>
    <col min="1284" max="1284" width="44" style="1084" customWidth="1"/>
    <col min="1285" max="1285" width="6.33203125" style="1084" customWidth="1"/>
    <col min="1286" max="1287" width="21.109375" style="1084" customWidth="1"/>
    <col min="1288" max="1290" width="0" style="1084" hidden="1" customWidth="1"/>
    <col min="1291" max="1291" width="18.6640625" style="1084" customWidth="1"/>
    <col min="1292" max="1292" width="9.33203125" style="1084" customWidth="1"/>
    <col min="1293" max="1536" width="9.109375" style="1084"/>
    <col min="1537" max="1537" width="23.109375" style="1084" customWidth="1"/>
    <col min="1538" max="1538" width="17.6640625" style="1084" customWidth="1"/>
    <col min="1539" max="1539" width="4.44140625" style="1084" customWidth="1"/>
    <col min="1540" max="1540" width="44" style="1084" customWidth="1"/>
    <col min="1541" max="1541" width="6.33203125" style="1084" customWidth="1"/>
    <col min="1542" max="1543" width="21.109375" style="1084" customWidth="1"/>
    <col min="1544" max="1546" width="0" style="1084" hidden="1" customWidth="1"/>
    <col min="1547" max="1547" width="18.6640625" style="1084" customWidth="1"/>
    <col min="1548" max="1548" width="9.33203125" style="1084" customWidth="1"/>
    <col min="1549" max="1792" width="9.109375" style="1084"/>
    <col min="1793" max="1793" width="23.109375" style="1084" customWidth="1"/>
    <col min="1794" max="1794" width="17.6640625" style="1084" customWidth="1"/>
    <col min="1795" max="1795" width="4.44140625" style="1084" customWidth="1"/>
    <col min="1796" max="1796" width="44" style="1084" customWidth="1"/>
    <col min="1797" max="1797" width="6.33203125" style="1084" customWidth="1"/>
    <col min="1798" max="1799" width="21.109375" style="1084" customWidth="1"/>
    <col min="1800" max="1802" width="0" style="1084" hidden="1" customWidth="1"/>
    <col min="1803" max="1803" width="18.6640625" style="1084" customWidth="1"/>
    <col min="1804" max="1804" width="9.33203125" style="1084" customWidth="1"/>
    <col min="1805" max="2048" width="9.109375" style="1084"/>
    <col min="2049" max="2049" width="23.109375" style="1084" customWidth="1"/>
    <col min="2050" max="2050" width="17.6640625" style="1084" customWidth="1"/>
    <col min="2051" max="2051" width="4.44140625" style="1084" customWidth="1"/>
    <col min="2052" max="2052" width="44" style="1084" customWidth="1"/>
    <col min="2053" max="2053" width="6.33203125" style="1084" customWidth="1"/>
    <col min="2054" max="2055" width="21.109375" style="1084" customWidth="1"/>
    <col min="2056" max="2058" width="0" style="1084" hidden="1" customWidth="1"/>
    <col min="2059" max="2059" width="18.6640625" style="1084" customWidth="1"/>
    <col min="2060" max="2060" width="9.33203125" style="1084" customWidth="1"/>
    <col min="2061" max="2304" width="9.109375" style="1084"/>
    <col min="2305" max="2305" width="23.109375" style="1084" customWidth="1"/>
    <col min="2306" max="2306" width="17.6640625" style="1084" customWidth="1"/>
    <col min="2307" max="2307" width="4.44140625" style="1084" customWidth="1"/>
    <col min="2308" max="2308" width="44" style="1084" customWidth="1"/>
    <col min="2309" max="2309" width="6.33203125" style="1084" customWidth="1"/>
    <col min="2310" max="2311" width="21.109375" style="1084" customWidth="1"/>
    <col min="2312" max="2314" width="0" style="1084" hidden="1" customWidth="1"/>
    <col min="2315" max="2315" width="18.6640625" style="1084" customWidth="1"/>
    <col min="2316" max="2316" width="9.33203125" style="1084" customWidth="1"/>
    <col min="2317" max="2560" width="9.109375" style="1084"/>
    <col min="2561" max="2561" width="23.109375" style="1084" customWidth="1"/>
    <col min="2562" max="2562" width="17.6640625" style="1084" customWidth="1"/>
    <col min="2563" max="2563" width="4.44140625" style="1084" customWidth="1"/>
    <col min="2564" max="2564" width="44" style="1084" customWidth="1"/>
    <col min="2565" max="2565" width="6.33203125" style="1084" customWidth="1"/>
    <col min="2566" max="2567" width="21.109375" style="1084" customWidth="1"/>
    <col min="2568" max="2570" width="0" style="1084" hidden="1" customWidth="1"/>
    <col min="2571" max="2571" width="18.6640625" style="1084" customWidth="1"/>
    <col min="2572" max="2572" width="9.33203125" style="1084" customWidth="1"/>
    <col min="2573" max="2816" width="9.109375" style="1084"/>
    <col min="2817" max="2817" width="23.109375" style="1084" customWidth="1"/>
    <col min="2818" max="2818" width="17.6640625" style="1084" customWidth="1"/>
    <col min="2819" max="2819" width="4.44140625" style="1084" customWidth="1"/>
    <col min="2820" max="2820" width="44" style="1084" customWidth="1"/>
    <col min="2821" max="2821" width="6.33203125" style="1084" customWidth="1"/>
    <col min="2822" max="2823" width="21.109375" style="1084" customWidth="1"/>
    <col min="2824" max="2826" width="0" style="1084" hidden="1" customWidth="1"/>
    <col min="2827" max="2827" width="18.6640625" style="1084" customWidth="1"/>
    <col min="2828" max="2828" width="9.33203125" style="1084" customWidth="1"/>
    <col min="2829" max="3072" width="9.109375" style="1084"/>
    <col min="3073" max="3073" width="23.109375" style="1084" customWidth="1"/>
    <col min="3074" max="3074" width="17.6640625" style="1084" customWidth="1"/>
    <col min="3075" max="3075" width="4.44140625" style="1084" customWidth="1"/>
    <col min="3076" max="3076" width="44" style="1084" customWidth="1"/>
    <col min="3077" max="3077" width="6.33203125" style="1084" customWidth="1"/>
    <col min="3078" max="3079" width="21.109375" style="1084" customWidth="1"/>
    <col min="3080" max="3082" width="0" style="1084" hidden="1" customWidth="1"/>
    <col min="3083" max="3083" width="18.6640625" style="1084" customWidth="1"/>
    <col min="3084" max="3084" width="9.33203125" style="1084" customWidth="1"/>
    <col min="3085" max="3328" width="9.109375" style="1084"/>
    <col min="3329" max="3329" width="23.109375" style="1084" customWidth="1"/>
    <col min="3330" max="3330" width="17.6640625" style="1084" customWidth="1"/>
    <col min="3331" max="3331" width="4.44140625" style="1084" customWidth="1"/>
    <col min="3332" max="3332" width="44" style="1084" customWidth="1"/>
    <col min="3333" max="3333" width="6.33203125" style="1084" customWidth="1"/>
    <col min="3334" max="3335" width="21.109375" style="1084" customWidth="1"/>
    <col min="3336" max="3338" width="0" style="1084" hidden="1" customWidth="1"/>
    <col min="3339" max="3339" width="18.6640625" style="1084" customWidth="1"/>
    <col min="3340" max="3340" width="9.33203125" style="1084" customWidth="1"/>
    <col min="3341" max="3584" width="9.109375" style="1084"/>
    <col min="3585" max="3585" width="23.109375" style="1084" customWidth="1"/>
    <col min="3586" max="3586" width="17.6640625" style="1084" customWidth="1"/>
    <col min="3587" max="3587" width="4.44140625" style="1084" customWidth="1"/>
    <col min="3588" max="3588" width="44" style="1084" customWidth="1"/>
    <col min="3589" max="3589" width="6.33203125" style="1084" customWidth="1"/>
    <col min="3590" max="3591" width="21.109375" style="1084" customWidth="1"/>
    <col min="3592" max="3594" width="0" style="1084" hidden="1" customWidth="1"/>
    <col min="3595" max="3595" width="18.6640625" style="1084" customWidth="1"/>
    <col min="3596" max="3596" width="9.33203125" style="1084" customWidth="1"/>
    <col min="3597" max="3840" width="9.109375" style="1084"/>
    <col min="3841" max="3841" width="23.109375" style="1084" customWidth="1"/>
    <col min="3842" max="3842" width="17.6640625" style="1084" customWidth="1"/>
    <col min="3843" max="3843" width="4.44140625" style="1084" customWidth="1"/>
    <col min="3844" max="3844" width="44" style="1084" customWidth="1"/>
    <col min="3845" max="3845" width="6.33203125" style="1084" customWidth="1"/>
    <col min="3846" max="3847" width="21.109375" style="1084" customWidth="1"/>
    <col min="3848" max="3850" width="0" style="1084" hidden="1" customWidth="1"/>
    <col min="3851" max="3851" width="18.6640625" style="1084" customWidth="1"/>
    <col min="3852" max="3852" width="9.33203125" style="1084" customWidth="1"/>
    <col min="3853" max="4096" width="9.109375" style="1084"/>
    <col min="4097" max="4097" width="23.109375" style="1084" customWidth="1"/>
    <col min="4098" max="4098" width="17.6640625" style="1084" customWidth="1"/>
    <col min="4099" max="4099" width="4.44140625" style="1084" customWidth="1"/>
    <col min="4100" max="4100" width="44" style="1084" customWidth="1"/>
    <col min="4101" max="4101" width="6.33203125" style="1084" customWidth="1"/>
    <col min="4102" max="4103" width="21.109375" style="1084" customWidth="1"/>
    <col min="4104" max="4106" width="0" style="1084" hidden="1" customWidth="1"/>
    <col min="4107" max="4107" width="18.6640625" style="1084" customWidth="1"/>
    <col min="4108" max="4108" width="9.33203125" style="1084" customWidth="1"/>
    <col min="4109" max="4352" width="9.109375" style="1084"/>
    <col min="4353" max="4353" width="23.109375" style="1084" customWidth="1"/>
    <col min="4354" max="4354" width="17.6640625" style="1084" customWidth="1"/>
    <col min="4355" max="4355" width="4.44140625" style="1084" customWidth="1"/>
    <col min="4356" max="4356" width="44" style="1084" customWidth="1"/>
    <col min="4357" max="4357" width="6.33203125" style="1084" customWidth="1"/>
    <col min="4358" max="4359" width="21.109375" style="1084" customWidth="1"/>
    <col min="4360" max="4362" width="0" style="1084" hidden="1" customWidth="1"/>
    <col min="4363" max="4363" width="18.6640625" style="1084" customWidth="1"/>
    <col min="4364" max="4364" width="9.33203125" style="1084" customWidth="1"/>
    <col min="4365" max="4608" width="9.109375" style="1084"/>
    <col min="4609" max="4609" width="23.109375" style="1084" customWidth="1"/>
    <col min="4610" max="4610" width="17.6640625" style="1084" customWidth="1"/>
    <col min="4611" max="4611" width="4.44140625" style="1084" customWidth="1"/>
    <col min="4612" max="4612" width="44" style="1084" customWidth="1"/>
    <col min="4613" max="4613" width="6.33203125" style="1084" customWidth="1"/>
    <col min="4614" max="4615" width="21.109375" style="1084" customWidth="1"/>
    <col min="4616" max="4618" width="0" style="1084" hidden="1" customWidth="1"/>
    <col min="4619" max="4619" width="18.6640625" style="1084" customWidth="1"/>
    <col min="4620" max="4620" width="9.33203125" style="1084" customWidth="1"/>
    <col min="4621" max="4864" width="9.109375" style="1084"/>
    <col min="4865" max="4865" width="23.109375" style="1084" customWidth="1"/>
    <col min="4866" max="4866" width="17.6640625" style="1084" customWidth="1"/>
    <col min="4867" max="4867" width="4.44140625" style="1084" customWidth="1"/>
    <col min="4868" max="4868" width="44" style="1084" customWidth="1"/>
    <col min="4869" max="4869" width="6.33203125" style="1084" customWidth="1"/>
    <col min="4870" max="4871" width="21.109375" style="1084" customWidth="1"/>
    <col min="4872" max="4874" width="0" style="1084" hidden="1" customWidth="1"/>
    <col min="4875" max="4875" width="18.6640625" style="1084" customWidth="1"/>
    <col min="4876" max="4876" width="9.33203125" style="1084" customWidth="1"/>
    <col min="4877" max="5120" width="9.109375" style="1084"/>
    <col min="5121" max="5121" width="23.109375" style="1084" customWidth="1"/>
    <col min="5122" max="5122" width="17.6640625" style="1084" customWidth="1"/>
    <col min="5123" max="5123" width="4.44140625" style="1084" customWidth="1"/>
    <col min="5124" max="5124" width="44" style="1084" customWidth="1"/>
    <col min="5125" max="5125" width="6.33203125" style="1084" customWidth="1"/>
    <col min="5126" max="5127" width="21.109375" style="1084" customWidth="1"/>
    <col min="5128" max="5130" width="0" style="1084" hidden="1" customWidth="1"/>
    <col min="5131" max="5131" width="18.6640625" style="1084" customWidth="1"/>
    <col min="5132" max="5132" width="9.33203125" style="1084" customWidth="1"/>
    <col min="5133" max="5376" width="9.109375" style="1084"/>
    <col min="5377" max="5377" width="23.109375" style="1084" customWidth="1"/>
    <col min="5378" max="5378" width="17.6640625" style="1084" customWidth="1"/>
    <col min="5379" max="5379" width="4.44140625" style="1084" customWidth="1"/>
    <col min="5380" max="5380" width="44" style="1084" customWidth="1"/>
    <col min="5381" max="5381" width="6.33203125" style="1084" customWidth="1"/>
    <col min="5382" max="5383" width="21.109375" style="1084" customWidth="1"/>
    <col min="5384" max="5386" width="0" style="1084" hidden="1" customWidth="1"/>
    <col min="5387" max="5387" width="18.6640625" style="1084" customWidth="1"/>
    <col min="5388" max="5388" width="9.33203125" style="1084" customWidth="1"/>
    <col min="5389" max="5632" width="9.109375" style="1084"/>
    <col min="5633" max="5633" width="23.109375" style="1084" customWidth="1"/>
    <col min="5634" max="5634" width="17.6640625" style="1084" customWidth="1"/>
    <col min="5635" max="5635" width="4.44140625" style="1084" customWidth="1"/>
    <col min="5636" max="5636" width="44" style="1084" customWidth="1"/>
    <col min="5637" max="5637" width="6.33203125" style="1084" customWidth="1"/>
    <col min="5638" max="5639" width="21.109375" style="1084" customWidth="1"/>
    <col min="5640" max="5642" width="0" style="1084" hidden="1" customWidth="1"/>
    <col min="5643" max="5643" width="18.6640625" style="1084" customWidth="1"/>
    <col min="5644" max="5644" width="9.33203125" style="1084" customWidth="1"/>
    <col min="5645" max="5888" width="9.109375" style="1084"/>
    <col min="5889" max="5889" width="23.109375" style="1084" customWidth="1"/>
    <col min="5890" max="5890" width="17.6640625" style="1084" customWidth="1"/>
    <col min="5891" max="5891" width="4.44140625" style="1084" customWidth="1"/>
    <col min="5892" max="5892" width="44" style="1084" customWidth="1"/>
    <col min="5893" max="5893" width="6.33203125" style="1084" customWidth="1"/>
    <col min="5894" max="5895" width="21.109375" style="1084" customWidth="1"/>
    <col min="5896" max="5898" width="0" style="1084" hidden="1" customWidth="1"/>
    <col min="5899" max="5899" width="18.6640625" style="1084" customWidth="1"/>
    <col min="5900" max="5900" width="9.33203125" style="1084" customWidth="1"/>
    <col min="5901" max="6144" width="9.109375" style="1084"/>
    <col min="6145" max="6145" width="23.109375" style="1084" customWidth="1"/>
    <col min="6146" max="6146" width="17.6640625" style="1084" customWidth="1"/>
    <col min="6147" max="6147" width="4.44140625" style="1084" customWidth="1"/>
    <col min="6148" max="6148" width="44" style="1084" customWidth="1"/>
    <col min="6149" max="6149" width="6.33203125" style="1084" customWidth="1"/>
    <col min="6150" max="6151" width="21.109375" style="1084" customWidth="1"/>
    <col min="6152" max="6154" width="0" style="1084" hidden="1" customWidth="1"/>
    <col min="6155" max="6155" width="18.6640625" style="1084" customWidth="1"/>
    <col min="6156" max="6156" width="9.33203125" style="1084" customWidth="1"/>
    <col min="6157" max="6400" width="9.109375" style="1084"/>
    <col min="6401" max="6401" width="23.109375" style="1084" customWidth="1"/>
    <col min="6402" max="6402" width="17.6640625" style="1084" customWidth="1"/>
    <col min="6403" max="6403" width="4.44140625" style="1084" customWidth="1"/>
    <col min="6404" max="6404" width="44" style="1084" customWidth="1"/>
    <col min="6405" max="6405" width="6.33203125" style="1084" customWidth="1"/>
    <col min="6406" max="6407" width="21.109375" style="1084" customWidth="1"/>
    <col min="6408" max="6410" width="0" style="1084" hidden="1" customWidth="1"/>
    <col min="6411" max="6411" width="18.6640625" style="1084" customWidth="1"/>
    <col min="6412" max="6412" width="9.33203125" style="1084" customWidth="1"/>
    <col min="6413" max="6656" width="9.109375" style="1084"/>
    <col min="6657" max="6657" width="23.109375" style="1084" customWidth="1"/>
    <col min="6658" max="6658" width="17.6640625" style="1084" customWidth="1"/>
    <col min="6659" max="6659" width="4.44140625" style="1084" customWidth="1"/>
    <col min="6660" max="6660" width="44" style="1084" customWidth="1"/>
    <col min="6661" max="6661" width="6.33203125" style="1084" customWidth="1"/>
    <col min="6662" max="6663" width="21.109375" style="1084" customWidth="1"/>
    <col min="6664" max="6666" width="0" style="1084" hidden="1" customWidth="1"/>
    <col min="6667" max="6667" width="18.6640625" style="1084" customWidth="1"/>
    <col min="6668" max="6668" width="9.33203125" style="1084" customWidth="1"/>
    <col min="6669" max="6912" width="9.109375" style="1084"/>
    <col min="6913" max="6913" width="23.109375" style="1084" customWidth="1"/>
    <col min="6914" max="6914" width="17.6640625" style="1084" customWidth="1"/>
    <col min="6915" max="6915" width="4.44140625" style="1084" customWidth="1"/>
    <col min="6916" max="6916" width="44" style="1084" customWidth="1"/>
    <col min="6917" max="6917" width="6.33203125" style="1084" customWidth="1"/>
    <col min="6918" max="6919" width="21.109375" style="1084" customWidth="1"/>
    <col min="6920" max="6922" width="0" style="1084" hidden="1" customWidth="1"/>
    <col min="6923" max="6923" width="18.6640625" style="1084" customWidth="1"/>
    <col min="6924" max="6924" width="9.33203125" style="1084" customWidth="1"/>
    <col min="6925" max="7168" width="9.109375" style="1084"/>
    <col min="7169" max="7169" width="23.109375" style="1084" customWidth="1"/>
    <col min="7170" max="7170" width="17.6640625" style="1084" customWidth="1"/>
    <col min="7171" max="7171" width="4.44140625" style="1084" customWidth="1"/>
    <col min="7172" max="7172" width="44" style="1084" customWidth="1"/>
    <col min="7173" max="7173" width="6.33203125" style="1084" customWidth="1"/>
    <col min="7174" max="7175" width="21.109375" style="1084" customWidth="1"/>
    <col min="7176" max="7178" width="0" style="1084" hidden="1" customWidth="1"/>
    <col min="7179" max="7179" width="18.6640625" style="1084" customWidth="1"/>
    <col min="7180" max="7180" width="9.33203125" style="1084" customWidth="1"/>
    <col min="7181" max="7424" width="9.109375" style="1084"/>
    <col min="7425" max="7425" width="23.109375" style="1084" customWidth="1"/>
    <col min="7426" max="7426" width="17.6640625" style="1084" customWidth="1"/>
    <col min="7427" max="7427" width="4.44140625" style="1084" customWidth="1"/>
    <col min="7428" max="7428" width="44" style="1084" customWidth="1"/>
    <col min="7429" max="7429" width="6.33203125" style="1084" customWidth="1"/>
    <col min="7430" max="7431" width="21.109375" style="1084" customWidth="1"/>
    <col min="7432" max="7434" width="0" style="1084" hidden="1" customWidth="1"/>
    <col min="7435" max="7435" width="18.6640625" style="1084" customWidth="1"/>
    <col min="7436" max="7436" width="9.33203125" style="1084" customWidth="1"/>
    <col min="7437" max="7680" width="9.109375" style="1084"/>
    <col min="7681" max="7681" width="23.109375" style="1084" customWidth="1"/>
    <col min="7682" max="7682" width="17.6640625" style="1084" customWidth="1"/>
    <col min="7683" max="7683" width="4.44140625" style="1084" customWidth="1"/>
    <col min="7684" max="7684" width="44" style="1084" customWidth="1"/>
    <col min="7685" max="7685" width="6.33203125" style="1084" customWidth="1"/>
    <col min="7686" max="7687" width="21.109375" style="1084" customWidth="1"/>
    <col min="7688" max="7690" width="0" style="1084" hidden="1" customWidth="1"/>
    <col min="7691" max="7691" width="18.6640625" style="1084" customWidth="1"/>
    <col min="7692" max="7692" width="9.33203125" style="1084" customWidth="1"/>
    <col min="7693" max="7936" width="9.109375" style="1084"/>
    <col min="7937" max="7937" width="23.109375" style="1084" customWidth="1"/>
    <col min="7938" max="7938" width="17.6640625" style="1084" customWidth="1"/>
    <col min="7939" max="7939" width="4.44140625" style="1084" customWidth="1"/>
    <col min="7940" max="7940" width="44" style="1084" customWidth="1"/>
    <col min="7941" max="7941" width="6.33203125" style="1084" customWidth="1"/>
    <col min="7942" max="7943" width="21.109375" style="1084" customWidth="1"/>
    <col min="7944" max="7946" width="0" style="1084" hidden="1" customWidth="1"/>
    <col min="7947" max="7947" width="18.6640625" style="1084" customWidth="1"/>
    <col min="7948" max="7948" width="9.33203125" style="1084" customWidth="1"/>
    <col min="7949" max="8192" width="9.109375" style="1084"/>
    <col min="8193" max="8193" width="23.109375" style="1084" customWidth="1"/>
    <col min="8194" max="8194" width="17.6640625" style="1084" customWidth="1"/>
    <col min="8195" max="8195" width="4.44140625" style="1084" customWidth="1"/>
    <col min="8196" max="8196" width="44" style="1084" customWidth="1"/>
    <col min="8197" max="8197" width="6.33203125" style="1084" customWidth="1"/>
    <col min="8198" max="8199" width="21.109375" style="1084" customWidth="1"/>
    <col min="8200" max="8202" width="0" style="1084" hidden="1" customWidth="1"/>
    <col min="8203" max="8203" width="18.6640625" style="1084" customWidth="1"/>
    <col min="8204" max="8204" width="9.33203125" style="1084" customWidth="1"/>
    <col min="8205" max="8448" width="9.109375" style="1084"/>
    <col min="8449" max="8449" width="23.109375" style="1084" customWidth="1"/>
    <col min="8450" max="8450" width="17.6640625" style="1084" customWidth="1"/>
    <col min="8451" max="8451" width="4.44140625" style="1084" customWidth="1"/>
    <col min="8452" max="8452" width="44" style="1084" customWidth="1"/>
    <col min="8453" max="8453" width="6.33203125" style="1084" customWidth="1"/>
    <col min="8454" max="8455" width="21.109375" style="1084" customWidth="1"/>
    <col min="8456" max="8458" width="0" style="1084" hidden="1" customWidth="1"/>
    <col min="8459" max="8459" width="18.6640625" style="1084" customWidth="1"/>
    <col min="8460" max="8460" width="9.33203125" style="1084" customWidth="1"/>
    <col min="8461" max="8704" width="9.109375" style="1084"/>
    <col min="8705" max="8705" width="23.109375" style="1084" customWidth="1"/>
    <col min="8706" max="8706" width="17.6640625" style="1084" customWidth="1"/>
    <col min="8707" max="8707" width="4.44140625" style="1084" customWidth="1"/>
    <col min="8708" max="8708" width="44" style="1084" customWidth="1"/>
    <col min="8709" max="8709" width="6.33203125" style="1084" customWidth="1"/>
    <col min="8710" max="8711" width="21.109375" style="1084" customWidth="1"/>
    <col min="8712" max="8714" width="0" style="1084" hidden="1" customWidth="1"/>
    <col min="8715" max="8715" width="18.6640625" style="1084" customWidth="1"/>
    <col min="8716" max="8716" width="9.33203125" style="1084" customWidth="1"/>
    <col min="8717" max="8960" width="9.109375" style="1084"/>
    <col min="8961" max="8961" width="23.109375" style="1084" customWidth="1"/>
    <col min="8962" max="8962" width="17.6640625" style="1084" customWidth="1"/>
    <col min="8963" max="8963" width="4.44140625" style="1084" customWidth="1"/>
    <col min="8964" max="8964" width="44" style="1084" customWidth="1"/>
    <col min="8965" max="8965" width="6.33203125" style="1084" customWidth="1"/>
    <col min="8966" max="8967" width="21.109375" style="1084" customWidth="1"/>
    <col min="8968" max="8970" width="0" style="1084" hidden="1" customWidth="1"/>
    <col min="8971" max="8971" width="18.6640625" style="1084" customWidth="1"/>
    <col min="8972" max="8972" width="9.33203125" style="1084" customWidth="1"/>
    <col min="8973" max="9216" width="9.109375" style="1084"/>
    <col min="9217" max="9217" width="23.109375" style="1084" customWidth="1"/>
    <col min="9218" max="9218" width="17.6640625" style="1084" customWidth="1"/>
    <col min="9219" max="9219" width="4.44140625" style="1084" customWidth="1"/>
    <col min="9220" max="9220" width="44" style="1084" customWidth="1"/>
    <col min="9221" max="9221" width="6.33203125" style="1084" customWidth="1"/>
    <col min="9222" max="9223" width="21.109375" style="1084" customWidth="1"/>
    <col min="9224" max="9226" width="0" style="1084" hidden="1" customWidth="1"/>
    <col min="9227" max="9227" width="18.6640625" style="1084" customWidth="1"/>
    <col min="9228" max="9228" width="9.33203125" style="1084" customWidth="1"/>
    <col min="9229" max="9472" width="9.109375" style="1084"/>
    <col min="9473" max="9473" width="23.109375" style="1084" customWidth="1"/>
    <col min="9474" max="9474" width="17.6640625" style="1084" customWidth="1"/>
    <col min="9475" max="9475" width="4.44140625" style="1084" customWidth="1"/>
    <col min="9476" max="9476" width="44" style="1084" customWidth="1"/>
    <col min="9477" max="9477" width="6.33203125" style="1084" customWidth="1"/>
    <col min="9478" max="9479" width="21.109375" style="1084" customWidth="1"/>
    <col min="9480" max="9482" width="0" style="1084" hidden="1" customWidth="1"/>
    <col min="9483" max="9483" width="18.6640625" style="1084" customWidth="1"/>
    <col min="9484" max="9484" width="9.33203125" style="1084" customWidth="1"/>
    <col min="9485" max="9728" width="9.109375" style="1084"/>
    <col min="9729" max="9729" width="23.109375" style="1084" customWidth="1"/>
    <col min="9730" max="9730" width="17.6640625" style="1084" customWidth="1"/>
    <col min="9731" max="9731" width="4.44140625" style="1084" customWidth="1"/>
    <col min="9732" max="9732" width="44" style="1084" customWidth="1"/>
    <col min="9733" max="9733" width="6.33203125" style="1084" customWidth="1"/>
    <col min="9734" max="9735" width="21.109375" style="1084" customWidth="1"/>
    <col min="9736" max="9738" width="0" style="1084" hidden="1" customWidth="1"/>
    <col min="9739" max="9739" width="18.6640625" style="1084" customWidth="1"/>
    <col min="9740" max="9740" width="9.33203125" style="1084" customWidth="1"/>
    <col min="9741" max="9984" width="9.109375" style="1084"/>
    <col min="9985" max="9985" width="23.109375" style="1084" customWidth="1"/>
    <col min="9986" max="9986" width="17.6640625" style="1084" customWidth="1"/>
    <col min="9987" max="9987" width="4.44140625" style="1084" customWidth="1"/>
    <col min="9988" max="9988" width="44" style="1084" customWidth="1"/>
    <col min="9989" max="9989" width="6.33203125" style="1084" customWidth="1"/>
    <col min="9990" max="9991" width="21.109375" style="1084" customWidth="1"/>
    <col min="9992" max="9994" width="0" style="1084" hidden="1" customWidth="1"/>
    <col min="9995" max="9995" width="18.6640625" style="1084" customWidth="1"/>
    <col min="9996" max="9996" width="9.33203125" style="1084" customWidth="1"/>
    <col min="9997" max="10240" width="9.109375" style="1084"/>
    <col min="10241" max="10241" width="23.109375" style="1084" customWidth="1"/>
    <col min="10242" max="10242" width="17.6640625" style="1084" customWidth="1"/>
    <col min="10243" max="10243" width="4.44140625" style="1084" customWidth="1"/>
    <col min="10244" max="10244" width="44" style="1084" customWidth="1"/>
    <col min="10245" max="10245" width="6.33203125" style="1084" customWidth="1"/>
    <col min="10246" max="10247" width="21.109375" style="1084" customWidth="1"/>
    <col min="10248" max="10250" width="0" style="1084" hidden="1" customWidth="1"/>
    <col min="10251" max="10251" width="18.6640625" style="1084" customWidth="1"/>
    <col min="10252" max="10252" width="9.33203125" style="1084" customWidth="1"/>
    <col min="10253" max="10496" width="9.109375" style="1084"/>
    <col min="10497" max="10497" width="23.109375" style="1084" customWidth="1"/>
    <col min="10498" max="10498" width="17.6640625" style="1084" customWidth="1"/>
    <col min="10499" max="10499" width="4.44140625" style="1084" customWidth="1"/>
    <col min="10500" max="10500" width="44" style="1084" customWidth="1"/>
    <col min="10501" max="10501" width="6.33203125" style="1084" customWidth="1"/>
    <col min="10502" max="10503" width="21.109375" style="1084" customWidth="1"/>
    <col min="10504" max="10506" width="0" style="1084" hidden="1" customWidth="1"/>
    <col min="10507" max="10507" width="18.6640625" style="1084" customWidth="1"/>
    <col min="10508" max="10508" width="9.33203125" style="1084" customWidth="1"/>
    <col min="10509" max="10752" width="9.109375" style="1084"/>
    <col min="10753" max="10753" width="23.109375" style="1084" customWidth="1"/>
    <col min="10754" max="10754" width="17.6640625" style="1084" customWidth="1"/>
    <col min="10755" max="10755" width="4.44140625" style="1084" customWidth="1"/>
    <col min="10756" max="10756" width="44" style="1084" customWidth="1"/>
    <col min="10757" max="10757" width="6.33203125" style="1084" customWidth="1"/>
    <col min="10758" max="10759" width="21.109375" style="1084" customWidth="1"/>
    <col min="10760" max="10762" width="0" style="1084" hidden="1" customWidth="1"/>
    <col min="10763" max="10763" width="18.6640625" style="1084" customWidth="1"/>
    <col min="10764" max="10764" width="9.33203125" style="1084" customWidth="1"/>
    <col min="10765" max="11008" width="9.109375" style="1084"/>
    <col min="11009" max="11009" width="23.109375" style="1084" customWidth="1"/>
    <col min="11010" max="11010" width="17.6640625" style="1084" customWidth="1"/>
    <col min="11011" max="11011" width="4.44140625" style="1084" customWidth="1"/>
    <col min="11012" max="11012" width="44" style="1084" customWidth="1"/>
    <col min="11013" max="11013" width="6.33203125" style="1084" customWidth="1"/>
    <col min="11014" max="11015" width="21.109375" style="1084" customWidth="1"/>
    <col min="11016" max="11018" width="0" style="1084" hidden="1" customWidth="1"/>
    <col min="11019" max="11019" width="18.6640625" style="1084" customWidth="1"/>
    <col min="11020" max="11020" width="9.33203125" style="1084" customWidth="1"/>
    <col min="11021" max="11264" width="9.109375" style="1084"/>
    <col min="11265" max="11265" width="23.109375" style="1084" customWidth="1"/>
    <col min="11266" max="11266" width="17.6640625" style="1084" customWidth="1"/>
    <col min="11267" max="11267" width="4.44140625" style="1084" customWidth="1"/>
    <col min="11268" max="11268" width="44" style="1084" customWidth="1"/>
    <col min="11269" max="11269" width="6.33203125" style="1084" customWidth="1"/>
    <col min="11270" max="11271" width="21.109375" style="1084" customWidth="1"/>
    <col min="11272" max="11274" width="0" style="1084" hidden="1" customWidth="1"/>
    <col min="11275" max="11275" width="18.6640625" style="1084" customWidth="1"/>
    <col min="11276" max="11276" width="9.33203125" style="1084" customWidth="1"/>
    <col min="11277" max="11520" width="9.109375" style="1084"/>
    <col min="11521" max="11521" width="23.109375" style="1084" customWidth="1"/>
    <col min="11522" max="11522" width="17.6640625" style="1084" customWidth="1"/>
    <col min="11523" max="11523" width="4.44140625" style="1084" customWidth="1"/>
    <col min="11524" max="11524" width="44" style="1084" customWidth="1"/>
    <col min="11525" max="11525" width="6.33203125" style="1084" customWidth="1"/>
    <col min="11526" max="11527" width="21.109375" style="1084" customWidth="1"/>
    <col min="11528" max="11530" width="0" style="1084" hidden="1" customWidth="1"/>
    <col min="11531" max="11531" width="18.6640625" style="1084" customWidth="1"/>
    <col min="11532" max="11532" width="9.33203125" style="1084" customWidth="1"/>
    <col min="11533" max="11776" width="9.109375" style="1084"/>
    <col min="11777" max="11777" width="23.109375" style="1084" customWidth="1"/>
    <col min="11778" max="11778" width="17.6640625" style="1084" customWidth="1"/>
    <col min="11779" max="11779" width="4.44140625" style="1084" customWidth="1"/>
    <col min="11780" max="11780" width="44" style="1084" customWidth="1"/>
    <col min="11781" max="11781" width="6.33203125" style="1084" customWidth="1"/>
    <col min="11782" max="11783" width="21.109375" style="1084" customWidth="1"/>
    <col min="11784" max="11786" width="0" style="1084" hidden="1" customWidth="1"/>
    <col min="11787" max="11787" width="18.6640625" style="1084" customWidth="1"/>
    <col min="11788" max="11788" width="9.33203125" style="1084" customWidth="1"/>
    <col min="11789" max="12032" width="9.109375" style="1084"/>
    <col min="12033" max="12033" width="23.109375" style="1084" customWidth="1"/>
    <col min="12034" max="12034" width="17.6640625" style="1084" customWidth="1"/>
    <col min="12035" max="12035" width="4.44140625" style="1084" customWidth="1"/>
    <col min="12036" max="12036" width="44" style="1084" customWidth="1"/>
    <col min="12037" max="12037" width="6.33203125" style="1084" customWidth="1"/>
    <col min="12038" max="12039" width="21.109375" style="1084" customWidth="1"/>
    <col min="12040" max="12042" width="0" style="1084" hidden="1" customWidth="1"/>
    <col min="12043" max="12043" width="18.6640625" style="1084" customWidth="1"/>
    <col min="12044" max="12044" width="9.33203125" style="1084" customWidth="1"/>
    <col min="12045" max="12288" width="9.109375" style="1084"/>
    <col min="12289" max="12289" width="23.109375" style="1084" customWidth="1"/>
    <col min="12290" max="12290" width="17.6640625" style="1084" customWidth="1"/>
    <col min="12291" max="12291" width="4.44140625" style="1084" customWidth="1"/>
    <col min="12292" max="12292" width="44" style="1084" customWidth="1"/>
    <col min="12293" max="12293" width="6.33203125" style="1084" customWidth="1"/>
    <col min="12294" max="12295" width="21.109375" style="1084" customWidth="1"/>
    <col min="12296" max="12298" width="0" style="1084" hidden="1" customWidth="1"/>
    <col min="12299" max="12299" width="18.6640625" style="1084" customWidth="1"/>
    <col min="12300" max="12300" width="9.33203125" style="1084" customWidth="1"/>
    <col min="12301" max="12544" width="9.109375" style="1084"/>
    <col min="12545" max="12545" width="23.109375" style="1084" customWidth="1"/>
    <col min="12546" max="12546" width="17.6640625" style="1084" customWidth="1"/>
    <col min="12547" max="12547" width="4.44140625" style="1084" customWidth="1"/>
    <col min="12548" max="12548" width="44" style="1084" customWidth="1"/>
    <col min="12549" max="12549" width="6.33203125" style="1084" customWidth="1"/>
    <col min="12550" max="12551" width="21.109375" style="1084" customWidth="1"/>
    <col min="12552" max="12554" width="0" style="1084" hidden="1" customWidth="1"/>
    <col min="12555" max="12555" width="18.6640625" style="1084" customWidth="1"/>
    <col min="12556" max="12556" width="9.33203125" style="1084" customWidth="1"/>
    <col min="12557" max="12800" width="9.109375" style="1084"/>
    <col min="12801" max="12801" width="23.109375" style="1084" customWidth="1"/>
    <col min="12802" max="12802" width="17.6640625" style="1084" customWidth="1"/>
    <col min="12803" max="12803" width="4.44140625" style="1084" customWidth="1"/>
    <col min="12804" max="12804" width="44" style="1084" customWidth="1"/>
    <col min="12805" max="12805" width="6.33203125" style="1084" customWidth="1"/>
    <col min="12806" max="12807" width="21.109375" style="1084" customWidth="1"/>
    <col min="12808" max="12810" width="0" style="1084" hidden="1" customWidth="1"/>
    <col min="12811" max="12811" width="18.6640625" style="1084" customWidth="1"/>
    <col min="12812" max="12812" width="9.33203125" style="1084" customWidth="1"/>
    <col min="12813" max="13056" width="9.109375" style="1084"/>
    <col min="13057" max="13057" width="23.109375" style="1084" customWidth="1"/>
    <col min="13058" max="13058" width="17.6640625" style="1084" customWidth="1"/>
    <col min="13059" max="13059" width="4.44140625" style="1084" customWidth="1"/>
    <col min="13060" max="13060" width="44" style="1084" customWidth="1"/>
    <col min="13061" max="13061" width="6.33203125" style="1084" customWidth="1"/>
    <col min="13062" max="13063" width="21.109375" style="1084" customWidth="1"/>
    <col min="13064" max="13066" width="0" style="1084" hidden="1" customWidth="1"/>
    <col min="13067" max="13067" width="18.6640625" style="1084" customWidth="1"/>
    <col min="13068" max="13068" width="9.33203125" style="1084" customWidth="1"/>
    <col min="13069" max="13312" width="9.109375" style="1084"/>
    <col min="13313" max="13313" width="23.109375" style="1084" customWidth="1"/>
    <col min="13314" max="13314" width="17.6640625" style="1084" customWidth="1"/>
    <col min="13315" max="13315" width="4.44140625" style="1084" customWidth="1"/>
    <col min="13316" max="13316" width="44" style="1084" customWidth="1"/>
    <col min="13317" max="13317" width="6.33203125" style="1084" customWidth="1"/>
    <col min="13318" max="13319" width="21.109375" style="1084" customWidth="1"/>
    <col min="13320" max="13322" width="0" style="1084" hidden="1" customWidth="1"/>
    <col min="13323" max="13323" width="18.6640625" style="1084" customWidth="1"/>
    <col min="13324" max="13324" width="9.33203125" style="1084" customWidth="1"/>
    <col min="13325" max="13568" width="9.109375" style="1084"/>
    <col min="13569" max="13569" width="23.109375" style="1084" customWidth="1"/>
    <col min="13570" max="13570" width="17.6640625" style="1084" customWidth="1"/>
    <col min="13571" max="13571" width="4.44140625" style="1084" customWidth="1"/>
    <col min="13572" max="13572" width="44" style="1084" customWidth="1"/>
    <col min="13573" max="13573" width="6.33203125" style="1084" customWidth="1"/>
    <col min="13574" max="13575" width="21.109375" style="1084" customWidth="1"/>
    <col min="13576" max="13578" width="0" style="1084" hidden="1" customWidth="1"/>
    <col min="13579" max="13579" width="18.6640625" style="1084" customWidth="1"/>
    <col min="13580" max="13580" width="9.33203125" style="1084" customWidth="1"/>
    <col min="13581" max="13824" width="9.109375" style="1084"/>
    <col min="13825" max="13825" width="23.109375" style="1084" customWidth="1"/>
    <col min="13826" max="13826" width="17.6640625" style="1084" customWidth="1"/>
    <col min="13827" max="13827" width="4.44140625" style="1084" customWidth="1"/>
    <col min="13828" max="13828" width="44" style="1084" customWidth="1"/>
    <col min="13829" max="13829" width="6.33203125" style="1084" customWidth="1"/>
    <col min="13830" max="13831" width="21.109375" style="1084" customWidth="1"/>
    <col min="13832" max="13834" width="0" style="1084" hidden="1" customWidth="1"/>
    <col min="13835" max="13835" width="18.6640625" style="1084" customWidth="1"/>
    <col min="13836" max="13836" width="9.33203125" style="1084" customWidth="1"/>
    <col min="13837" max="14080" width="9.109375" style="1084"/>
    <col min="14081" max="14081" width="23.109375" style="1084" customWidth="1"/>
    <col min="14082" max="14082" width="17.6640625" style="1084" customWidth="1"/>
    <col min="14083" max="14083" width="4.44140625" style="1084" customWidth="1"/>
    <col min="14084" max="14084" width="44" style="1084" customWidth="1"/>
    <col min="14085" max="14085" width="6.33203125" style="1084" customWidth="1"/>
    <col min="14086" max="14087" width="21.109375" style="1084" customWidth="1"/>
    <col min="14088" max="14090" width="0" style="1084" hidden="1" customWidth="1"/>
    <col min="14091" max="14091" width="18.6640625" style="1084" customWidth="1"/>
    <col min="14092" max="14092" width="9.33203125" style="1084" customWidth="1"/>
    <col min="14093" max="14336" width="9.109375" style="1084"/>
    <col min="14337" max="14337" width="23.109375" style="1084" customWidth="1"/>
    <col min="14338" max="14338" width="17.6640625" style="1084" customWidth="1"/>
    <col min="14339" max="14339" width="4.44140625" style="1084" customWidth="1"/>
    <col min="14340" max="14340" width="44" style="1084" customWidth="1"/>
    <col min="14341" max="14341" width="6.33203125" style="1084" customWidth="1"/>
    <col min="14342" max="14343" width="21.109375" style="1084" customWidth="1"/>
    <col min="14344" max="14346" width="0" style="1084" hidden="1" customWidth="1"/>
    <col min="14347" max="14347" width="18.6640625" style="1084" customWidth="1"/>
    <col min="14348" max="14348" width="9.33203125" style="1084" customWidth="1"/>
    <col min="14349" max="14592" width="9.109375" style="1084"/>
    <col min="14593" max="14593" width="23.109375" style="1084" customWidth="1"/>
    <col min="14594" max="14594" width="17.6640625" style="1084" customWidth="1"/>
    <col min="14595" max="14595" width="4.44140625" style="1084" customWidth="1"/>
    <col min="14596" max="14596" width="44" style="1084" customWidth="1"/>
    <col min="14597" max="14597" width="6.33203125" style="1084" customWidth="1"/>
    <col min="14598" max="14599" width="21.109375" style="1084" customWidth="1"/>
    <col min="14600" max="14602" width="0" style="1084" hidden="1" customWidth="1"/>
    <col min="14603" max="14603" width="18.6640625" style="1084" customWidth="1"/>
    <col min="14604" max="14604" width="9.33203125" style="1084" customWidth="1"/>
    <col min="14605" max="14848" width="9.109375" style="1084"/>
    <col min="14849" max="14849" width="23.109375" style="1084" customWidth="1"/>
    <col min="14850" max="14850" width="17.6640625" style="1084" customWidth="1"/>
    <col min="14851" max="14851" width="4.44140625" style="1084" customWidth="1"/>
    <col min="14852" max="14852" width="44" style="1084" customWidth="1"/>
    <col min="14853" max="14853" width="6.33203125" style="1084" customWidth="1"/>
    <col min="14854" max="14855" width="21.109375" style="1084" customWidth="1"/>
    <col min="14856" max="14858" width="0" style="1084" hidden="1" customWidth="1"/>
    <col min="14859" max="14859" width="18.6640625" style="1084" customWidth="1"/>
    <col min="14860" max="14860" width="9.33203125" style="1084" customWidth="1"/>
    <col min="14861" max="15104" width="9.109375" style="1084"/>
    <col min="15105" max="15105" width="23.109375" style="1084" customWidth="1"/>
    <col min="15106" max="15106" width="17.6640625" style="1084" customWidth="1"/>
    <col min="15107" max="15107" width="4.44140625" style="1084" customWidth="1"/>
    <col min="15108" max="15108" width="44" style="1084" customWidth="1"/>
    <col min="15109" max="15109" width="6.33203125" style="1084" customWidth="1"/>
    <col min="15110" max="15111" width="21.109375" style="1084" customWidth="1"/>
    <col min="15112" max="15114" width="0" style="1084" hidden="1" customWidth="1"/>
    <col min="15115" max="15115" width="18.6640625" style="1084" customWidth="1"/>
    <col min="15116" max="15116" width="9.33203125" style="1084" customWidth="1"/>
    <col min="15117" max="15360" width="9.109375" style="1084"/>
    <col min="15361" max="15361" width="23.109375" style="1084" customWidth="1"/>
    <col min="15362" max="15362" width="17.6640625" style="1084" customWidth="1"/>
    <col min="15363" max="15363" width="4.44140625" style="1084" customWidth="1"/>
    <col min="15364" max="15364" width="44" style="1084" customWidth="1"/>
    <col min="15365" max="15365" width="6.33203125" style="1084" customWidth="1"/>
    <col min="15366" max="15367" width="21.109375" style="1084" customWidth="1"/>
    <col min="15368" max="15370" width="0" style="1084" hidden="1" customWidth="1"/>
    <col min="15371" max="15371" width="18.6640625" style="1084" customWidth="1"/>
    <col min="15372" max="15372" width="9.33203125" style="1084" customWidth="1"/>
    <col min="15373" max="15616" width="9.109375" style="1084"/>
    <col min="15617" max="15617" width="23.109375" style="1084" customWidth="1"/>
    <col min="15618" max="15618" width="17.6640625" style="1084" customWidth="1"/>
    <col min="15619" max="15619" width="4.44140625" style="1084" customWidth="1"/>
    <col min="15620" max="15620" width="44" style="1084" customWidth="1"/>
    <col min="15621" max="15621" width="6.33203125" style="1084" customWidth="1"/>
    <col min="15622" max="15623" width="21.109375" style="1084" customWidth="1"/>
    <col min="15624" max="15626" width="0" style="1084" hidden="1" customWidth="1"/>
    <col min="15627" max="15627" width="18.6640625" style="1084" customWidth="1"/>
    <col min="15628" max="15628" width="9.33203125" style="1084" customWidth="1"/>
    <col min="15629" max="15872" width="9.109375" style="1084"/>
    <col min="15873" max="15873" width="23.109375" style="1084" customWidth="1"/>
    <col min="15874" max="15874" width="17.6640625" style="1084" customWidth="1"/>
    <col min="15875" max="15875" width="4.44140625" style="1084" customWidth="1"/>
    <col min="15876" max="15876" width="44" style="1084" customWidth="1"/>
    <col min="15877" max="15877" width="6.33203125" style="1084" customWidth="1"/>
    <col min="15878" max="15879" width="21.109375" style="1084" customWidth="1"/>
    <col min="15880" max="15882" width="0" style="1084" hidden="1" customWidth="1"/>
    <col min="15883" max="15883" width="18.6640625" style="1084" customWidth="1"/>
    <col min="15884" max="15884" width="9.33203125" style="1084" customWidth="1"/>
    <col min="15885" max="16128" width="9.109375" style="1084"/>
    <col min="16129" max="16129" width="23.109375" style="1084" customWidth="1"/>
    <col min="16130" max="16130" width="17.6640625" style="1084" customWidth="1"/>
    <col min="16131" max="16131" width="4.44140625" style="1084" customWidth="1"/>
    <col min="16132" max="16132" width="44" style="1084" customWidth="1"/>
    <col min="16133" max="16133" width="6.33203125" style="1084" customWidth="1"/>
    <col min="16134" max="16135" width="21.109375" style="1084" customWidth="1"/>
    <col min="16136" max="16138" width="0" style="1084" hidden="1" customWidth="1"/>
    <col min="16139" max="16139" width="18.6640625" style="1084" customWidth="1"/>
    <col min="16140" max="16140" width="9.33203125" style="1084" customWidth="1"/>
    <col min="16141" max="16384" width="9.109375" style="1084"/>
  </cols>
  <sheetData>
    <row r="1" spans="1:19" s="1016" customFormat="1" ht="22.8">
      <c r="A1" s="1175" t="s">
        <v>1000</v>
      </c>
      <c r="B1" s="1175"/>
      <c r="C1" s="1175"/>
      <c r="D1" s="1175"/>
      <c r="E1" s="1175"/>
      <c r="F1" s="1175"/>
      <c r="G1" s="1175"/>
      <c r="H1" s="1175"/>
      <c r="I1" s="1175"/>
      <c r="J1" s="1175"/>
      <c r="K1" s="1015"/>
    </row>
    <row r="2" spans="1:19" s="1016" customFormat="1" ht="23.4" thickBot="1">
      <c r="A2" s="1176" t="s">
        <v>1001</v>
      </c>
      <c r="B2" s="1176"/>
      <c r="C2" s="1176"/>
      <c r="D2" s="1176"/>
      <c r="E2" s="1176"/>
      <c r="F2" s="1176"/>
      <c r="G2" s="1176"/>
      <c r="H2" s="1176"/>
      <c r="I2" s="1176"/>
      <c r="J2" s="1176"/>
      <c r="K2" s="1015"/>
    </row>
    <row r="3" spans="1:19" s="1019" customFormat="1" ht="17.399999999999999">
      <c r="A3" s="1017"/>
      <c r="B3" s="1017"/>
      <c r="C3" s="1017"/>
      <c r="D3" s="1017"/>
      <c r="E3" s="1017"/>
      <c r="F3" s="1017"/>
      <c r="G3" s="1017"/>
      <c r="H3" s="1017"/>
      <c r="I3" s="1017"/>
      <c r="J3" s="1017"/>
      <c r="K3" s="1018"/>
    </row>
    <row r="4" spans="1:19" s="1019" customFormat="1" ht="17.399999999999999">
      <c r="A4" s="1020" t="s">
        <v>1002</v>
      </c>
      <c r="B4" s="1021"/>
      <c r="C4" s="1022"/>
      <c r="D4" s="1023" t="s">
        <v>1078</v>
      </c>
      <c r="E4" s="1022"/>
      <c r="F4" s="1024" t="s">
        <v>1004</v>
      </c>
      <c r="G4" s="1021"/>
      <c r="H4" s="1022"/>
      <c r="I4" s="1022"/>
      <c r="J4" s="1022"/>
      <c r="K4" s="1018"/>
    </row>
    <row r="5" spans="1:19" s="1019" customFormat="1" ht="17.399999999999999">
      <c r="B5" s="1022"/>
      <c r="C5" s="1022"/>
      <c r="D5" s="1024"/>
      <c r="E5" s="1022"/>
      <c r="F5" s="1024" t="s">
        <v>1005</v>
      </c>
      <c r="G5" s="1025"/>
      <c r="H5" s="1022"/>
      <c r="I5" s="1022"/>
      <c r="J5" s="1022"/>
      <c r="K5" s="1018"/>
    </row>
    <row r="6" spans="1:19" s="1019" customFormat="1" ht="18" thickBot="1">
      <c r="A6" s="1020"/>
      <c r="B6" s="1026"/>
      <c r="C6" s="1027"/>
      <c r="E6" s="1028"/>
      <c r="G6" s="1028"/>
      <c r="H6" s="1022"/>
      <c r="I6" s="1029"/>
      <c r="J6" s="1030"/>
      <c r="K6" s="1018"/>
    </row>
    <row r="7" spans="1:19" s="1019" customFormat="1" ht="18" thickBot="1">
      <c r="A7" s="1031"/>
      <c r="B7" s="1028" t="s">
        <v>1006</v>
      </c>
      <c r="C7" s="1032" t="s">
        <v>1079</v>
      </c>
      <c r="D7" s="1033"/>
      <c r="E7" s="1033"/>
      <c r="F7" s="1177"/>
      <c r="G7" s="1177"/>
      <c r="H7" s="1028"/>
      <c r="I7" s="1028"/>
      <c r="J7" s="1028"/>
      <c r="K7" s="1018"/>
    </row>
    <row r="8" spans="1:19" s="1019" customFormat="1" ht="17.399999999999999">
      <c r="A8" s="1031"/>
      <c r="B8" s="1028"/>
      <c r="C8" s="1022"/>
      <c r="D8" s="1019" t="s">
        <v>1008</v>
      </c>
      <c r="F8" s="1034"/>
      <c r="G8" s="1034" t="s">
        <v>1080</v>
      </c>
      <c r="H8" s="1028"/>
      <c r="I8" s="1028"/>
      <c r="J8" s="1028"/>
      <c r="K8" s="1018"/>
    </row>
    <row r="9" spans="1:19" s="1019" customFormat="1" ht="18" thickBot="1">
      <c r="A9" s="1028" t="s">
        <v>1010</v>
      </c>
      <c r="B9" s="1178">
        <v>43100</v>
      </c>
      <c r="C9" s="1179"/>
      <c r="D9" s="1035"/>
      <c r="E9" s="1022"/>
      <c r="F9" s="1028" t="s">
        <v>1011</v>
      </c>
      <c r="G9" s="1036">
        <v>1462195</v>
      </c>
      <c r="H9" s="1022"/>
      <c r="I9" s="1022"/>
      <c r="J9" s="1022"/>
      <c r="K9" s="1018"/>
    </row>
    <row r="10" spans="1:19" s="1019" customFormat="1" ht="18" thickBot="1">
      <c r="A10" s="1028"/>
      <c r="B10" s="1037"/>
      <c r="C10" s="1022"/>
      <c r="D10" s="1035"/>
      <c r="E10" s="1022"/>
      <c r="F10" s="1028" t="s">
        <v>1012</v>
      </c>
      <c r="G10" s="1038"/>
      <c r="H10" s="1022"/>
      <c r="I10" s="1022"/>
      <c r="J10" s="1022"/>
      <c r="K10" s="1018"/>
    </row>
    <row r="11" spans="1:19" s="1040" customFormat="1" ht="13.2">
      <c r="A11" s="1039"/>
      <c r="E11" s="1041"/>
      <c r="F11" s="1042"/>
      <c r="G11" s="1042"/>
      <c r="H11" s="1043"/>
      <c r="I11" s="1043"/>
      <c r="J11" s="1043"/>
      <c r="K11" s="1044"/>
    </row>
    <row r="12" spans="1:19" s="1049" customFormat="1" ht="15.6">
      <c r="A12" s="1045" t="s">
        <v>1013</v>
      </c>
      <c r="B12" s="1046" t="s">
        <v>1014</v>
      </c>
      <c r="C12" s="1046" t="s">
        <v>1015</v>
      </c>
      <c r="D12" s="1046" t="s">
        <v>1016</v>
      </c>
      <c r="E12" s="1046" t="s">
        <v>747</v>
      </c>
      <c r="F12" s="1046" t="s">
        <v>1017</v>
      </c>
      <c r="G12" s="1046" t="s">
        <v>1018</v>
      </c>
      <c r="H12" s="1047"/>
      <c r="I12" s="1047"/>
      <c r="J12" s="1047"/>
      <c r="K12" s="1048"/>
      <c r="L12" s="1159">
        <f>SUM(L13:L16)</f>
        <v>-13075.109999999997</v>
      </c>
    </row>
    <row r="13" spans="1:19" s="1049" customFormat="1" ht="28.5" customHeight="1">
      <c r="A13" s="1050" t="s">
        <v>1019</v>
      </c>
      <c r="B13" s="1051"/>
      <c r="C13" s="1052"/>
      <c r="D13" s="1053" t="s">
        <v>1081</v>
      </c>
      <c r="E13" s="1054"/>
      <c r="F13" s="1055">
        <v>1059788.6100000001</v>
      </c>
      <c r="G13" s="1055"/>
      <c r="H13" s="1056"/>
      <c r="I13" s="1056"/>
      <c r="J13" s="1056"/>
      <c r="K13" s="1048"/>
      <c r="L13" s="1159">
        <f>ROUND('JE Summary'!$C$126,2)</f>
        <v>-28941.07</v>
      </c>
      <c r="M13" s="1086"/>
      <c r="N13" s="1087"/>
      <c r="O13" s="1088"/>
      <c r="P13" s="1061"/>
      <c r="Q13" s="1088"/>
      <c r="R13" s="1062"/>
      <c r="S13" s="1062"/>
    </row>
    <row r="14" spans="1:19" s="1049" customFormat="1" ht="28.5" customHeight="1">
      <c r="A14" s="1050" t="s">
        <v>1021</v>
      </c>
      <c r="B14" s="1051"/>
      <c r="C14" s="1052"/>
      <c r="D14" s="1053" t="s">
        <v>1082</v>
      </c>
      <c r="E14" s="1054"/>
      <c r="F14" s="1055">
        <v>152137.82999999999</v>
      </c>
      <c r="G14" s="1055"/>
      <c r="H14" s="1056"/>
      <c r="I14" s="1056"/>
      <c r="J14" s="1056"/>
      <c r="K14" s="1048"/>
      <c r="L14" s="1159">
        <f>ROUND('JE Summary'!$D$126,2)</f>
        <v>-13832.85</v>
      </c>
      <c r="M14" s="1086"/>
      <c r="N14" s="1087"/>
      <c r="O14" s="1088"/>
      <c r="P14" s="1061"/>
      <c r="Q14" s="1088"/>
      <c r="R14" s="1062"/>
      <c r="S14" s="1062"/>
    </row>
    <row r="15" spans="1:19" s="1049" customFormat="1" ht="28.5" customHeight="1">
      <c r="A15" s="1057" t="s">
        <v>1023</v>
      </c>
      <c r="B15" s="1051"/>
      <c r="C15" s="1052"/>
      <c r="D15" s="1053" t="s">
        <v>1083</v>
      </c>
      <c r="E15" s="1054"/>
      <c r="F15" s="1055">
        <v>285403.76</v>
      </c>
      <c r="G15" s="1055"/>
      <c r="H15" s="1056"/>
      <c r="I15" s="1056"/>
      <c r="J15" s="1056"/>
      <c r="K15" s="1048"/>
      <c r="L15" s="1159">
        <f>ROUND('JE Summary'!$E$126,2)</f>
        <v>29698.81</v>
      </c>
      <c r="M15" s="1086"/>
      <c r="N15" s="1087"/>
      <c r="O15" s="1088"/>
      <c r="P15" s="1061"/>
      <c r="Q15" s="1088"/>
      <c r="R15" s="1062"/>
      <c r="S15" s="1062"/>
    </row>
    <row r="16" spans="1:19" s="1049" customFormat="1" ht="28.5" customHeight="1">
      <c r="A16" s="1050" t="s">
        <v>1025</v>
      </c>
      <c r="B16" s="1051"/>
      <c r="C16" s="1052"/>
      <c r="D16" s="1053" t="s">
        <v>1084</v>
      </c>
      <c r="E16" s="1054"/>
      <c r="F16" s="1055">
        <v>220573.46</v>
      </c>
      <c r="G16" s="1055"/>
      <c r="H16" s="1056"/>
      <c r="I16" s="1056"/>
      <c r="J16" s="1056"/>
      <c r="K16" s="1048"/>
      <c r="L16" s="1159">
        <f>ROUND('JE Summary'!$I$126,2)</f>
        <v>0</v>
      </c>
      <c r="M16" s="1086"/>
      <c r="N16" s="1087"/>
      <c r="O16" s="1088"/>
      <c r="P16" s="1061"/>
      <c r="Q16" s="1088"/>
      <c r="R16" s="1062"/>
      <c r="S16" s="1062"/>
    </row>
    <row r="17" spans="1:19" s="1049" customFormat="1" ht="28.5" customHeight="1">
      <c r="A17" s="1050" t="s">
        <v>1031</v>
      </c>
      <c r="B17" s="1051"/>
      <c r="C17" s="1052"/>
      <c r="D17" s="1053" t="s">
        <v>1085</v>
      </c>
      <c r="E17" s="1054"/>
      <c r="F17" s="1055"/>
      <c r="G17" s="1055">
        <f>F13</f>
        <v>1059788.6100000001</v>
      </c>
      <c r="H17" s="1056"/>
      <c r="I17" s="1056"/>
      <c r="J17" s="1056"/>
      <c r="K17" s="1048"/>
      <c r="L17" s="1159"/>
      <c r="M17" s="1086"/>
      <c r="N17" s="1087"/>
      <c r="O17" s="1088"/>
      <c r="P17" s="1061"/>
      <c r="Q17" s="1088"/>
      <c r="R17" s="1062"/>
      <c r="S17" s="1062"/>
    </row>
    <row r="18" spans="1:19" s="1049" customFormat="1" ht="28.5" customHeight="1">
      <c r="A18" s="1057" t="s">
        <v>1033</v>
      </c>
      <c r="B18" s="1051"/>
      <c r="C18" s="1052"/>
      <c r="D18" s="1053" t="s">
        <v>1082</v>
      </c>
      <c r="E18" s="1054"/>
      <c r="F18" s="1055"/>
      <c r="G18" s="1055">
        <f>F14</f>
        <v>152137.82999999999</v>
      </c>
      <c r="H18" s="1056"/>
      <c r="I18" s="1056"/>
      <c r="J18" s="1056"/>
      <c r="K18" s="1048"/>
      <c r="M18" s="1089"/>
      <c r="N18" s="1087"/>
      <c r="O18" s="1088"/>
      <c r="P18" s="1061"/>
      <c r="Q18" s="1088"/>
      <c r="R18" s="1062"/>
      <c r="S18" s="1062"/>
    </row>
    <row r="19" spans="1:19" s="1049" customFormat="1" ht="28.5" customHeight="1">
      <c r="A19" s="1057" t="s">
        <v>1034</v>
      </c>
      <c r="B19" s="1051"/>
      <c r="C19" s="1052"/>
      <c r="D19" s="1053" t="s">
        <v>1083</v>
      </c>
      <c r="E19" s="1054"/>
      <c r="F19" s="1055"/>
      <c r="G19" s="1055">
        <f>F15</f>
        <v>285403.76</v>
      </c>
      <c r="H19" s="1056"/>
      <c r="I19" s="1056"/>
      <c r="J19" s="1056"/>
      <c r="K19" s="1048"/>
      <c r="L19" s="1064"/>
      <c r="M19" s="1089"/>
      <c r="N19" s="1087"/>
      <c r="O19" s="1088"/>
      <c r="P19" s="1061"/>
      <c r="Q19" s="1088"/>
      <c r="R19" s="1062"/>
      <c r="S19" s="1062"/>
    </row>
    <row r="20" spans="1:19" s="1049" customFormat="1" ht="28.5" customHeight="1">
      <c r="A20" s="1057" t="s">
        <v>1035</v>
      </c>
      <c r="B20" s="1051"/>
      <c r="C20" s="1052"/>
      <c r="D20" s="1053" t="s">
        <v>1084</v>
      </c>
      <c r="E20" s="1054"/>
      <c r="F20" s="1055"/>
      <c r="G20" s="1055">
        <f>F16</f>
        <v>220573.46</v>
      </c>
      <c r="H20" s="1056"/>
      <c r="I20" s="1056"/>
      <c r="J20" s="1056"/>
      <c r="K20" s="1048"/>
      <c r="L20" s="1064"/>
      <c r="M20" s="1089"/>
      <c r="N20" s="1087"/>
      <c r="O20" s="1088"/>
      <c r="P20" s="1061"/>
      <c r="Q20" s="1088"/>
      <c r="R20" s="1062"/>
      <c r="S20" s="1062"/>
    </row>
    <row r="21" spans="1:19" s="1049" customFormat="1" ht="28.5" customHeight="1">
      <c r="A21" s="1059" t="s">
        <v>1038</v>
      </c>
      <c r="B21" s="1051"/>
      <c r="C21" s="1052"/>
      <c r="D21" s="1053" t="s">
        <v>1086</v>
      </c>
      <c r="E21" s="1054"/>
      <c r="F21" s="1055">
        <v>3174.81</v>
      </c>
      <c r="G21" s="1055"/>
      <c r="H21" s="1056"/>
      <c r="I21" s="1056"/>
      <c r="J21" s="1056"/>
      <c r="K21" s="1048"/>
      <c r="L21" s="1162">
        <f>ROUND(Summary!N41,2)</f>
        <v>-3645.98</v>
      </c>
      <c r="M21" s="1089"/>
      <c r="N21" s="1087"/>
      <c r="O21" s="1088"/>
      <c r="P21" s="1061"/>
      <c r="Q21" s="1088"/>
      <c r="R21" s="1062"/>
      <c r="S21" s="1062"/>
    </row>
    <row r="22" spans="1:19" s="1049" customFormat="1" ht="28.5" customHeight="1">
      <c r="A22" s="1059" t="s">
        <v>1040</v>
      </c>
      <c r="B22" s="1051"/>
      <c r="C22" s="1052"/>
      <c r="D22" s="1053" t="s">
        <v>1041</v>
      </c>
      <c r="E22" s="1054"/>
      <c r="F22" s="1055"/>
      <c r="G22" s="1055">
        <f>F21</f>
        <v>3174.81</v>
      </c>
      <c r="H22" s="1056"/>
      <c r="I22" s="1056"/>
      <c r="J22" s="1056"/>
      <c r="K22" s="1048"/>
      <c r="L22" s="1064"/>
      <c r="M22" s="1089"/>
      <c r="N22" s="1087"/>
      <c r="O22" s="1088"/>
      <c r="P22" s="1061"/>
      <c r="Q22" s="1088"/>
      <c r="R22" s="1062"/>
      <c r="S22" s="1062"/>
    </row>
    <row r="23" spans="1:19" s="1049" customFormat="1" ht="28.5" customHeight="1">
      <c r="A23" s="1059"/>
      <c r="B23" s="1051"/>
      <c r="C23" s="1052"/>
      <c r="D23" s="1053"/>
      <c r="E23" s="1054"/>
      <c r="F23" s="1055"/>
      <c r="G23" s="1055"/>
      <c r="H23" s="1056"/>
      <c r="I23" s="1056"/>
      <c r="J23" s="1056"/>
      <c r="K23" s="1048"/>
      <c r="L23" s="1064"/>
      <c r="M23" s="1064"/>
      <c r="N23" s="1064"/>
      <c r="O23" s="1064"/>
      <c r="P23" s="1064"/>
      <c r="Q23" s="1064"/>
      <c r="R23" s="1064"/>
      <c r="S23" s="1064"/>
    </row>
    <row r="24" spans="1:19" s="1049" customFormat="1" ht="28.5" customHeight="1">
      <c r="A24" s="1059"/>
      <c r="B24" s="1051"/>
      <c r="C24" s="1052"/>
      <c r="D24" s="1053"/>
      <c r="E24" s="1054"/>
      <c r="F24" s="1055"/>
      <c r="G24" s="1055"/>
      <c r="H24" s="1056"/>
      <c r="I24" s="1056"/>
      <c r="J24" s="1056"/>
      <c r="K24" s="1048"/>
    </row>
    <row r="25" spans="1:19" s="1049" customFormat="1" ht="28.5" customHeight="1">
      <c r="A25" s="1059"/>
      <c r="B25" s="1051"/>
      <c r="C25" s="1052"/>
      <c r="D25" s="1053"/>
      <c r="E25" s="1054"/>
      <c r="F25" s="1055"/>
      <c r="G25" s="1055"/>
      <c r="H25" s="1056"/>
      <c r="I25" s="1056"/>
      <c r="J25" s="1056"/>
      <c r="K25" s="1048"/>
    </row>
    <row r="26" spans="1:19" s="1049" customFormat="1" ht="28.5" customHeight="1">
      <c r="A26" s="1059"/>
      <c r="B26" s="1051"/>
      <c r="C26" s="1052"/>
      <c r="D26" s="1053"/>
      <c r="E26" s="1054"/>
      <c r="F26" s="1055"/>
      <c r="G26" s="1055"/>
      <c r="H26" s="1056"/>
      <c r="I26" s="1056"/>
      <c r="J26" s="1056"/>
      <c r="K26" s="1048"/>
    </row>
    <row r="27" spans="1:19" s="1049" customFormat="1" ht="28.5" customHeight="1">
      <c r="A27" s="1059"/>
      <c r="B27" s="1051"/>
      <c r="C27" s="1052"/>
      <c r="D27" s="1053"/>
      <c r="E27" s="1054"/>
      <c r="F27" s="1055"/>
      <c r="G27" s="1055"/>
      <c r="H27" s="1056"/>
      <c r="I27" s="1056"/>
      <c r="J27" s="1056"/>
      <c r="K27" s="1048"/>
    </row>
    <row r="28" spans="1:19" s="1049" customFormat="1" ht="28.5" customHeight="1">
      <c r="A28" s="1059"/>
      <c r="B28" s="1051"/>
      <c r="C28" s="1052"/>
      <c r="D28" s="1053"/>
      <c r="E28" s="1054"/>
      <c r="F28" s="1055"/>
      <c r="G28" s="1055"/>
      <c r="H28" s="1056"/>
      <c r="I28" s="1056"/>
      <c r="J28" s="1056"/>
      <c r="K28" s="1048"/>
    </row>
    <row r="29" spans="1:19" s="1049" customFormat="1" ht="28.5" customHeight="1">
      <c r="A29" s="1059"/>
      <c r="B29" s="1051"/>
      <c r="C29" s="1052"/>
      <c r="D29" s="1053"/>
      <c r="E29" s="1054"/>
      <c r="F29" s="1055"/>
      <c r="G29" s="1055"/>
      <c r="H29" s="1056"/>
      <c r="I29" s="1056"/>
      <c r="J29" s="1056"/>
      <c r="K29" s="1048"/>
    </row>
    <row r="30" spans="1:19" s="1049" customFormat="1" ht="28.5" customHeight="1">
      <c r="A30" s="1059"/>
      <c r="B30" s="1051"/>
      <c r="C30" s="1052"/>
      <c r="D30" s="1053"/>
      <c r="E30" s="1054"/>
      <c r="F30" s="1055"/>
      <c r="G30" s="1055"/>
      <c r="H30" s="1056"/>
      <c r="I30" s="1056"/>
      <c r="J30" s="1056"/>
      <c r="K30" s="1048"/>
    </row>
    <row r="31" spans="1:19" s="1049" customFormat="1" ht="28.5" customHeight="1">
      <c r="A31" s="1059"/>
      <c r="B31" s="1051"/>
      <c r="C31" s="1052"/>
      <c r="D31" s="1053"/>
      <c r="E31" s="1054"/>
      <c r="F31" s="1055"/>
      <c r="G31" s="1055"/>
      <c r="H31" s="1056"/>
      <c r="I31" s="1056"/>
      <c r="J31" s="1056"/>
      <c r="K31" s="1048"/>
    </row>
    <row r="32" spans="1:19" s="1064" customFormat="1" ht="15">
      <c r="A32" s="1060"/>
      <c r="B32" s="1060"/>
      <c r="C32" s="1060"/>
      <c r="D32" s="1061"/>
      <c r="E32" s="1060"/>
      <c r="F32" s="1062"/>
      <c r="G32" s="1062"/>
      <c r="H32" s="1060"/>
      <c r="I32" s="1060"/>
      <c r="J32" s="1060"/>
      <c r="K32" s="1063"/>
    </row>
    <row r="33" spans="1:11" s="1064" customFormat="1" ht="15.6">
      <c r="A33" s="1065" t="s">
        <v>1042</v>
      </c>
      <c r="B33" s="1066" t="s">
        <v>1043</v>
      </c>
      <c r="C33" s="1066"/>
      <c r="D33" s="1067"/>
      <c r="E33" s="1066" t="s">
        <v>1043</v>
      </c>
      <c r="F33" s="1068">
        <f>SUM(F13:F31)</f>
        <v>1721078.4700000002</v>
      </c>
      <c r="G33" s="1068">
        <f>SUM(G13:G31)</f>
        <v>1721078.4700000002</v>
      </c>
      <c r="H33" s="1060" t="s">
        <v>1044</v>
      </c>
      <c r="I33" s="1060"/>
      <c r="J33" s="1060"/>
      <c r="K33" s="1063"/>
    </row>
    <row r="34" spans="1:11" s="1049" customFormat="1" ht="15">
      <c r="A34" s="1060"/>
      <c r="B34" s="1056"/>
      <c r="C34" s="1056"/>
      <c r="D34" s="1060"/>
      <c r="E34" s="1056"/>
      <c r="F34" s="1056"/>
      <c r="G34" s="1056"/>
      <c r="H34" s="1056"/>
      <c r="I34" s="1056"/>
      <c r="J34" s="1056"/>
      <c r="K34" s="1048"/>
    </row>
    <row r="35" spans="1:11" s="1049" customFormat="1" ht="15">
      <c r="A35" s="1060"/>
      <c r="B35" s="1056"/>
      <c r="C35" s="1056"/>
      <c r="D35" s="1069"/>
      <c r="E35" s="1056"/>
      <c r="F35" s="1070">
        <f>F33-G33</f>
        <v>0</v>
      </c>
      <c r="G35" s="1056"/>
      <c r="H35" s="1056"/>
      <c r="I35" s="1056"/>
      <c r="J35" s="1056"/>
      <c r="K35" s="1048"/>
    </row>
    <row r="36" spans="1:11" s="1049" customFormat="1" ht="23.4">
      <c r="A36" s="1071" t="s">
        <v>1045</v>
      </c>
      <c r="B36" s="1072" t="s">
        <v>1046</v>
      </c>
      <c r="C36" s="1073"/>
      <c r="D36" s="1074" t="s">
        <v>1047</v>
      </c>
      <c r="E36" s="1075"/>
      <c r="F36" s="1076" t="s">
        <v>1048</v>
      </c>
      <c r="G36" s="1077">
        <f ca="1">NOW()</f>
        <v>43272.699841550922</v>
      </c>
      <c r="H36" s="1075"/>
      <c r="I36" s="1075"/>
      <c r="J36" s="1075"/>
      <c r="K36" s="1048" t="s">
        <v>1043</v>
      </c>
    </row>
    <row r="37" spans="1:11" s="1049" customFormat="1" ht="15.6">
      <c r="A37" s="1078"/>
      <c r="B37" s="1060"/>
      <c r="C37" s="1060"/>
      <c r="D37" s="1047"/>
      <c r="E37" s="1056"/>
      <c r="F37" s="1079"/>
      <c r="G37" s="1056"/>
      <c r="H37" s="1056"/>
      <c r="I37" s="1056"/>
      <c r="J37" s="1056"/>
      <c r="K37" s="1048"/>
    </row>
    <row r="38" spans="1:11" s="1049" customFormat="1" ht="15.6">
      <c r="A38" s="1071" t="s">
        <v>1049</v>
      </c>
      <c r="B38" s="1180" t="s">
        <v>1050</v>
      </c>
      <c r="C38" s="1180"/>
      <c r="D38" s="1080"/>
      <c r="E38" s="1075"/>
      <c r="F38" s="1076" t="s">
        <v>1048</v>
      </c>
      <c r="G38" s="1077">
        <f ca="1">G36</f>
        <v>43272.699841550922</v>
      </c>
      <c r="H38" s="1075"/>
      <c r="I38" s="1075"/>
      <c r="J38" s="1075"/>
      <c r="K38" s="1048"/>
    </row>
    <row r="39" spans="1:11" s="1049" customFormat="1" ht="15">
      <c r="A39" s="1064"/>
      <c r="F39" s="1081"/>
      <c r="K39" s="1048"/>
    </row>
    <row r="40" spans="1:11" s="1049" customFormat="1" ht="23.4">
      <c r="A40" s="1071" t="s">
        <v>1051</v>
      </c>
      <c r="B40" s="1072" t="s">
        <v>1046</v>
      </c>
      <c r="C40" s="1073"/>
      <c r="D40" s="1082" t="s">
        <v>1047</v>
      </c>
      <c r="E40" s="1083"/>
      <c r="F40" s="1076" t="s">
        <v>1048</v>
      </c>
      <c r="G40" s="1077">
        <f ca="1">G36</f>
        <v>43272.699841550922</v>
      </c>
      <c r="H40" s="1083"/>
      <c r="I40" s="1083"/>
      <c r="J40" s="1083"/>
      <c r="K40" s="1048"/>
    </row>
    <row r="41" spans="1:11" s="1049" customFormat="1" ht="15">
      <c r="A41" s="1064"/>
      <c r="K41" s="1048"/>
    </row>
    <row r="42" spans="1:11" s="1049" customFormat="1" ht="15.6">
      <c r="A42" s="1071" t="s">
        <v>1052</v>
      </c>
      <c r="B42" s="1174"/>
      <c r="C42" s="1174"/>
      <c r="D42" s="1083"/>
      <c r="E42" s="1083"/>
      <c r="F42" s="1076" t="s">
        <v>1048</v>
      </c>
      <c r="G42" s="1083"/>
      <c r="H42" s="1083"/>
      <c r="I42" s="1083"/>
      <c r="J42" s="1083"/>
      <c r="K42" s="1048"/>
    </row>
    <row r="43" spans="1:11" s="1049" customFormat="1" ht="15">
      <c r="A43" s="1064"/>
      <c r="K43" s="1048"/>
    </row>
    <row r="44" spans="1:11" s="1049" customFormat="1" ht="15">
      <c r="A44" s="1064"/>
      <c r="G44" s="1048"/>
      <c r="K44" s="1048"/>
    </row>
    <row r="45" spans="1:11" s="1049" customFormat="1" ht="15">
      <c r="A45" s="1064"/>
      <c r="I45" s="1048"/>
    </row>
    <row r="46" spans="1:11" s="1049" customFormat="1" ht="15">
      <c r="A46" s="1064"/>
      <c r="I46" s="1048"/>
    </row>
    <row r="47" spans="1:11" s="1049" customFormat="1" ht="15">
      <c r="A47" s="1064"/>
      <c r="I47" s="1048"/>
    </row>
    <row r="48" spans="1:11" s="1049" customFormat="1" ht="15">
      <c r="A48" s="1064"/>
      <c r="I48" s="1048"/>
    </row>
    <row r="49" spans="1:11" s="1049" customFormat="1" ht="15">
      <c r="A49" s="1064"/>
      <c r="I49" s="1048"/>
    </row>
    <row r="50" spans="1:11" s="1049" customFormat="1" ht="15">
      <c r="A50" s="1064"/>
      <c r="D50" s="1049" t="s">
        <v>1053</v>
      </c>
      <c r="I50" s="1048"/>
    </row>
    <row r="51" spans="1:11" s="1049" customFormat="1" ht="15">
      <c r="A51" s="1064"/>
      <c r="I51" s="1048"/>
    </row>
    <row r="52" spans="1:11" s="1049" customFormat="1" ht="15">
      <c r="A52" s="1064"/>
      <c r="I52" s="1048"/>
    </row>
    <row r="53" spans="1:11" s="1049" customFormat="1" ht="15">
      <c r="A53" s="1064"/>
      <c r="I53" s="1048"/>
    </row>
    <row r="54" spans="1:11" s="1049" customFormat="1" ht="15">
      <c r="A54" s="1064"/>
      <c r="G54" s="1048"/>
      <c r="K54" s="1048"/>
    </row>
    <row r="55" spans="1:11" s="1049" customFormat="1" ht="15">
      <c r="A55" s="1064"/>
      <c r="G55" s="1048"/>
      <c r="K55" s="1048"/>
    </row>
    <row r="56" spans="1:11" s="1049" customFormat="1" ht="15">
      <c r="A56" s="1064"/>
      <c r="G56" s="1048"/>
      <c r="K56" s="1048"/>
    </row>
    <row r="57" spans="1:11" s="1049" customFormat="1" ht="15">
      <c r="A57" s="1064"/>
      <c r="G57" s="1048"/>
      <c r="K57" s="1048"/>
    </row>
    <row r="58" spans="1:11" s="1049" customFormat="1" ht="15">
      <c r="A58" s="1064"/>
      <c r="G58" s="1048"/>
      <c r="K58" s="1048"/>
    </row>
    <row r="59" spans="1:11" s="1049" customFormat="1" ht="15">
      <c r="A59" s="1064"/>
      <c r="G59" s="1048"/>
      <c r="K59" s="1048"/>
    </row>
    <row r="60" spans="1:11" s="1049" customFormat="1" ht="15">
      <c r="A60" s="1064"/>
      <c r="G60" s="1048"/>
      <c r="K60" s="1048"/>
    </row>
    <row r="61" spans="1:11" s="1049" customFormat="1" ht="15">
      <c r="A61" s="1064"/>
      <c r="G61" s="1048"/>
      <c r="K61" s="1048"/>
    </row>
    <row r="62" spans="1:11" s="1049" customFormat="1" ht="15">
      <c r="A62" s="1064"/>
      <c r="G62" s="1048"/>
      <c r="K62" s="1048"/>
    </row>
    <row r="63" spans="1:11" s="1049" customFormat="1" ht="15">
      <c r="G63" s="1048"/>
      <c r="K63" s="1048"/>
    </row>
    <row r="64" spans="1:11" s="1049" customFormat="1" ht="15">
      <c r="G64" s="1048"/>
      <c r="K64" s="1048"/>
    </row>
    <row r="69" spans="11:11" ht="13.2">
      <c r="K69" s="1084"/>
    </row>
  </sheetData>
  <mergeCells count="6">
    <mergeCell ref="B42:C42"/>
    <mergeCell ref="A1:J1"/>
    <mergeCell ref="A2:J2"/>
    <mergeCell ref="F7:G7"/>
    <mergeCell ref="B9:C9"/>
    <mergeCell ref="B38:C38"/>
  </mergeCells>
  <pageMargins left="0.7" right="0.7" top="0.75" bottom="0.75" header="0.3" footer="0.3"/>
  <pageSetup scale="59" orientation="portrait" r:id="rId1"/>
  <headerFooter>
    <oddFooter>&amp;R&amp;Z&amp;F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opLeftCell="A4" workbookViewId="0">
      <selection activeCell="L17" sqref="L17"/>
    </sheetView>
  </sheetViews>
  <sheetFormatPr defaultRowHeight="14.4"/>
  <cols>
    <col min="1" max="1" width="21.109375" style="1084" customWidth="1"/>
    <col min="2" max="2" width="17.33203125" style="1084" customWidth="1"/>
    <col min="3" max="3" width="4.44140625" style="1084" customWidth="1"/>
    <col min="4" max="4" width="44" style="1084" customWidth="1"/>
    <col min="5" max="5" width="5.109375" style="1084" bestFit="1" customWidth="1"/>
    <col min="6" max="6" width="23.88671875" style="1084" customWidth="1"/>
    <col min="7" max="7" width="18.6640625" style="1084" customWidth="1"/>
    <col min="8" max="9" width="0.109375" style="1084" hidden="1" customWidth="1"/>
    <col min="10" max="10" width="9.109375" style="1084" hidden="1" customWidth="1"/>
    <col min="11" max="11" width="18.6640625" style="1085" customWidth="1"/>
    <col min="12" max="12" width="20.109375" style="1084" customWidth="1"/>
    <col min="13" max="256" width="9.109375" style="1084"/>
    <col min="257" max="257" width="23.109375" style="1084" customWidth="1"/>
    <col min="258" max="258" width="17.6640625" style="1084" customWidth="1"/>
    <col min="259" max="259" width="4.44140625" style="1084" customWidth="1"/>
    <col min="260" max="260" width="44" style="1084" customWidth="1"/>
    <col min="261" max="261" width="6.33203125" style="1084" customWidth="1"/>
    <col min="262" max="263" width="21.109375" style="1084" customWidth="1"/>
    <col min="264" max="266" width="0" style="1084" hidden="1" customWidth="1"/>
    <col min="267" max="267" width="18.6640625" style="1084" customWidth="1"/>
    <col min="268" max="268" width="9.33203125" style="1084" customWidth="1"/>
    <col min="269" max="512" width="9.109375" style="1084"/>
    <col min="513" max="513" width="23.109375" style="1084" customWidth="1"/>
    <col min="514" max="514" width="17.6640625" style="1084" customWidth="1"/>
    <col min="515" max="515" width="4.44140625" style="1084" customWidth="1"/>
    <col min="516" max="516" width="44" style="1084" customWidth="1"/>
    <col min="517" max="517" width="6.33203125" style="1084" customWidth="1"/>
    <col min="518" max="519" width="21.109375" style="1084" customWidth="1"/>
    <col min="520" max="522" width="0" style="1084" hidden="1" customWidth="1"/>
    <col min="523" max="523" width="18.6640625" style="1084" customWidth="1"/>
    <col min="524" max="524" width="9.33203125" style="1084" customWidth="1"/>
    <col min="525" max="768" width="9.109375" style="1084"/>
    <col min="769" max="769" width="23.109375" style="1084" customWidth="1"/>
    <col min="770" max="770" width="17.6640625" style="1084" customWidth="1"/>
    <col min="771" max="771" width="4.44140625" style="1084" customWidth="1"/>
    <col min="772" max="772" width="44" style="1084" customWidth="1"/>
    <col min="773" max="773" width="6.33203125" style="1084" customWidth="1"/>
    <col min="774" max="775" width="21.109375" style="1084" customWidth="1"/>
    <col min="776" max="778" width="0" style="1084" hidden="1" customWidth="1"/>
    <col min="779" max="779" width="18.6640625" style="1084" customWidth="1"/>
    <col min="780" max="780" width="9.33203125" style="1084" customWidth="1"/>
    <col min="781" max="1024" width="9.109375" style="1084"/>
    <col min="1025" max="1025" width="23.109375" style="1084" customWidth="1"/>
    <col min="1026" max="1026" width="17.6640625" style="1084" customWidth="1"/>
    <col min="1027" max="1027" width="4.44140625" style="1084" customWidth="1"/>
    <col min="1028" max="1028" width="44" style="1084" customWidth="1"/>
    <col min="1029" max="1029" width="6.33203125" style="1084" customWidth="1"/>
    <col min="1030" max="1031" width="21.109375" style="1084" customWidth="1"/>
    <col min="1032" max="1034" width="0" style="1084" hidden="1" customWidth="1"/>
    <col min="1035" max="1035" width="18.6640625" style="1084" customWidth="1"/>
    <col min="1036" max="1036" width="9.33203125" style="1084" customWidth="1"/>
    <col min="1037" max="1280" width="9.109375" style="1084"/>
    <col min="1281" max="1281" width="23.109375" style="1084" customWidth="1"/>
    <col min="1282" max="1282" width="17.6640625" style="1084" customWidth="1"/>
    <col min="1283" max="1283" width="4.44140625" style="1084" customWidth="1"/>
    <col min="1284" max="1284" width="44" style="1084" customWidth="1"/>
    <col min="1285" max="1285" width="6.33203125" style="1084" customWidth="1"/>
    <col min="1286" max="1287" width="21.109375" style="1084" customWidth="1"/>
    <col min="1288" max="1290" width="0" style="1084" hidden="1" customWidth="1"/>
    <col min="1291" max="1291" width="18.6640625" style="1084" customWidth="1"/>
    <col min="1292" max="1292" width="9.33203125" style="1084" customWidth="1"/>
    <col min="1293" max="1536" width="9.109375" style="1084"/>
    <col min="1537" max="1537" width="23.109375" style="1084" customWidth="1"/>
    <col min="1538" max="1538" width="17.6640625" style="1084" customWidth="1"/>
    <col min="1539" max="1539" width="4.44140625" style="1084" customWidth="1"/>
    <col min="1540" max="1540" width="44" style="1084" customWidth="1"/>
    <col min="1541" max="1541" width="6.33203125" style="1084" customWidth="1"/>
    <col min="1542" max="1543" width="21.109375" style="1084" customWidth="1"/>
    <col min="1544" max="1546" width="0" style="1084" hidden="1" customWidth="1"/>
    <col min="1547" max="1547" width="18.6640625" style="1084" customWidth="1"/>
    <col min="1548" max="1548" width="9.33203125" style="1084" customWidth="1"/>
    <col min="1549" max="1792" width="9.109375" style="1084"/>
    <col min="1793" max="1793" width="23.109375" style="1084" customWidth="1"/>
    <col min="1794" max="1794" width="17.6640625" style="1084" customWidth="1"/>
    <col min="1795" max="1795" width="4.44140625" style="1084" customWidth="1"/>
    <col min="1796" max="1796" width="44" style="1084" customWidth="1"/>
    <col min="1797" max="1797" width="6.33203125" style="1084" customWidth="1"/>
    <col min="1798" max="1799" width="21.109375" style="1084" customWidth="1"/>
    <col min="1800" max="1802" width="0" style="1084" hidden="1" customWidth="1"/>
    <col min="1803" max="1803" width="18.6640625" style="1084" customWidth="1"/>
    <col min="1804" max="1804" width="9.33203125" style="1084" customWidth="1"/>
    <col min="1805" max="2048" width="9.109375" style="1084"/>
    <col min="2049" max="2049" width="23.109375" style="1084" customWidth="1"/>
    <col min="2050" max="2050" width="17.6640625" style="1084" customWidth="1"/>
    <col min="2051" max="2051" width="4.44140625" style="1084" customWidth="1"/>
    <col min="2052" max="2052" width="44" style="1084" customWidth="1"/>
    <col min="2053" max="2053" width="6.33203125" style="1084" customWidth="1"/>
    <col min="2054" max="2055" width="21.109375" style="1084" customWidth="1"/>
    <col min="2056" max="2058" width="0" style="1084" hidden="1" customWidth="1"/>
    <col min="2059" max="2059" width="18.6640625" style="1084" customWidth="1"/>
    <col min="2060" max="2060" width="9.33203125" style="1084" customWidth="1"/>
    <col min="2061" max="2304" width="9.109375" style="1084"/>
    <col min="2305" max="2305" width="23.109375" style="1084" customWidth="1"/>
    <col min="2306" max="2306" width="17.6640625" style="1084" customWidth="1"/>
    <col min="2307" max="2307" width="4.44140625" style="1084" customWidth="1"/>
    <col min="2308" max="2308" width="44" style="1084" customWidth="1"/>
    <col min="2309" max="2309" width="6.33203125" style="1084" customWidth="1"/>
    <col min="2310" max="2311" width="21.109375" style="1084" customWidth="1"/>
    <col min="2312" max="2314" width="0" style="1084" hidden="1" customWidth="1"/>
    <col min="2315" max="2315" width="18.6640625" style="1084" customWidth="1"/>
    <col min="2316" max="2316" width="9.33203125" style="1084" customWidth="1"/>
    <col min="2317" max="2560" width="9.109375" style="1084"/>
    <col min="2561" max="2561" width="23.109375" style="1084" customWidth="1"/>
    <col min="2562" max="2562" width="17.6640625" style="1084" customWidth="1"/>
    <col min="2563" max="2563" width="4.44140625" style="1084" customWidth="1"/>
    <col min="2564" max="2564" width="44" style="1084" customWidth="1"/>
    <col min="2565" max="2565" width="6.33203125" style="1084" customWidth="1"/>
    <col min="2566" max="2567" width="21.109375" style="1084" customWidth="1"/>
    <col min="2568" max="2570" width="0" style="1084" hidden="1" customWidth="1"/>
    <col min="2571" max="2571" width="18.6640625" style="1084" customWidth="1"/>
    <col min="2572" max="2572" width="9.33203125" style="1084" customWidth="1"/>
    <col min="2573" max="2816" width="9.109375" style="1084"/>
    <col min="2817" max="2817" width="23.109375" style="1084" customWidth="1"/>
    <col min="2818" max="2818" width="17.6640625" style="1084" customWidth="1"/>
    <col min="2819" max="2819" width="4.44140625" style="1084" customWidth="1"/>
    <col min="2820" max="2820" width="44" style="1084" customWidth="1"/>
    <col min="2821" max="2821" width="6.33203125" style="1084" customWidth="1"/>
    <col min="2822" max="2823" width="21.109375" style="1084" customWidth="1"/>
    <col min="2824" max="2826" width="0" style="1084" hidden="1" customWidth="1"/>
    <col min="2827" max="2827" width="18.6640625" style="1084" customWidth="1"/>
    <col min="2828" max="2828" width="9.33203125" style="1084" customWidth="1"/>
    <col min="2829" max="3072" width="9.109375" style="1084"/>
    <col min="3073" max="3073" width="23.109375" style="1084" customWidth="1"/>
    <col min="3074" max="3074" width="17.6640625" style="1084" customWidth="1"/>
    <col min="3075" max="3075" width="4.44140625" style="1084" customWidth="1"/>
    <col min="3076" max="3076" width="44" style="1084" customWidth="1"/>
    <col min="3077" max="3077" width="6.33203125" style="1084" customWidth="1"/>
    <col min="3078" max="3079" width="21.109375" style="1084" customWidth="1"/>
    <col min="3080" max="3082" width="0" style="1084" hidden="1" customWidth="1"/>
    <col min="3083" max="3083" width="18.6640625" style="1084" customWidth="1"/>
    <col min="3084" max="3084" width="9.33203125" style="1084" customWidth="1"/>
    <col min="3085" max="3328" width="9.109375" style="1084"/>
    <col min="3329" max="3329" width="23.109375" style="1084" customWidth="1"/>
    <col min="3330" max="3330" width="17.6640625" style="1084" customWidth="1"/>
    <col min="3331" max="3331" width="4.44140625" style="1084" customWidth="1"/>
    <col min="3332" max="3332" width="44" style="1084" customWidth="1"/>
    <col min="3333" max="3333" width="6.33203125" style="1084" customWidth="1"/>
    <col min="3334" max="3335" width="21.109375" style="1084" customWidth="1"/>
    <col min="3336" max="3338" width="0" style="1084" hidden="1" customWidth="1"/>
    <col min="3339" max="3339" width="18.6640625" style="1084" customWidth="1"/>
    <col min="3340" max="3340" width="9.33203125" style="1084" customWidth="1"/>
    <col min="3341" max="3584" width="9.109375" style="1084"/>
    <col min="3585" max="3585" width="23.109375" style="1084" customWidth="1"/>
    <col min="3586" max="3586" width="17.6640625" style="1084" customWidth="1"/>
    <col min="3587" max="3587" width="4.44140625" style="1084" customWidth="1"/>
    <col min="3588" max="3588" width="44" style="1084" customWidth="1"/>
    <col min="3589" max="3589" width="6.33203125" style="1084" customWidth="1"/>
    <col min="3590" max="3591" width="21.109375" style="1084" customWidth="1"/>
    <col min="3592" max="3594" width="0" style="1084" hidden="1" customWidth="1"/>
    <col min="3595" max="3595" width="18.6640625" style="1084" customWidth="1"/>
    <col min="3596" max="3596" width="9.33203125" style="1084" customWidth="1"/>
    <col min="3597" max="3840" width="9.109375" style="1084"/>
    <col min="3841" max="3841" width="23.109375" style="1084" customWidth="1"/>
    <col min="3842" max="3842" width="17.6640625" style="1084" customWidth="1"/>
    <col min="3843" max="3843" width="4.44140625" style="1084" customWidth="1"/>
    <col min="3844" max="3844" width="44" style="1084" customWidth="1"/>
    <col min="3845" max="3845" width="6.33203125" style="1084" customWidth="1"/>
    <col min="3846" max="3847" width="21.109375" style="1084" customWidth="1"/>
    <col min="3848" max="3850" width="0" style="1084" hidden="1" customWidth="1"/>
    <col min="3851" max="3851" width="18.6640625" style="1084" customWidth="1"/>
    <col min="3852" max="3852" width="9.33203125" style="1084" customWidth="1"/>
    <col min="3853" max="4096" width="9.109375" style="1084"/>
    <col min="4097" max="4097" width="23.109375" style="1084" customWidth="1"/>
    <col min="4098" max="4098" width="17.6640625" style="1084" customWidth="1"/>
    <col min="4099" max="4099" width="4.44140625" style="1084" customWidth="1"/>
    <col min="4100" max="4100" width="44" style="1084" customWidth="1"/>
    <col min="4101" max="4101" width="6.33203125" style="1084" customWidth="1"/>
    <col min="4102" max="4103" width="21.109375" style="1084" customWidth="1"/>
    <col min="4104" max="4106" width="0" style="1084" hidden="1" customWidth="1"/>
    <col min="4107" max="4107" width="18.6640625" style="1084" customWidth="1"/>
    <col min="4108" max="4108" width="9.33203125" style="1084" customWidth="1"/>
    <col min="4109" max="4352" width="9.109375" style="1084"/>
    <col min="4353" max="4353" width="23.109375" style="1084" customWidth="1"/>
    <col min="4354" max="4354" width="17.6640625" style="1084" customWidth="1"/>
    <col min="4355" max="4355" width="4.44140625" style="1084" customWidth="1"/>
    <col min="4356" max="4356" width="44" style="1084" customWidth="1"/>
    <col min="4357" max="4357" width="6.33203125" style="1084" customWidth="1"/>
    <col min="4358" max="4359" width="21.109375" style="1084" customWidth="1"/>
    <col min="4360" max="4362" width="0" style="1084" hidden="1" customWidth="1"/>
    <col min="4363" max="4363" width="18.6640625" style="1084" customWidth="1"/>
    <col min="4364" max="4364" width="9.33203125" style="1084" customWidth="1"/>
    <col min="4365" max="4608" width="9.109375" style="1084"/>
    <col min="4609" max="4609" width="23.109375" style="1084" customWidth="1"/>
    <col min="4610" max="4610" width="17.6640625" style="1084" customWidth="1"/>
    <col min="4611" max="4611" width="4.44140625" style="1084" customWidth="1"/>
    <col min="4612" max="4612" width="44" style="1084" customWidth="1"/>
    <col min="4613" max="4613" width="6.33203125" style="1084" customWidth="1"/>
    <col min="4614" max="4615" width="21.109375" style="1084" customWidth="1"/>
    <col min="4616" max="4618" width="0" style="1084" hidden="1" customWidth="1"/>
    <col min="4619" max="4619" width="18.6640625" style="1084" customWidth="1"/>
    <col min="4620" max="4620" width="9.33203125" style="1084" customWidth="1"/>
    <col min="4621" max="4864" width="9.109375" style="1084"/>
    <col min="4865" max="4865" width="23.109375" style="1084" customWidth="1"/>
    <col min="4866" max="4866" width="17.6640625" style="1084" customWidth="1"/>
    <col min="4867" max="4867" width="4.44140625" style="1084" customWidth="1"/>
    <col min="4868" max="4868" width="44" style="1084" customWidth="1"/>
    <col min="4869" max="4869" width="6.33203125" style="1084" customWidth="1"/>
    <col min="4870" max="4871" width="21.109375" style="1084" customWidth="1"/>
    <col min="4872" max="4874" width="0" style="1084" hidden="1" customWidth="1"/>
    <col min="4875" max="4875" width="18.6640625" style="1084" customWidth="1"/>
    <col min="4876" max="4876" width="9.33203125" style="1084" customWidth="1"/>
    <col min="4877" max="5120" width="9.109375" style="1084"/>
    <col min="5121" max="5121" width="23.109375" style="1084" customWidth="1"/>
    <col min="5122" max="5122" width="17.6640625" style="1084" customWidth="1"/>
    <col min="5123" max="5123" width="4.44140625" style="1084" customWidth="1"/>
    <col min="5124" max="5124" width="44" style="1084" customWidth="1"/>
    <col min="5125" max="5125" width="6.33203125" style="1084" customWidth="1"/>
    <col min="5126" max="5127" width="21.109375" style="1084" customWidth="1"/>
    <col min="5128" max="5130" width="0" style="1084" hidden="1" customWidth="1"/>
    <col min="5131" max="5131" width="18.6640625" style="1084" customWidth="1"/>
    <col min="5132" max="5132" width="9.33203125" style="1084" customWidth="1"/>
    <col min="5133" max="5376" width="9.109375" style="1084"/>
    <col min="5377" max="5377" width="23.109375" style="1084" customWidth="1"/>
    <col min="5378" max="5378" width="17.6640625" style="1084" customWidth="1"/>
    <col min="5379" max="5379" width="4.44140625" style="1084" customWidth="1"/>
    <col min="5380" max="5380" width="44" style="1084" customWidth="1"/>
    <col min="5381" max="5381" width="6.33203125" style="1084" customWidth="1"/>
    <col min="5382" max="5383" width="21.109375" style="1084" customWidth="1"/>
    <col min="5384" max="5386" width="0" style="1084" hidden="1" customWidth="1"/>
    <col min="5387" max="5387" width="18.6640625" style="1084" customWidth="1"/>
    <col min="5388" max="5388" width="9.33203125" style="1084" customWidth="1"/>
    <col min="5389" max="5632" width="9.109375" style="1084"/>
    <col min="5633" max="5633" width="23.109375" style="1084" customWidth="1"/>
    <col min="5634" max="5634" width="17.6640625" style="1084" customWidth="1"/>
    <col min="5635" max="5635" width="4.44140625" style="1084" customWidth="1"/>
    <col min="5636" max="5636" width="44" style="1084" customWidth="1"/>
    <col min="5637" max="5637" width="6.33203125" style="1084" customWidth="1"/>
    <col min="5638" max="5639" width="21.109375" style="1084" customWidth="1"/>
    <col min="5640" max="5642" width="0" style="1084" hidden="1" customWidth="1"/>
    <col min="5643" max="5643" width="18.6640625" style="1084" customWidth="1"/>
    <col min="5644" max="5644" width="9.33203125" style="1084" customWidth="1"/>
    <col min="5645" max="5888" width="9.109375" style="1084"/>
    <col min="5889" max="5889" width="23.109375" style="1084" customWidth="1"/>
    <col min="5890" max="5890" width="17.6640625" style="1084" customWidth="1"/>
    <col min="5891" max="5891" width="4.44140625" style="1084" customWidth="1"/>
    <col min="5892" max="5892" width="44" style="1084" customWidth="1"/>
    <col min="5893" max="5893" width="6.33203125" style="1084" customWidth="1"/>
    <col min="5894" max="5895" width="21.109375" style="1084" customWidth="1"/>
    <col min="5896" max="5898" width="0" style="1084" hidden="1" customWidth="1"/>
    <col min="5899" max="5899" width="18.6640625" style="1084" customWidth="1"/>
    <col min="5900" max="5900" width="9.33203125" style="1084" customWidth="1"/>
    <col min="5901" max="6144" width="9.109375" style="1084"/>
    <col min="6145" max="6145" width="23.109375" style="1084" customWidth="1"/>
    <col min="6146" max="6146" width="17.6640625" style="1084" customWidth="1"/>
    <col min="6147" max="6147" width="4.44140625" style="1084" customWidth="1"/>
    <col min="6148" max="6148" width="44" style="1084" customWidth="1"/>
    <col min="6149" max="6149" width="6.33203125" style="1084" customWidth="1"/>
    <col min="6150" max="6151" width="21.109375" style="1084" customWidth="1"/>
    <col min="6152" max="6154" width="0" style="1084" hidden="1" customWidth="1"/>
    <col min="6155" max="6155" width="18.6640625" style="1084" customWidth="1"/>
    <col min="6156" max="6156" width="9.33203125" style="1084" customWidth="1"/>
    <col min="6157" max="6400" width="9.109375" style="1084"/>
    <col min="6401" max="6401" width="23.109375" style="1084" customWidth="1"/>
    <col min="6402" max="6402" width="17.6640625" style="1084" customWidth="1"/>
    <col min="6403" max="6403" width="4.44140625" style="1084" customWidth="1"/>
    <col min="6404" max="6404" width="44" style="1084" customWidth="1"/>
    <col min="6405" max="6405" width="6.33203125" style="1084" customWidth="1"/>
    <col min="6406" max="6407" width="21.109375" style="1084" customWidth="1"/>
    <col min="6408" max="6410" width="0" style="1084" hidden="1" customWidth="1"/>
    <col min="6411" max="6411" width="18.6640625" style="1084" customWidth="1"/>
    <col min="6412" max="6412" width="9.33203125" style="1084" customWidth="1"/>
    <col min="6413" max="6656" width="9.109375" style="1084"/>
    <col min="6657" max="6657" width="23.109375" style="1084" customWidth="1"/>
    <col min="6658" max="6658" width="17.6640625" style="1084" customWidth="1"/>
    <col min="6659" max="6659" width="4.44140625" style="1084" customWidth="1"/>
    <col min="6660" max="6660" width="44" style="1084" customWidth="1"/>
    <col min="6661" max="6661" width="6.33203125" style="1084" customWidth="1"/>
    <col min="6662" max="6663" width="21.109375" style="1084" customWidth="1"/>
    <col min="6664" max="6666" width="0" style="1084" hidden="1" customWidth="1"/>
    <col min="6667" max="6667" width="18.6640625" style="1084" customWidth="1"/>
    <col min="6668" max="6668" width="9.33203125" style="1084" customWidth="1"/>
    <col min="6669" max="6912" width="9.109375" style="1084"/>
    <col min="6913" max="6913" width="23.109375" style="1084" customWidth="1"/>
    <col min="6914" max="6914" width="17.6640625" style="1084" customWidth="1"/>
    <col min="6915" max="6915" width="4.44140625" style="1084" customWidth="1"/>
    <col min="6916" max="6916" width="44" style="1084" customWidth="1"/>
    <col min="6917" max="6917" width="6.33203125" style="1084" customWidth="1"/>
    <col min="6918" max="6919" width="21.109375" style="1084" customWidth="1"/>
    <col min="6920" max="6922" width="0" style="1084" hidden="1" customWidth="1"/>
    <col min="6923" max="6923" width="18.6640625" style="1084" customWidth="1"/>
    <col min="6924" max="6924" width="9.33203125" style="1084" customWidth="1"/>
    <col min="6925" max="7168" width="9.109375" style="1084"/>
    <col min="7169" max="7169" width="23.109375" style="1084" customWidth="1"/>
    <col min="7170" max="7170" width="17.6640625" style="1084" customWidth="1"/>
    <col min="7171" max="7171" width="4.44140625" style="1084" customWidth="1"/>
    <col min="7172" max="7172" width="44" style="1084" customWidth="1"/>
    <col min="7173" max="7173" width="6.33203125" style="1084" customWidth="1"/>
    <col min="7174" max="7175" width="21.109375" style="1084" customWidth="1"/>
    <col min="7176" max="7178" width="0" style="1084" hidden="1" customWidth="1"/>
    <col min="7179" max="7179" width="18.6640625" style="1084" customWidth="1"/>
    <col min="7180" max="7180" width="9.33203125" style="1084" customWidth="1"/>
    <col min="7181" max="7424" width="9.109375" style="1084"/>
    <col min="7425" max="7425" width="23.109375" style="1084" customWidth="1"/>
    <col min="7426" max="7426" width="17.6640625" style="1084" customWidth="1"/>
    <col min="7427" max="7427" width="4.44140625" style="1084" customWidth="1"/>
    <col min="7428" max="7428" width="44" style="1084" customWidth="1"/>
    <col min="7429" max="7429" width="6.33203125" style="1084" customWidth="1"/>
    <col min="7430" max="7431" width="21.109375" style="1084" customWidth="1"/>
    <col min="7432" max="7434" width="0" style="1084" hidden="1" customWidth="1"/>
    <col min="7435" max="7435" width="18.6640625" style="1084" customWidth="1"/>
    <col min="7436" max="7436" width="9.33203125" style="1084" customWidth="1"/>
    <col min="7437" max="7680" width="9.109375" style="1084"/>
    <col min="7681" max="7681" width="23.109375" style="1084" customWidth="1"/>
    <col min="7682" max="7682" width="17.6640625" style="1084" customWidth="1"/>
    <col min="7683" max="7683" width="4.44140625" style="1084" customWidth="1"/>
    <col min="7684" max="7684" width="44" style="1084" customWidth="1"/>
    <col min="7685" max="7685" width="6.33203125" style="1084" customWidth="1"/>
    <col min="7686" max="7687" width="21.109375" style="1084" customWidth="1"/>
    <col min="7688" max="7690" width="0" style="1084" hidden="1" customWidth="1"/>
    <col min="7691" max="7691" width="18.6640625" style="1084" customWidth="1"/>
    <col min="7692" max="7692" width="9.33203125" style="1084" customWidth="1"/>
    <col min="7693" max="7936" width="9.109375" style="1084"/>
    <col min="7937" max="7937" width="23.109375" style="1084" customWidth="1"/>
    <col min="7938" max="7938" width="17.6640625" style="1084" customWidth="1"/>
    <col min="7939" max="7939" width="4.44140625" style="1084" customWidth="1"/>
    <col min="7940" max="7940" width="44" style="1084" customWidth="1"/>
    <col min="7941" max="7941" width="6.33203125" style="1084" customWidth="1"/>
    <col min="7942" max="7943" width="21.109375" style="1084" customWidth="1"/>
    <col min="7944" max="7946" width="0" style="1084" hidden="1" customWidth="1"/>
    <col min="7947" max="7947" width="18.6640625" style="1084" customWidth="1"/>
    <col min="7948" max="7948" width="9.33203125" style="1084" customWidth="1"/>
    <col min="7949" max="8192" width="9.109375" style="1084"/>
    <col min="8193" max="8193" width="23.109375" style="1084" customWidth="1"/>
    <col min="8194" max="8194" width="17.6640625" style="1084" customWidth="1"/>
    <col min="8195" max="8195" width="4.44140625" style="1084" customWidth="1"/>
    <col min="8196" max="8196" width="44" style="1084" customWidth="1"/>
    <col min="8197" max="8197" width="6.33203125" style="1084" customWidth="1"/>
    <col min="8198" max="8199" width="21.109375" style="1084" customWidth="1"/>
    <col min="8200" max="8202" width="0" style="1084" hidden="1" customWidth="1"/>
    <col min="8203" max="8203" width="18.6640625" style="1084" customWidth="1"/>
    <col min="8204" max="8204" width="9.33203125" style="1084" customWidth="1"/>
    <col min="8205" max="8448" width="9.109375" style="1084"/>
    <col min="8449" max="8449" width="23.109375" style="1084" customWidth="1"/>
    <col min="8450" max="8450" width="17.6640625" style="1084" customWidth="1"/>
    <col min="8451" max="8451" width="4.44140625" style="1084" customWidth="1"/>
    <col min="8452" max="8452" width="44" style="1084" customWidth="1"/>
    <col min="8453" max="8453" width="6.33203125" style="1084" customWidth="1"/>
    <col min="8454" max="8455" width="21.109375" style="1084" customWidth="1"/>
    <col min="8456" max="8458" width="0" style="1084" hidden="1" customWidth="1"/>
    <col min="8459" max="8459" width="18.6640625" style="1084" customWidth="1"/>
    <col min="8460" max="8460" width="9.33203125" style="1084" customWidth="1"/>
    <col min="8461" max="8704" width="9.109375" style="1084"/>
    <col min="8705" max="8705" width="23.109375" style="1084" customWidth="1"/>
    <col min="8706" max="8706" width="17.6640625" style="1084" customWidth="1"/>
    <col min="8707" max="8707" width="4.44140625" style="1084" customWidth="1"/>
    <col min="8708" max="8708" width="44" style="1084" customWidth="1"/>
    <col min="8709" max="8709" width="6.33203125" style="1084" customWidth="1"/>
    <col min="8710" max="8711" width="21.109375" style="1084" customWidth="1"/>
    <col min="8712" max="8714" width="0" style="1084" hidden="1" customWidth="1"/>
    <col min="8715" max="8715" width="18.6640625" style="1084" customWidth="1"/>
    <col min="8716" max="8716" width="9.33203125" style="1084" customWidth="1"/>
    <col min="8717" max="8960" width="9.109375" style="1084"/>
    <col min="8961" max="8961" width="23.109375" style="1084" customWidth="1"/>
    <col min="8962" max="8962" width="17.6640625" style="1084" customWidth="1"/>
    <col min="8963" max="8963" width="4.44140625" style="1084" customWidth="1"/>
    <col min="8964" max="8964" width="44" style="1084" customWidth="1"/>
    <col min="8965" max="8965" width="6.33203125" style="1084" customWidth="1"/>
    <col min="8966" max="8967" width="21.109375" style="1084" customWidth="1"/>
    <col min="8968" max="8970" width="0" style="1084" hidden="1" customWidth="1"/>
    <col min="8971" max="8971" width="18.6640625" style="1084" customWidth="1"/>
    <col min="8972" max="8972" width="9.33203125" style="1084" customWidth="1"/>
    <col min="8973" max="9216" width="9.109375" style="1084"/>
    <col min="9217" max="9217" width="23.109375" style="1084" customWidth="1"/>
    <col min="9218" max="9218" width="17.6640625" style="1084" customWidth="1"/>
    <col min="9219" max="9219" width="4.44140625" style="1084" customWidth="1"/>
    <col min="9220" max="9220" width="44" style="1084" customWidth="1"/>
    <col min="9221" max="9221" width="6.33203125" style="1084" customWidth="1"/>
    <col min="9222" max="9223" width="21.109375" style="1084" customWidth="1"/>
    <col min="9224" max="9226" width="0" style="1084" hidden="1" customWidth="1"/>
    <col min="9227" max="9227" width="18.6640625" style="1084" customWidth="1"/>
    <col min="9228" max="9228" width="9.33203125" style="1084" customWidth="1"/>
    <col min="9229" max="9472" width="9.109375" style="1084"/>
    <col min="9473" max="9473" width="23.109375" style="1084" customWidth="1"/>
    <col min="9474" max="9474" width="17.6640625" style="1084" customWidth="1"/>
    <col min="9475" max="9475" width="4.44140625" style="1084" customWidth="1"/>
    <col min="9476" max="9476" width="44" style="1084" customWidth="1"/>
    <col min="9477" max="9477" width="6.33203125" style="1084" customWidth="1"/>
    <col min="9478" max="9479" width="21.109375" style="1084" customWidth="1"/>
    <col min="9480" max="9482" width="0" style="1084" hidden="1" customWidth="1"/>
    <col min="9483" max="9483" width="18.6640625" style="1084" customWidth="1"/>
    <col min="9484" max="9484" width="9.33203125" style="1084" customWidth="1"/>
    <col min="9485" max="9728" width="9.109375" style="1084"/>
    <col min="9729" max="9729" width="23.109375" style="1084" customWidth="1"/>
    <col min="9730" max="9730" width="17.6640625" style="1084" customWidth="1"/>
    <col min="9731" max="9731" width="4.44140625" style="1084" customWidth="1"/>
    <col min="9732" max="9732" width="44" style="1084" customWidth="1"/>
    <col min="9733" max="9733" width="6.33203125" style="1084" customWidth="1"/>
    <col min="9734" max="9735" width="21.109375" style="1084" customWidth="1"/>
    <col min="9736" max="9738" width="0" style="1084" hidden="1" customWidth="1"/>
    <col min="9739" max="9739" width="18.6640625" style="1084" customWidth="1"/>
    <col min="9740" max="9740" width="9.33203125" style="1084" customWidth="1"/>
    <col min="9741" max="9984" width="9.109375" style="1084"/>
    <col min="9985" max="9985" width="23.109375" style="1084" customWidth="1"/>
    <col min="9986" max="9986" width="17.6640625" style="1084" customWidth="1"/>
    <col min="9987" max="9987" width="4.44140625" style="1084" customWidth="1"/>
    <col min="9988" max="9988" width="44" style="1084" customWidth="1"/>
    <col min="9989" max="9989" width="6.33203125" style="1084" customWidth="1"/>
    <col min="9990" max="9991" width="21.109375" style="1084" customWidth="1"/>
    <col min="9992" max="9994" width="0" style="1084" hidden="1" customWidth="1"/>
    <col min="9995" max="9995" width="18.6640625" style="1084" customWidth="1"/>
    <col min="9996" max="9996" width="9.33203125" style="1084" customWidth="1"/>
    <col min="9997" max="10240" width="9.109375" style="1084"/>
    <col min="10241" max="10241" width="23.109375" style="1084" customWidth="1"/>
    <col min="10242" max="10242" width="17.6640625" style="1084" customWidth="1"/>
    <col min="10243" max="10243" width="4.44140625" style="1084" customWidth="1"/>
    <col min="10244" max="10244" width="44" style="1084" customWidth="1"/>
    <col min="10245" max="10245" width="6.33203125" style="1084" customWidth="1"/>
    <col min="10246" max="10247" width="21.109375" style="1084" customWidth="1"/>
    <col min="10248" max="10250" width="0" style="1084" hidden="1" customWidth="1"/>
    <col min="10251" max="10251" width="18.6640625" style="1084" customWidth="1"/>
    <col min="10252" max="10252" width="9.33203125" style="1084" customWidth="1"/>
    <col min="10253" max="10496" width="9.109375" style="1084"/>
    <col min="10497" max="10497" width="23.109375" style="1084" customWidth="1"/>
    <col min="10498" max="10498" width="17.6640625" style="1084" customWidth="1"/>
    <col min="10499" max="10499" width="4.44140625" style="1084" customWidth="1"/>
    <col min="10500" max="10500" width="44" style="1084" customWidth="1"/>
    <col min="10501" max="10501" width="6.33203125" style="1084" customWidth="1"/>
    <col min="10502" max="10503" width="21.109375" style="1084" customWidth="1"/>
    <col min="10504" max="10506" width="0" style="1084" hidden="1" customWidth="1"/>
    <col min="10507" max="10507" width="18.6640625" style="1084" customWidth="1"/>
    <col min="10508" max="10508" width="9.33203125" style="1084" customWidth="1"/>
    <col min="10509" max="10752" width="9.109375" style="1084"/>
    <col min="10753" max="10753" width="23.109375" style="1084" customWidth="1"/>
    <col min="10754" max="10754" width="17.6640625" style="1084" customWidth="1"/>
    <col min="10755" max="10755" width="4.44140625" style="1084" customWidth="1"/>
    <col min="10756" max="10756" width="44" style="1084" customWidth="1"/>
    <col min="10757" max="10757" width="6.33203125" style="1084" customWidth="1"/>
    <col min="10758" max="10759" width="21.109375" style="1084" customWidth="1"/>
    <col min="10760" max="10762" width="0" style="1084" hidden="1" customWidth="1"/>
    <col min="10763" max="10763" width="18.6640625" style="1084" customWidth="1"/>
    <col min="10764" max="10764" width="9.33203125" style="1084" customWidth="1"/>
    <col min="10765" max="11008" width="9.109375" style="1084"/>
    <col min="11009" max="11009" width="23.109375" style="1084" customWidth="1"/>
    <col min="11010" max="11010" width="17.6640625" style="1084" customWidth="1"/>
    <col min="11011" max="11011" width="4.44140625" style="1084" customWidth="1"/>
    <col min="11012" max="11012" width="44" style="1084" customWidth="1"/>
    <col min="11013" max="11013" width="6.33203125" style="1084" customWidth="1"/>
    <col min="11014" max="11015" width="21.109375" style="1084" customWidth="1"/>
    <col min="11016" max="11018" width="0" style="1084" hidden="1" customWidth="1"/>
    <col min="11019" max="11019" width="18.6640625" style="1084" customWidth="1"/>
    <col min="11020" max="11020" width="9.33203125" style="1084" customWidth="1"/>
    <col min="11021" max="11264" width="9.109375" style="1084"/>
    <col min="11265" max="11265" width="23.109375" style="1084" customWidth="1"/>
    <col min="11266" max="11266" width="17.6640625" style="1084" customWidth="1"/>
    <col min="11267" max="11267" width="4.44140625" style="1084" customWidth="1"/>
    <col min="11268" max="11268" width="44" style="1084" customWidth="1"/>
    <col min="11269" max="11269" width="6.33203125" style="1084" customWidth="1"/>
    <col min="11270" max="11271" width="21.109375" style="1084" customWidth="1"/>
    <col min="11272" max="11274" width="0" style="1084" hidden="1" customWidth="1"/>
    <col min="11275" max="11275" width="18.6640625" style="1084" customWidth="1"/>
    <col min="11276" max="11276" width="9.33203125" style="1084" customWidth="1"/>
    <col min="11277" max="11520" width="9.109375" style="1084"/>
    <col min="11521" max="11521" width="23.109375" style="1084" customWidth="1"/>
    <col min="11522" max="11522" width="17.6640625" style="1084" customWidth="1"/>
    <col min="11523" max="11523" width="4.44140625" style="1084" customWidth="1"/>
    <col min="11524" max="11524" width="44" style="1084" customWidth="1"/>
    <col min="11525" max="11525" width="6.33203125" style="1084" customWidth="1"/>
    <col min="11526" max="11527" width="21.109375" style="1084" customWidth="1"/>
    <col min="11528" max="11530" width="0" style="1084" hidden="1" customWidth="1"/>
    <col min="11531" max="11531" width="18.6640625" style="1084" customWidth="1"/>
    <col min="11532" max="11532" width="9.33203125" style="1084" customWidth="1"/>
    <col min="11533" max="11776" width="9.109375" style="1084"/>
    <col min="11777" max="11777" width="23.109375" style="1084" customWidth="1"/>
    <col min="11778" max="11778" width="17.6640625" style="1084" customWidth="1"/>
    <col min="11779" max="11779" width="4.44140625" style="1084" customWidth="1"/>
    <col min="11780" max="11780" width="44" style="1084" customWidth="1"/>
    <col min="11781" max="11781" width="6.33203125" style="1084" customWidth="1"/>
    <col min="11782" max="11783" width="21.109375" style="1084" customWidth="1"/>
    <col min="11784" max="11786" width="0" style="1084" hidden="1" customWidth="1"/>
    <col min="11787" max="11787" width="18.6640625" style="1084" customWidth="1"/>
    <col min="11788" max="11788" width="9.33203125" style="1084" customWidth="1"/>
    <col min="11789" max="12032" width="9.109375" style="1084"/>
    <col min="12033" max="12033" width="23.109375" style="1084" customWidth="1"/>
    <col min="12034" max="12034" width="17.6640625" style="1084" customWidth="1"/>
    <col min="12035" max="12035" width="4.44140625" style="1084" customWidth="1"/>
    <col min="12036" max="12036" width="44" style="1084" customWidth="1"/>
    <col min="12037" max="12037" width="6.33203125" style="1084" customWidth="1"/>
    <col min="12038" max="12039" width="21.109375" style="1084" customWidth="1"/>
    <col min="12040" max="12042" width="0" style="1084" hidden="1" customWidth="1"/>
    <col min="12043" max="12043" width="18.6640625" style="1084" customWidth="1"/>
    <col min="12044" max="12044" width="9.33203125" style="1084" customWidth="1"/>
    <col min="12045" max="12288" width="9.109375" style="1084"/>
    <col min="12289" max="12289" width="23.109375" style="1084" customWidth="1"/>
    <col min="12290" max="12290" width="17.6640625" style="1084" customWidth="1"/>
    <col min="12291" max="12291" width="4.44140625" style="1084" customWidth="1"/>
    <col min="12292" max="12292" width="44" style="1084" customWidth="1"/>
    <col min="12293" max="12293" width="6.33203125" style="1084" customWidth="1"/>
    <col min="12294" max="12295" width="21.109375" style="1084" customWidth="1"/>
    <col min="12296" max="12298" width="0" style="1084" hidden="1" customWidth="1"/>
    <col min="12299" max="12299" width="18.6640625" style="1084" customWidth="1"/>
    <col min="12300" max="12300" width="9.33203125" style="1084" customWidth="1"/>
    <col min="12301" max="12544" width="9.109375" style="1084"/>
    <col min="12545" max="12545" width="23.109375" style="1084" customWidth="1"/>
    <col min="12546" max="12546" width="17.6640625" style="1084" customWidth="1"/>
    <col min="12547" max="12547" width="4.44140625" style="1084" customWidth="1"/>
    <col min="12548" max="12548" width="44" style="1084" customWidth="1"/>
    <col min="12549" max="12549" width="6.33203125" style="1084" customWidth="1"/>
    <col min="12550" max="12551" width="21.109375" style="1084" customWidth="1"/>
    <col min="12552" max="12554" width="0" style="1084" hidden="1" customWidth="1"/>
    <col min="12555" max="12555" width="18.6640625" style="1084" customWidth="1"/>
    <col min="12556" max="12556" width="9.33203125" style="1084" customWidth="1"/>
    <col min="12557" max="12800" width="9.109375" style="1084"/>
    <col min="12801" max="12801" width="23.109375" style="1084" customWidth="1"/>
    <col min="12802" max="12802" width="17.6640625" style="1084" customWidth="1"/>
    <col min="12803" max="12803" width="4.44140625" style="1084" customWidth="1"/>
    <col min="12804" max="12804" width="44" style="1084" customWidth="1"/>
    <col min="12805" max="12805" width="6.33203125" style="1084" customWidth="1"/>
    <col min="12806" max="12807" width="21.109375" style="1084" customWidth="1"/>
    <col min="12808" max="12810" width="0" style="1084" hidden="1" customWidth="1"/>
    <col min="12811" max="12811" width="18.6640625" style="1084" customWidth="1"/>
    <col min="12812" max="12812" width="9.33203125" style="1084" customWidth="1"/>
    <col min="12813" max="13056" width="9.109375" style="1084"/>
    <col min="13057" max="13057" width="23.109375" style="1084" customWidth="1"/>
    <col min="13058" max="13058" width="17.6640625" style="1084" customWidth="1"/>
    <col min="13059" max="13059" width="4.44140625" style="1084" customWidth="1"/>
    <col min="13060" max="13060" width="44" style="1084" customWidth="1"/>
    <col min="13061" max="13061" width="6.33203125" style="1084" customWidth="1"/>
    <col min="13062" max="13063" width="21.109375" style="1084" customWidth="1"/>
    <col min="13064" max="13066" width="0" style="1084" hidden="1" customWidth="1"/>
    <col min="13067" max="13067" width="18.6640625" style="1084" customWidth="1"/>
    <col min="13068" max="13068" width="9.33203125" style="1084" customWidth="1"/>
    <col min="13069" max="13312" width="9.109375" style="1084"/>
    <col min="13313" max="13313" width="23.109375" style="1084" customWidth="1"/>
    <col min="13314" max="13314" width="17.6640625" style="1084" customWidth="1"/>
    <col min="13315" max="13315" width="4.44140625" style="1084" customWidth="1"/>
    <col min="13316" max="13316" width="44" style="1084" customWidth="1"/>
    <col min="13317" max="13317" width="6.33203125" style="1084" customWidth="1"/>
    <col min="13318" max="13319" width="21.109375" style="1084" customWidth="1"/>
    <col min="13320" max="13322" width="0" style="1084" hidden="1" customWidth="1"/>
    <col min="13323" max="13323" width="18.6640625" style="1084" customWidth="1"/>
    <col min="13324" max="13324" width="9.33203125" style="1084" customWidth="1"/>
    <col min="13325" max="13568" width="9.109375" style="1084"/>
    <col min="13569" max="13569" width="23.109375" style="1084" customWidth="1"/>
    <col min="13570" max="13570" width="17.6640625" style="1084" customWidth="1"/>
    <col min="13571" max="13571" width="4.44140625" style="1084" customWidth="1"/>
    <col min="13572" max="13572" width="44" style="1084" customWidth="1"/>
    <col min="13573" max="13573" width="6.33203125" style="1084" customWidth="1"/>
    <col min="13574" max="13575" width="21.109375" style="1084" customWidth="1"/>
    <col min="13576" max="13578" width="0" style="1084" hidden="1" customWidth="1"/>
    <col min="13579" max="13579" width="18.6640625" style="1084" customWidth="1"/>
    <col min="13580" max="13580" width="9.33203125" style="1084" customWidth="1"/>
    <col min="13581" max="13824" width="9.109375" style="1084"/>
    <col min="13825" max="13825" width="23.109375" style="1084" customWidth="1"/>
    <col min="13826" max="13826" width="17.6640625" style="1084" customWidth="1"/>
    <col min="13827" max="13827" width="4.44140625" style="1084" customWidth="1"/>
    <col min="13828" max="13828" width="44" style="1084" customWidth="1"/>
    <col min="13829" max="13829" width="6.33203125" style="1084" customWidth="1"/>
    <col min="13830" max="13831" width="21.109375" style="1084" customWidth="1"/>
    <col min="13832" max="13834" width="0" style="1084" hidden="1" customWidth="1"/>
    <col min="13835" max="13835" width="18.6640625" style="1084" customWidth="1"/>
    <col min="13836" max="13836" width="9.33203125" style="1084" customWidth="1"/>
    <col min="13837" max="14080" width="9.109375" style="1084"/>
    <col min="14081" max="14081" width="23.109375" style="1084" customWidth="1"/>
    <col min="14082" max="14082" width="17.6640625" style="1084" customWidth="1"/>
    <col min="14083" max="14083" width="4.44140625" style="1084" customWidth="1"/>
    <col min="14084" max="14084" width="44" style="1084" customWidth="1"/>
    <col min="14085" max="14085" width="6.33203125" style="1084" customWidth="1"/>
    <col min="14086" max="14087" width="21.109375" style="1084" customWidth="1"/>
    <col min="14088" max="14090" width="0" style="1084" hidden="1" customWidth="1"/>
    <col min="14091" max="14091" width="18.6640625" style="1084" customWidth="1"/>
    <col min="14092" max="14092" width="9.33203125" style="1084" customWidth="1"/>
    <col min="14093" max="14336" width="9.109375" style="1084"/>
    <col min="14337" max="14337" width="23.109375" style="1084" customWidth="1"/>
    <col min="14338" max="14338" width="17.6640625" style="1084" customWidth="1"/>
    <col min="14339" max="14339" width="4.44140625" style="1084" customWidth="1"/>
    <col min="14340" max="14340" width="44" style="1084" customWidth="1"/>
    <col min="14341" max="14341" width="6.33203125" style="1084" customWidth="1"/>
    <col min="14342" max="14343" width="21.109375" style="1084" customWidth="1"/>
    <col min="14344" max="14346" width="0" style="1084" hidden="1" customWidth="1"/>
    <col min="14347" max="14347" width="18.6640625" style="1084" customWidth="1"/>
    <col min="14348" max="14348" width="9.33203125" style="1084" customWidth="1"/>
    <col min="14349" max="14592" width="9.109375" style="1084"/>
    <col min="14593" max="14593" width="23.109375" style="1084" customWidth="1"/>
    <col min="14594" max="14594" width="17.6640625" style="1084" customWidth="1"/>
    <col min="14595" max="14595" width="4.44140625" style="1084" customWidth="1"/>
    <col min="14596" max="14596" width="44" style="1084" customWidth="1"/>
    <col min="14597" max="14597" width="6.33203125" style="1084" customWidth="1"/>
    <col min="14598" max="14599" width="21.109375" style="1084" customWidth="1"/>
    <col min="14600" max="14602" width="0" style="1084" hidden="1" customWidth="1"/>
    <col min="14603" max="14603" width="18.6640625" style="1084" customWidth="1"/>
    <col min="14604" max="14604" width="9.33203125" style="1084" customWidth="1"/>
    <col min="14605" max="14848" width="9.109375" style="1084"/>
    <col min="14849" max="14849" width="23.109375" style="1084" customWidth="1"/>
    <col min="14850" max="14850" width="17.6640625" style="1084" customWidth="1"/>
    <col min="14851" max="14851" width="4.44140625" style="1084" customWidth="1"/>
    <col min="14852" max="14852" width="44" style="1084" customWidth="1"/>
    <col min="14853" max="14853" width="6.33203125" style="1084" customWidth="1"/>
    <col min="14854" max="14855" width="21.109375" style="1084" customWidth="1"/>
    <col min="14856" max="14858" width="0" style="1084" hidden="1" customWidth="1"/>
    <col min="14859" max="14859" width="18.6640625" style="1084" customWidth="1"/>
    <col min="14860" max="14860" width="9.33203125" style="1084" customWidth="1"/>
    <col min="14861" max="15104" width="9.109375" style="1084"/>
    <col min="15105" max="15105" width="23.109375" style="1084" customWidth="1"/>
    <col min="15106" max="15106" width="17.6640625" style="1084" customWidth="1"/>
    <col min="15107" max="15107" width="4.44140625" style="1084" customWidth="1"/>
    <col min="15108" max="15108" width="44" style="1084" customWidth="1"/>
    <col min="15109" max="15109" width="6.33203125" style="1084" customWidth="1"/>
    <col min="15110" max="15111" width="21.109375" style="1084" customWidth="1"/>
    <col min="15112" max="15114" width="0" style="1084" hidden="1" customWidth="1"/>
    <col min="15115" max="15115" width="18.6640625" style="1084" customWidth="1"/>
    <col min="15116" max="15116" width="9.33203125" style="1084" customWidth="1"/>
    <col min="15117" max="15360" width="9.109375" style="1084"/>
    <col min="15361" max="15361" width="23.109375" style="1084" customWidth="1"/>
    <col min="15362" max="15362" width="17.6640625" style="1084" customWidth="1"/>
    <col min="15363" max="15363" width="4.44140625" style="1084" customWidth="1"/>
    <col min="15364" max="15364" width="44" style="1084" customWidth="1"/>
    <col min="15365" max="15365" width="6.33203125" style="1084" customWidth="1"/>
    <col min="15366" max="15367" width="21.109375" style="1084" customWidth="1"/>
    <col min="15368" max="15370" width="0" style="1084" hidden="1" customWidth="1"/>
    <col min="15371" max="15371" width="18.6640625" style="1084" customWidth="1"/>
    <col min="15372" max="15372" width="9.33203125" style="1084" customWidth="1"/>
    <col min="15373" max="15616" width="9.109375" style="1084"/>
    <col min="15617" max="15617" width="23.109375" style="1084" customWidth="1"/>
    <col min="15618" max="15618" width="17.6640625" style="1084" customWidth="1"/>
    <col min="15619" max="15619" width="4.44140625" style="1084" customWidth="1"/>
    <col min="15620" max="15620" width="44" style="1084" customWidth="1"/>
    <col min="15621" max="15621" width="6.33203125" style="1084" customWidth="1"/>
    <col min="15622" max="15623" width="21.109375" style="1084" customWidth="1"/>
    <col min="15624" max="15626" width="0" style="1084" hidden="1" customWidth="1"/>
    <col min="15627" max="15627" width="18.6640625" style="1084" customWidth="1"/>
    <col min="15628" max="15628" width="9.33203125" style="1084" customWidth="1"/>
    <col min="15629" max="15872" width="9.109375" style="1084"/>
    <col min="15873" max="15873" width="23.109375" style="1084" customWidth="1"/>
    <col min="15874" max="15874" width="17.6640625" style="1084" customWidth="1"/>
    <col min="15875" max="15875" width="4.44140625" style="1084" customWidth="1"/>
    <col min="15876" max="15876" width="44" style="1084" customWidth="1"/>
    <col min="15877" max="15877" width="6.33203125" style="1084" customWidth="1"/>
    <col min="15878" max="15879" width="21.109375" style="1084" customWidth="1"/>
    <col min="15880" max="15882" width="0" style="1084" hidden="1" customWidth="1"/>
    <col min="15883" max="15883" width="18.6640625" style="1084" customWidth="1"/>
    <col min="15884" max="15884" width="9.33203125" style="1084" customWidth="1"/>
    <col min="15885" max="16128" width="9.109375" style="1084"/>
    <col min="16129" max="16129" width="23.109375" style="1084" customWidth="1"/>
    <col min="16130" max="16130" width="17.6640625" style="1084" customWidth="1"/>
    <col min="16131" max="16131" width="4.44140625" style="1084" customWidth="1"/>
    <col min="16132" max="16132" width="44" style="1084" customWidth="1"/>
    <col min="16133" max="16133" width="6.33203125" style="1084" customWidth="1"/>
    <col min="16134" max="16135" width="21.109375" style="1084" customWidth="1"/>
    <col min="16136" max="16138" width="0" style="1084" hidden="1" customWidth="1"/>
    <col min="16139" max="16139" width="18.6640625" style="1084" customWidth="1"/>
    <col min="16140" max="16140" width="9.33203125" style="1084" customWidth="1"/>
    <col min="16141" max="16384" width="9.109375" style="1084"/>
  </cols>
  <sheetData>
    <row r="1" spans="1:13" s="1016" customFormat="1" ht="22.8">
      <c r="A1" s="1175" t="s">
        <v>1000</v>
      </c>
      <c r="B1" s="1175"/>
      <c r="C1" s="1175"/>
      <c r="D1" s="1175"/>
      <c r="E1" s="1175"/>
      <c r="F1" s="1175"/>
      <c r="G1" s="1175"/>
      <c r="H1" s="1175"/>
      <c r="I1" s="1175"/>
      <c r="J1" s="1175"/>
      <c r="K1" s="1015"/>
    </row>
    <row r="2" spans="1:13" s="1016" customFormat="1" ht="23.4" thickBot="1">
      <c r="A2" s="1176" t="s">
        <v>1001</v>
      </c>
      <c r="B2" s="1176"/>
      <c r="C2" s="1176"/>
      <c r="D2" s="1176"/>
      <c r="E2" s="1176"/>
      <c r="F2" s="1176"/>
      <c r="G2" s="1176"/>
      <c r="H2" s="1176"/>
      <c r="I2" s="1176"/>
      <c r="J2" s="1176"/>
      <c r="K2" s="1015"/>
    </row>
    <row r="3" spans="1:13" s="1019" customFormat="1" ht="17.399999999999999">
      <c r="A3" s="1017"/>
      <c r="B3" s="1017"/>
      <c r="C3" s="1017"/>
      <c r="D3" s="1017"/>
      <c r="E3" s="1017"/>
      <c r="F3" s="1017"/>
      <c r="G3" s="1017"/>
      <c r="H3" s="1017"/>
      <c r="I3" s="1017"/>
      <c r="J3" s="1017"/>
      <c r="K3" s="1018"/>
    </row>
    <row r="4" spans="1:13" s="1019" customFormat="1" ht="17.399999999999999">
      <c r="A4" s="1020" t="s">
        <v>1002</v>
      </c>
      <c r="B4" s="1021"/>
      <c r="C4" s="1022"/>
      <c r="D4" s="1023" t="s">
        <v>1087</v>
      </c>
      <c r="E4" s="1022"/>
      <c r="F4" s="1024" t="s">
        <v>1004</v>
      </c>
      <c r="G4" s="1021"/>
      <c r="H4" s="1022"/>
      <c r="I4" s="1022"/>
      <c r="J4" s="1022"/>
      <c r="K4" s="1018"/>
    </row>
    <row r="5" spans="1:13" s="1019" customFormat="1" ht="17.399999999999999">
      <c r="B5" s="1022"/>
      <c r="C5" s="1022"/>
      <c r="D5" s="1024"/>
      <c r="E5" s="1022"/>
      <c r="F5" s="1024" t="s">
        <v>1005</v>
      </c>
      <c r="G5" s="1025"/>
      <c r="H5" s="1022"/>
      <c r="I5" s="1022"/>
      <c r="J5" s="1022"/>
      <c r="K5" s="1018"/>
    </row>
    <row r="6" spans="1:13" s="1019" customFormat="1" ht="18" thickBot="1">
      <c r="A6" s="1020"/>
      <c r="B6" s="1026"/>
      <c r="C6" s="1027"/>
      <c r="E6" s="1028"/>
      <c r="G6" s="1028"/>
      <c r="H6" s="1022"/>
      <c r="I6" s="1029"/>
      <c r="J6" s="1030"/>
      <c r="K6" s="1018"/>
    </row>
    <row r="7" spans="1:13" s="1019" customFormat="1" ht="18" thickBot="1">
      <c r="A7" s="1031"/>
      <c r="B7" s="1028" t="s">
        <v>1006</v>
      </c>
      <c r="C7" s="1032" t="s">
        <v>1088</v>
      </c>
      <c r="D7" s="1033"/>
      <c r="E7" s="1033"/>
      <c r="F7" s="1177"/>
      <c r="G7" s="1177"/>
      <c r="H7" s="1028"/>
      <c r="I7" s="1028"/>
      <c r="J7" s="1028"/>
      <c r="K7" s="1018"/>
    </row>
    <row r="8" spans="1:13" s="1019" customFormat="1" ht="17.399999999999999">
      <c r="A8" s="1031"/>
      <c r="B8" s="1028"/>
      <c r="C8" s="1022"/>
      <c r="D8" s="1019" t="s">
        <v>1008</v>
      </c>
      <c r="F8" s="1034"/>
      <c r="G8" s="1034" t="s">
        <v>1089</v>
      </c>
      <c r="H8" s="1028"/>
      <c r="I8" s="1028"/>
      <c r="J8" s="1028"/>
      <c r="K8" s="1018"/>
    </row>
    <row r="9" spans="1:13" s="1019" customFormat="1" ht="18" thickBot="1">
      <c r="A9" s="1028" t="s">
        <v>1010</v>
      </c>
      <c r="B9" s="1178">
        <v>43100</v>
      </c>
      <c r="C9" s="1179"/>
      <c r="D9" s="1035"/>
      <c r="E9" s="1022"/>
      <c r="F9" s="1028" t="s">
        <v>1011</v>
      </c>
      <c r="G9" s="1036">
        <v>1462197</v>
      </c>
      <c r="H9" s="1022"/>
      <c r="I9" s="1022"/>
      <c r="J9" s="1022"/>
      <c r="K9" s="1018"/>
    </row>
    <row r="10" spans="1:13" s="1019" customFormat="1" ht="18" thickBot="1">
      <c r="A10" s="1028"/>
      <c r="B10" s="1037"/>
      <c r="C10" s="1022"/>
      <c r="D10" s="1035"/>
      <c r="E10" s="1022"/>
      <c r="F10" s="1028" t="s">
        <v>1012</v>
      </c>
      <c r="G10" s="1038"/>
      <c r="H10" s="1022"/>
      <c r="I10" s="1022"/>
      <c r="J10" s="1022"/>
      <c r="K10" s="1018"/>
    </row>
    <row r="11" spans="1:13" s="1040" customFormat="1" ht="13.2">
      <c r="A11" s="1039"/>
      <c r="E11" s="1041"/>
      <c r="F11" s="1042"/>
      <c r="G11" s="1042"/>
      <c r="H11" s="1043"/>
      <c r="I11" s="1043"/>
      <c r="J11" s="1043"/>
      <c r="K11" s="1044"/>
    </row>
    <row r="12" spans="1:13" s="1049" customFormat="1" ht="15.6">
      <c r="A12" s="1045" t="s">
        <v>1013</v>
      </c>
      <c r="B12" s="1046" t="s">
        <v>1014</v>
      </c>
      <c r="C12" s="1046" t="s">
        <v>1015</v>
      </c>
      <c r="D12" s="1046" t="s">
        <v>1016</v>
      </c>
      <c r="E12" s="1046" t="s">
        <v>747</v>
      </c>
      <c r="F12" s="1046" t="s">
        <v>1017</v>
      </c>
      <c r="G12" s="1046" t="s">
        <v>1018</v>
      </c>
      <c r="H12" s="1047"/>
      <c r="I12" s="1047"/>
      <c r="J12" s="1047"/>
      <c r="K12" s="1048"/>
      <c r="L12" s="1159">
        <f>SUM(L13:L16)</f>
        <v>-525405.71</v>
      </c>
    </row>
    <row r="13" spans="1:13" s="1049" customFormat="1" ht="28.5" customHeight="1">
      <c r="A13" s="1050" t="s">
        <v>1019</v>
      </c>
      <c r="B13" s="1051"/>
      <c r="C13" s="1052"/>
      <c r="D13" s="1053" t="s">
        <v>1090</v>
      </c>
      <c r="E13" s="1054"/>
      <c r="F13" s="1055"/>
      <c r="G13" s="1055">
        <v>452314.30001644755</v>
      </c>
      <c r="H13" s="1056"/>
      <c r="I13" s="1056"/>
      <c r="J13" s="1056"/>
      <c r="K13" s="1048"/>
      <c r="L13" s="1159">
        <f>ROUND('JE Summary'!$C$125,2)</f>
        <v>-452314.3</v>
      </c>
      <c r="M13" s="1091"/>
    </row>
    <row r="14" spans="1:13" s="1049" customFormat="1" ht="28.5" customHeight="1">
      <c r="A14" s="1050" t="s">
        <v>1021</v>
      </c>
      <c r="B14" s="1051"/>
      <c r="C14" s="1052"/>
      <c r="D14" s="1053" t="s">
        <v>1091</v>
      </c>
      <c r="E14" s="1054"/>
      <c r="F14" s="1055"/>
      <c r="G14" s="1055">
        <v>13017.573940109169</v>
      </c>
      <c r="H14" s="1056"/>
      <c r="I14" s="1056"/>
      <c r="J14" s="1056"/>
      <c r="K14" s="1048"/>
      <c r="L14" s="1159">
        <f>ROUND('JE Summary'!$D$125,2)</f>
        <v>-13017.57</v>
      </c>
      <c r="M14" s="1091"/>
    </row>
    <row r="15" spans="1:13" s="1049" customFormat="1" ht="28.5" customHeight="1">
      <c r="A15" s="1050" t="s">
        <v>1025</v>
      </c>
      <c r="B15" s="1051"/>
      <c r="C15" s="1052"/>
      <c r="D15" s="1053" t="s">
        <v>1092</v>
      </c>
      <c r="E15" s="1054"/>
      <c r="F15" s="1055">
        <v>34500</v>
      </c>
      <c r="G15" s="1055"/>
      <c r="H15" s="1056"/>
      <c r="I15" s="1056"/>
      <c r="J15" s="1056"/>
      <c r="K15" s="1048"/>
      <c r="L15" s="1159">
        <f>ROUND('JE Summary'!$I$125,2)</f>
        <v>34500</v>
      </c>
      <c r="M15" s="1091"/>
    </row>
    <row r="16" spans="1:13" s="1049" customFormat="1" ht="28.5" customHeight="1">
      <c r="A16" s="1057" t="s">
        <v>1023</v>
      </c>
      <c r="B16" s="1051"/>
      <c r="C16" s="1052"/>
      <c r="D16" s="1053" t="s">
        <v>1093</v>
      </c>
      <c r="E16" s="1054"/>
      <c r="F16" s="1055"/>
      <c r="G16" s="1055">
        <v>94573.8406840713</v>
      </c>
      <c r="H16" s="1056"/>
      <c r="I16" s="1056"/>
      <c r="J16" s="1056"/>
      <c r="K16" s="1048"/>
      <c r="L16" s="1159">
        <f>ROUND('JE Summary'!$E$125,2)</f>
        <v>-94573.84</v>
      </c>
    </row>
    <row r="17" spans="1:11" s="1049" customFormat="1" ht="28.5" customHeight="1">
      <c r="A17" s="1050" t="s">
        <v>1031</v>
      </c>
      <c r="B17" s="1051"/>
      <c r="C17" s="1052"/>
      <c r="D17" s="1053" t="s">
        <v>1094</v>
      </c>
      <c r="E17" s="1054"/>
      <c r="F17" s="1055">
        <v>452314.30001644755</v>
      </c>
      <c r="G17" s="1055"/>
      <c r="H17" s="1056"/>
      <c r="I17" s="1056"/>
      <c r="J17" s="1056"/>
      <c r="K17" s="1048"/>
    </row>
    <row r="18" spans="1:11" s="1049" customFormat="1" ht="28.5" customHeight="1">
      <c r="A18" s="1057" t="s">
        <v>1033</v>
      </c>
      <c r="B18" s="1051"/>
      <c r="C18" s="1052"/>
      <c r="D18" s="1053" t="s">
        <v>1091</v>
      </c>
      <c r="E18" s="1054"/>
      <c r="F18" s="1055">
        <v>13017.573940109169</v>
      </c>
      <c r="G18" s="1055"/>
      <c r="H18" s="1056"/>
      <c r="I18" s="1056"/>
      <c r="J18" s="1056"/>
      <c r="K18" s="1048"/>
    </row>
    <row r="19" spans="1:11" s="1049" customFormat="1" ht="28.5" customHeight="1">
      <c r="A19" s="1057" t="s">
        <v>1035</v>
      </c>
      <c r="B19" s="1051"/>
      <c r="C19" s="1052"/>
      <c r="D19" s="1053" t="s">
        <v>1092</v>
      </c>
      <c r="E19" s="1054"/>
      <c r="F19" s="1055"/>
      <c r="G19" s="1055">
        <v>34500</v>
      </c>
      <c r="H19" s="1056"/>
      <c r="I19" s="1056"/>
      <c r="J19" s="1056"/>
      <c r="K19" s="1048"/>
    </row>
    <row r="20" spans="1:11" s="1049" customFormat="1" ht="28.5" customHeight="1">
      <c r="A20" s="1057" t="s">
        <v>1034</v>
      </c>
      <c r="B20" s="1051"/>
      <c r="C20" s="1052"/>
      <c r="D20" s="1053" t="s">
        <v>1093</v>
      </c>
      <c r="E20" s="1054"/>
      <c r="F20" s="1055">
        <v>94573.8406840713</v>
      </c>
      <c r="G20" s="1055"/>
      <c r="H20" s="1056"/>
      <c r="I20" s="1056"/>
      <c r="J20" s="1056"/>
      <c r="K20" s="1048"/>
    </row>
    <row r="21" spans="1:11" s="1049" customFormat="1" ht="28.5" customHeight="1">
      <c r="A21" s="1059"/>
      <c r="B21" s="1051"/>
      <c r="C21" s="1052"/>
      <c r="D21" s="1053"/>
      <c r="E21" s="1054"/>
      <c r="F21" s="1055"/>
      <c r="G21" s="1055"/>
      <c r="H21" s="1056"/>
      <c r="I21" s="1056"/>
      <c r="J21" s="1056"/>
      <c r="K21" s="1048"/>
    </row>
    <row r="22" spans="1:11" s="1049" customFormat="1" ht="28.5" customHeight="1">
      <c r="A22" s="1059"/>
      <c r="B22" s="1051"/>
      <c r="C22" s="1052"/>
      <c r="D22" s="1053"/>
      <c r="E22" s="1054"/>
      <c r="F22" s="1055"/>
      <c r="G22" s="1055"/>
      <c r="H22" s="1056"/>
      <c r="I22" s="1056"/>
      <c r="J22" s="1056"/>
      <c r="K22" s="1048"/>
    </row>
    <row r="23" spans="1:11" s="1049" customFormat="1" ht="28.5" customHeight="1">
      <c r="A23" s="1059"/>
      <c r="B23" s="1051"/>
      <c r="C23" s="1052"/>
      <c r="D23" s="1053"/>
      <c r="E23" s="1054"/>
      <c r="F23" s="1055"/>
      <c r="G23" s="1055"/>
      <c r="H23" s="1056"/>
      <c r="I23" s="1056"/>
      <c r="J23" s="1056"/>
      <c r="K23" s="1048"/>
    </row>
    <row r="24" spans="1:11" s="1049" customFormat="1" ht="28.5" customHeight="1">
      <c r="A24" s="1059"/>
      <c r="B24" s="1051"/>
      <c r="C24" s="1052"/>
      <c r="D24" s="1053"/>
      <c r="E24" s="1054"/>
      <c r="F24" s="1055"/>
      <c r="G24" s="1055"/>
      <c r="H24" s="1056"/>
      <c r="I24" s="1056"/>
      <c r="J24" s="1056"/>
      <c r="K24" s="1048"/>
    </row>
    <row r="25" spans="1:11" s="1049" customFormat="1" ht="28.5" customHeight="1">
      <c r="A25" s="1059"/>
      <c r="B25" s="1051"/>
      <c r="C25" s="1052"/>
      <c r="D25" s="1053"/>
      <c r="E25" s="1054"/>
      <c r="F25" s="1055"/>
      <c r="G25" s="1055"/>
      <c r="H25" s="1056"/>
      <c r="I25" s="1056"/>
      <c r="J25" s="1056"/>
      <c r="K25" s="1048"/>
    </row>
    <row r="26" spans="1:11" s="1049" customFormat="1" ht="28.5" customHeight="1">
      <c r="A26" s="1059"/>
      <c r="B26" s="1051"/>
      <c r="C26" s="1052"/>
      <c r="D26" s="1053"/>
      <c r="E26" s="1054"/>
      <c r="F26" s="1055"/>
      <c r="G26" s="1055"/>
      <c r="H26" s="1056"/>
      <c r="I26" s="1056"/>
      <c r="J26" s="1056"/>
      <c r="K26" s="1048"/>
    </row>
    <row r="27" spans="1:11" s="1049" customFormat="1" ht="28.5" customHeight="1">
      <c r="A27" s="1059"/>
      <c r="B27" s="1051"/>
      <c r="C27" s="1052"/>
      <c r="D27" s="1053"/>
      <c r="E27" s="1054"/>
      <c r="F27" s="1055"/>
      <c r="G27" s="1055"/>
      <c r="H27" s="1056"/>
      <c r="I27" s="1056"/>
      <c r="J27" s="1056"/>
      <c r="K27" s="1048"/>
    </row>
    <row r="28" spans="1:11" s="1049" customFormat="1" ht="28.5" customHeight="1">
      <c r="A28" s="1059"/>
      <c r="B28" s="1051"/>
      <c r="C28" s="1052"/>
      <c r="D28" s="1053"/>
      <c r="E28" s="1054"/>
      <c r="F28" s="1055"/>
      <c r="G28" s="1055"/>
      <c r="H28" s="1056"/>
      <c r="I28" s="1056"/>
      <c r="J28" s="1056"/>
      <c r="K28" s="1048"/>
    </row>
    <row r="29" spans="1:11" s="1049" customFormat="1" ht="28.5" customHeight="1">
      <c r="A29" s="1059"/>
      <c r="B29" s="1051"/>
      <c r="C29" s="1052"/>
      <c r="D29" s="1053"/>
      <c r="E29" s="1054"/>
      <c r="F29" s="1055"/>
      <c r="G29" s="1055"/>
      <c r="H29" s="1056"/>
      <c r="I29" s="1056"/>
      <c r="J29" s="1056"/>
      <c r="K29" s="1048"/>
    </row>
    <row r="30" spans="1:11" s="1049" customFormat="1" ht="28.5" customHeight="1">
      <c r="A30" s="1059"/>
      <c r="B30" s="1051"/>
      <c r="C30" s="1052"/>
      <c r="D30" s="1053"/>
      <c r="E30" s="1054"/>
      <c r="F30" s="1055"/>
      <c r="G30" s="1055"/>
      <c r="H30" s="1056"/>
      <c r="I30" s="1056"/>
      <c r="J30" s="1056"/>
      <c r="K30" s="1048"/>
    </row>
    <row r="31" spans="1:11" s="1049" customFormat="1" ht="28.5" customHeight="1">
      <c r="A31" s="1059"/>
      <c r="B31" s="1051"/>
      <c r="C31" s="1052"/>
      <c r="D31" s="1053"/>
      <c r="E31" s="1054"/>
      <c r="F31" s="1055"/>
      <c r="G31" s="1055"/>
      <c r="H31" s="1056"/>
      <c r="I31" s="1056"/>
      <c r="J31" s="1056"/>
      <c r="K31" s="1048"/>
    </row>
    <row r="32" spans="1:11" s="1049" customFormat="1" ht="28.5" customHeight="1">
      <c r="A32" s="1059"/>
      <c r="B32" s="1051"/>
      <c r="C32" s="1052"/>
      <c r="D32" s="1053"/>
      <c r="E32" s="1054"/>
      <c r="F32" s="1055"/>
      <c r="G32" s="1055"/>
      <c r="H32" s="1056"/>
      <c r="I32" s="1056"/>
      <c r="J32" s="1056"/>
      <c r="K32" s="1048"/>
    </row>
    <row r="33" spans="1:11" s="1049" customFormat="1" ht="28.5" customHeight="1">
      <c r="A33" s="1059"/>
      <c r="B33" s="1051"/>
      <c r="C33" s="1052"/>
      <c r="D33" s="1053"/>
      <c r="E33" s="1054"/>
      <c r="F33" s="1055"/>
      <c r="G33" s="1055"/>
      <c r="H33" s="1056"/>
      <c r="I33" s="1056"/>
      <c r="J33" s="1056"/>
      <c r="K33" s="1048"/>
    </row>
    <row r="34" spans="1:11" s="1064" customFormat="1" ht="15">
      <c r="A34" s="1060"/>
      <c r="B34" s="1060"/>
      <c r="C34" s="1060"/>
      <c r="D34" s="1061"/>
      <c r="E34" s="1060"/>
      <c r="F34" s="1062"/>
      <c r="G34" s="1062"/>
      <c r="H34" s="1060"/>
      <c r="I34" s="1060"/>
      <c r="J34" s="1060"/>
      <c r="K34" s="1063"/>
    </row>
    <row r="35" spans="1:11" s="1064" customFormat="1" ht="15.6">
      <c r="A35" s="1065" t="s">
        <v>1042</v>
      </c>
      <c r="B35" s="1066" t="s">
        <v>1043</v>
      </c>
      <c r="C35" s="1066"/>
      <c r="D35" s="1067"/>
      <c r="E35" s="1066" t="s">
        <v>1043</v>
      </c>
      <c r="F35" s="1068">
        <f>SUM(F13:F33)</f>
        <v>594405.71464062808</v>
      </c>
      <c r="G35" s="1068">
        <f>SUM(G13:G33)</f>
        <v>594405.71464062808</v>
      </c>
      <c r="H35" s="1060" t="s">
        <v>1044</v>
      </c>
      <c r="I35" s="1060"/>
      <c r="J35" s="1060"/>
      <c r="K35" s="1063"/>
    </row>
    <row r="36" spans="1:11" s="1049" customFormat="1" ht="15">
      <c r="A36" s="1060"/>
      <c r="B36" s="1056"/>
      <c r="C36" s="1056"/>
      <c r="D36" s="1060"/>
      <c r="E36" s="1056"/>
      <c r="F36" s="1056"/>
      <c r="G36" s="1056"/>
      <c r="H36" s="1056"/>
      <c r="I36" s="1056"/>
      <c r="J36" s="1056"/>
      <c r="K36" s="1048"/>
    </row>
    <row r="37" spans="1:11" s="1049" customFormat="1" ht="15">
      <c r="A37" s="1060"/>
      <c r="B37" s="1056"/>
      <c r="C37" s="1056"/>
      <c r="D37" s="1069"/>
      <c r="E37" s="1056"/>
      <c r="F37" s="1070">
        <f>F35-G35</f>
        <v>0</v>
      </c>
      <c r="G37" s="1056"/>
      <c r="H37" s="1056"/>
      <c r="I37" s="1056"/>
      <c r="J37" s="1056"/>
      <c r="K37" s="1048"/>
    </row>
    <row r="38" spans="1:11" s="1049" customFormat="1" ht="23.4">
      <c r="A38" s="1071" t="s">
        <v>1045</v>
      </c>
      <c r="B38" s="1072" t="s">
        <v>1046</v>
      </c>
      <c r="C38" s="1073"/>
      <c r="D38" s="1074" t="s">
        <v>1047</v>
      </c>
      <c r="E38" s="1075"/>
      <c r="F38" s="1076" t="s">
        <v>1048</v>
      </c>
      <c r="G38" s="1077">
        <f ca="1">NOW()</f>
        <v>43272.699841550922</v>
      </c>
      <c r="H38" s="1075"/>
      <c r="I38" s="1075"/>
      <c r="J38" s="1075"/>
      <c r="K38" s="1048" t="s">
        <v>1043</v>
      </c>
    </row>
    <row r="39" spans="1:11" s="1049" customFormat="1" ht="15.6">
      <c r="A39" s="1078"/>
      <c r="B39" s="1060"/>
      <c r="C39" s="1060"/>
      <c r="D39" s="1047"/>
      <c r="E39" s="1056"/>
      <c r="F39" s="1079"/>
      <c r="G39" s="1056"/>
      <c r="H39" s="1056"/>
      <c r="I39" s="1056"/>
      <c r="J39" s="1056"/>
      <c r="K39" s="1048"/>
    </row>
    <row r="40" spans="1:11" s="1049" customFormat="1" ht="15.6">
      <c r="A40" s="1071" t="s">
        <v>1049</v>
      </c>
      <c r="B40" s="1180" t="s">
        <v>1050</v>
      </c>
      <c r="C40" s="1180"/>
      <c r="D40" s="1080"/>
      <c r="E40" s="1075"/>
      <c r="F40" s="1076" t="s">
        <v>1048</v>
      </c>
      <c r="G40" s="1077">
        <f ca="1">G38</f>
        <v>43272.699841550922</v>
      </c>
      <c r="H40" s="1075"/>
      <c r="I40" s="1075"/>
      <c r="J40" s="1075"/>
      <c r="K40" s="1048"/>
    </row>
    <row r="41" spans="1:11" s="1049" customFormat="1" ht="15">
      <c r="A41" s="1064"/>
      <c r="F41" s="1081"/>
      <c r="K41" s="1048"/>
    </row>
    <row r="42" spans="1:11" s="1049" customFormat="1" ht="23.4">
      <c r="A42" s="1071" t="s">
        <v>1051</v>
      </c>
      <c r="B42" s="1072" t="s">
        <v>1046</v>
      </c>
      <c r="C42" s="1073"/>
      <c r="D42" s="1082" t="s">
        <v>1047</v>
      </c>
      <c r="E42" s="1083"/>
      <c r="F42" s="1076" t="s">
        <v>1048</v>
      </c>
      <c r="G42" s="1077">
        <f ca="1">G38</f>
        <v>43272.699841550922</v>
      </c>
      <c r="H42" s="1083"/>
      <c r="I42" s="1083"/>
      <c r="J42" s="1083"/>
      <c r="K42" s="1048"/>
    </row>
    <row r="43" spans="1:11" s="1049" customFormat="1" ht="15">
      <c r="A43" s="1064"/>
      <c r="K43" s="1048"/>
    </row>
    <row r="44" spans="1:11" s="1049" customFormat="1" ht="15.6">
      <c r="A44" s="1071" t="s">
        <v>1052</v>
      </c>
      <c r="B44" s="1174"/>
      <c r="C44" s="1174"/>
      <c r="D44" s="1083"/>
      <c r="E44" s="1083"/>
      <c r="F44" s="1076" t="s">
        <v>1048</v>
      </c>
      <c r="G44" s="1083"/>
      <c r="H44" s="1083"/>
      <c r="I44" s="1083"/>
      <c r="J44" s="1083"/>
      <c r="K44" s="1048"/>
    </row>
    <row r="45" spans="1:11" s="1049" customFormat="1" ht="15">
      <c r="A45" s="1064"/>
      <c r="K45" s="1048"/>
    </row>
    <row r="46" spans="1:11" s="1049" customFormat="1" ht="15">
      <c r="A46" s="1064"/>
      <c r="G46" s="1048"/>
      <c r="K46" s="1048"/>
    </row>
    <row r="47" spans="1:11" s="1049" customFormat="1" ht="15">
      <c r="A47" s="1064"/>
      <c r="I47" s="1048"/>
    </row>
    <row r="48" spans="1:11" s="1049" customFormat="1" ht="15">
      <c r="A48" s="1064"/>
      <c r="I48" s="1048"/>
    </row>
    <row r="49" spans="1:11" s="1049" customFormat="1" ht="15">
      <c r="A49" s="1064"/>
      <c r="I49" s="1048"/>
    </row>
    <row r="50" spans="1:11" s="1049" customFormat="1" ht="15">
      <c r="A50" s="1064"/>
      <c r="I50" s="1048"/>
    </row>
    <row r="51" spans="1:11" s="1049" customFormat="1" ht="15">
      <c r="A51" s="1064"/>
      <c r="I51" s="1048"/>
    </row>
    <row r="52" spans="1:11" s="1049" customFormat="1" ht="15">
      <c r="A52" s="1064"/>
      <c r="D52" s="1049" t="s">
        <v>1053</v>
      </c>
      <c r="I52" s="1048"/>
    </row>
    <row r="53" spans="1:11" s="1049" customFormat="1" ht="15">
      <c r="A53" s="1064"/>
      <c r="I53" s="1048"/>
    </row>
    <row r="54" spans="1:11" s="1049" customFormat="1" ht="15">
      <c r="A54" s="1064"/>
      <c r="I54" s="1048"/>
    </row>
    <row r="55" spans="1:11" s="1049" customFormat="1" ht="15">
      <c r="A55" s="1064"/>
      <c r="I55" s="1048"/>
    </row>
    <row r="56" spans="1:11" s="1049" customFormat="1" ht="15">
      <c r="A56" s="1064"/>
      <c r="G56" s="1048"/>
      <c r="K56" s="1048"/>
    </row>
    <row r="57" spans="1:11" s="1049" customFormat="1" ht="15">
      <c r="A57" s="1064"/>
      <c r="G57" s="1048"/>
      <c r="K57" s="1048"/>
    </row>
    <row r="58" spans="1:11" s="1049" customFormat="1" ht="15">
      <c r="A58" s="1064"/>
      <c r="G58" s="1048"/>
      <c r="K58" s="1048"/>
    </row>
    <row r="59" spans="1:11" s="1049" customFormat="1" ht="15">
      <c r="A59" s="1064"/>
      <c r="G59" s="1048"/>
      <c r="K59" s="1048"/>
    </row>
    <row r="60" spans="1:11" s="1049" customFormat="1" ht="15">
      <c r="A60" s="1064"/>
      <c r="G60" s="1048"/>
      <c r="K60" s="1048"/>
    </row>
    <row r="61" spans="1:11" s="1049" customFormat="1" ht="15">
      <c r="A61" s="1064"/>
      <c r="G61" s="1048"/>
      <c r="K61" s="1048"/>
    </row>
    <row r="62" spans="1:11" s="1049" customFormat="1" ht="15">
      <c r="A62" s="1064"/>
      <c r="G62" s="1048"/>
      <c r="K62" s="1048"/>
    </row>
    <row r="63" spans="1:11" s="1049" customFormat="1" ht="15">
      <c r="A63" s="1064"/>
      <c r="G63" s="1048"/>
      <c r="K63" s="1048"/>
    </row>
    <row r="64" spans="1:11" s="1049" customFormat="1" ht="15">
      <c r="A64" s="1064"/>
      <c r="G64" s="1048"/>
      <c r="K64" s="1048"/>
    </row>
    <row r="65" spans="7:11" s="1049" customFormat="1" ht="15">
      <c r="G65" s="1048"/>
      <c r="K65" s="1048"/>
    </row>
    <row r="66" spans="7:11" s="1049" customFormat="1" ht="15">
      <c r="G66" s="1048"/>
      <c r="K66" s="1048"/>
    </row>
    <row r="71" spans="7:11" ht="13.2">
      <c r="K71" s="1084"/>
    </row>
  </sheetData>
  <mergeCells count="6">
    <mergeCell ref="B44:C44"/>
    <mergeCell ref="A1:J1"/>
    <mergeCell ref="A2:J2"/>
    <mergeCell ref="F7:G7"/>
    <mergeCell ref="B9:C9"/>
    <mergeCell ref="B40:C40"/>
  </mergeCells>
  <pageMargins left="0.7" right="0.7" top="0.75" bottom="0.75" header="0.3" footer="0.3"/>
  <pageSetup scale="59" orientation="portrait" r:id="rId1"/>
  <headerFooter>
    <oddFooter>&amp;R&amp;Z&amp;F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topLeftCell="A4" zoomScaleNormal="80" zoomScaleSheetLayoutView="100" workbookViewId="0">
      <selection activeCell="H16" sqref="H16"/>
    </sheetView>
  </sheetViews>
  <sheetFormatPr defaultColWidth="9.109375" defaultRowHeight="13.2"/>
  <cols>
    <col min="1" max="1" width="20.6640625" style="1132" bestFit="1" customWidth="1"/>
    <col min="2" max="3" width="12.33203125" style="1132" customWidth="1"/>
    <col min="4" max="4" width="27" style="1134" customWidth="1"/>
    <col min="5" max="5" width="11.88671875" style="1135" customWidth="1"/>
    <col min="6" max="7" width="13.5546875" style="1135" bestFit="1" customWidth="1"/>
    <col min="8" max="8" width="14.5546875" style="1098" customWidth="1"/>
    <col min="9" max="9" width="14" style="1097" customWidth="1"/>
    <col min="10" max="10" width="12.33203125" style="1097" bestFit="1" customWidth="1"/>
    <col min="11" max="11" width="17.6640625" style="1097" bestFit="1" customWidth="1"/>
    <col min="12" max="12" width="14.33203125" style="1097" customWidth="1"/>
    <col min="13" max="13" width="10.33203125" style="1097" bestFit="1" customWidth="1"/>
    <col min="14" max="14" width="9.109375" style="1097"/>
    <col min="15" max="26" width="9.109375" style="1098"/>
    <col min="27" max="16384" width="9.109375" style="1134"/>
  </cols>
  <sheetData>
    <row r="1" spans="1:12" ht="16.2" thickBot="1">
      <c r="A1" s="1182" t="s">
        <v>1000</v>
      </c>
      <c r="B1" s="1182"/>
      <c r="C1" s="1182"/>
      <c r="D1" s="1182"/>
      <c r="E1" s="1182"/>
      <c r="F1" s="1182"/>
      <c r="G1" s="1182"/>
      <c r="H1" s="1092">
        <f>G29</f>
        <v>0</v>
      </c>
      <c r="I1" s="1093"/>
      <c r="J1" s="1094" t="s">
        <v>1095</v>
      </c>
      <c r="K1" s="1095"/>
      <c r="L1" s="1096"/>
    </row>
    <row r="2" spans="1:12" ht="16.2" thickBot="1">
      <c r="A2" s="1183" t="s">
        <v>682</v>
      </c>
      <c r="B2" s="1183"/>
      <c r="C2" s="1183"/>
      <c r="D2" s="1183"/>
      <c r="E2" s="1183"/>
      <c r="F2" s="1183"/>
      <c r="G2" s="1183"/>
      <c r="H2" s="1098" t="s">
        <v>1096</v>
      </c>
      <c r="I2" s="1099">
        <f>I1/1.06</f>
        <v>0</v>
      </c>
      <c r="J2" s="1094" t="s">
        <v>1097</v>
      </c>
      <c r="K2" s="1095"/>
      <c r="L2" s="1100"/>
    </row>
    <row r="3" spans="1:12" ht="15.6">
      <c r="A3" s="1101"/>
      <c r="B3" s="1101"/>
      <c r="C3" s="1101"/>
      <c r="D3" s="1101"/>
      <c r="E3" s="1101"/>
      <c r="F3" s="1101"/>
      <c r="G3" s="1101"/>
      <c r="I3" s="1099">
        <f>I1-I2</f>
        <v>0</v>
      </c>
      <c r="J3" s="1094" t="s">
        <v>1098</v>
      </c>
      <c r="K3" s="1095"/>
      <c r="L3" s="1100"/>
    </row>
    <row r="4" spans="1:12" ht="16.2" thickBot="1">
      <c r="A4" s="1102" t="s">
        <v>1002</v>
      </c>
      <c r="B4" s="1103"/>
      <c r="C4" s="1104"/>
      <c r="D4" s="1105" t="s">
        <v>1099</v>
      </c>
      <c r="E4" s="1104"/>
      <c r="F4" s="1106" t="s">
        <v>1100</v>
      </c>
      <c r="G4" s="1107" t="s">
        <v>1101</v>
      </c>
      <c r="K4" s="1095"/>
      <c r="L4" s="1100"/>
    </row>
    <row r="5" spans="1:12" ht="16.2" thickBot="1">
      <c r="A5" s="1108"/>
      <c r="B5" s="1104"/>
      <c r="C5" s="1104"/>
      <c r="D5" s="1109"/>
      <c r="E5" s="1104"/>
      <c r="F5" s="1110" t="s">
        <v>1102</v>
      </c>
      <c r="G5" s="1107" t="s">
        <v>1009</v>
      </c>
      <c r="K5" s="1095"/>
      <c r="L5" s="1100"/>
    </row>
    <row r="6" spans="1:12" ht="7.5" customHeight="1">
      <c r="A6" s="1108"/>
      <c r="B6" s="1104"/>
      <c r="C6" s="1104"/>
      <c r="D6" s="1109"/>
      <c r="E6" s="1104"/>
      <c r="F6" s="1110"/>
      <c r="G6" s="1111"/>
      <c r="K6" s="1095"/>
      <c r="L6" s="1100"/>
    </row>
    <row r="7" spans="1:12" ht="7.5" customHeight="1">
      <c r="A7" s="1102"/>
      <c r="B7" s="1110"/>
      <c r="C7" s="1112"/>
      <c r="D7" s="1108"/>
      <c r="E7" s="1113"/>
      <c r="F7" s="1108"/>
      <c r="G7" s="1113"/>
      <c r="K7" s="1095"/>
      <c r="L7" s="1100"/>
    </row>
    <row r="8" spans="1:12" ht="16.2" thickBot="1">
      <c r="A8" s="1114"/>
      <c r="B8" s="1113" t="s">
        <v>1006</v>
      </c>
      <c r="C8" s="1115" t="s">
        <v>1103</v>
      </c>
      <c r="D8" s="1116"/>
      <c r="E8" s="1116"/>
      <c r="F8" s="1117"/>
      <c r="G8" s="1117"/>
      <c r="K8" s="1095"/>
      <c r="L8" s="1100"/>
    </row>
    <row r="9" spans="1:12" ht="15.75" customHeight="1">
      <c r="A9" s="1114"/>
      <c r="B9" s="1113"/>
      <c r="C9" s="1118"/>
      <c r="D9" s="1108"/>
      <c r="E9" s="1108"/>
      <c r="F9" s="1119"/>
      <c r="G9" s="1119"/>
      <c r="K9" s="1095"/>
      <c r="L9" s="1100"/>
    </row>
    <row r="10" spans="1:12" ht="16.2" thickBot="1">
      <c r="A10" s="1113" t="s">
        <v>1010</v>
      </c>
      <c r="B10" s="1184">
        <v>43100</v>
      </c>
      <c r="C10" s="1185"/>
      <c r="D10" s="1120"/>
      <c r="E10" s="1104"/>
      <c r="F10" s="1106" t="s">
        <v>1104</v>
      </c>
      <c r="G10" s="1121">
        <v>1462196</v>
      </c>
      <c r="K10" s="1095"/>
      <c r="L10" s="1100"/>
    </row>
    <row r="11" spans="1:12" ht="11.25" customHeight="1">
      <c r="A11" s="1122"/>
      <c r="B11" s="1108"/>
      <c r="C11" s="1108"/>
      <c r="D11" s="1108"/>
      <c r="E11" s="1123"/>
      <c r="F11" s="1104"/>
      <c r="G11" s="1104"/>
      <c r="I11" s="1124"/>
      <c r="J11" s="1098"/>
      <c r="K11" s="1095"/>
      <c r="L11" s="1100"/>
    </row>
    <row r="12" spans="1:12" ht="18" customHeight="1">
      <c r="A12" s="1125" t="s">
        <v>1105</v>
      </c>
      <c r="B12" s="1125" t="s">
        <v>1106</v>
      </c>
      <c r="C12" s="1125" t="s">
        <v>1015</v>
      </c>
      <c r="D12" s="1126" t="s">
        <v>1016</v>
      </c>
      <c r="E12" s="1127" t="s">
        <v>747</v>
      </c>
      <c r="F12" s="1127" t="s">
        <v>1107</v>
      </c>
      <c r="G12" s="1127" t="s">
        <v>1108</v>
      </c>
      <c r="H12" s="1128"/>
      <c r="K12" s="1095"/>
      <c r="L12" s="1100"/>
    </row>
    <row r="13" spans="1:12" ht="18" customHeight="1">
      <c r="A13" s="1129" t="s">
        <v>1019</v>
      </c>
      <c r="B13" s="1129"/>
      <c r="C13" s="1129" t="str">
        <f>IF(B13&gt;0,"W","")</f>
        <v/>
      </c>
      <c r="D13" s="1130" t="s">
        <v>1109</v>
      </c>
      <c r="E13" s="1131"/>
      <c r="F13" s="1131">
        <v>55517.31</v>
      </c>
      <c r="G13" s="1131"/>
      <c r="H13" s="1128"/>
      <c r="K13" s="1095"/>
      <c r="L13" s="1100"/>
    </row>
    <row r="14" spans="1:12" ht="18" customHeight="1">
      <c r="A14" s="1129" t="s">
        <v>1021</v>
      </c>
      <c r="B14" s="1129"/>
      <c r="C14" s="1129" t="str">
        <f>IF(B14&gt;0,"W","")</f>
        <v/>
      </c>
      <c r="D14" s="1130" t="s">
        <v>1109</v>
      </c>
      <c r="E14" s="1131"/>
      <c r="F14" s="1131"/>
      <c r="G14" s="1131">
        <v>5670.33</v>
      </c>
      <c r="H14" s="1128"/>
      <c r="K14" s="1095"/>
      <c r="L14" s="1100"/>
    </row>
    <row r="15" spans="1:12" ht="18" customHeight="1">
      <c r="A15" s="1129" t="s">
        <v>1023</v>
      </c>
      <c r="B15" s="1129"/>
      <c r="C15" s="1129" t="str">
        <f>IF(B15&gt;0,"W","")</f>
        <v/>
      </c>
      <c r="D15" s="1130" t="s">
        <v>1109</v>
      </c>
      <c r="E15" s="1131"/>
      <c r="F15" s="1131"/>
      <c r="G15" s="1131">
        <v>20476.830000000002</v>
      </c>
      <c r="H15" s="1132"/>
      <c r="K15" s="1133"/>
      <c r="L15" s="1100"/>
    </row>
    <row r="16" spans="1:12" ht="18" customHeight="1">
      <c r="A16" s="1129" t="s">
        <v>1038</v>
      </c>
      <c r="B16" s="1129"/>
      <c r="C16" s="1129" t="str">
        <f>IF(B16&gt;0,"W","")</f>
        <v/>
      </c>
      <c r="D16" s="1130" t="s">
        <v>1109</v>
      </c>
      <c r="E16" s="1131"/>
      <c r="F16" s="1131"/>
      <c r="G16" s="1131">
        <v>30786.16</v>
      </c>
      <c r="H16" s="1132"/>
      <c r="K16" s="1100"/>
      <c r="L16" s="1100"/>
    </row>
    <row r="17" spans="1:26" ht="18" customHeight="1">
      <c r="A17" s="1129" t="s">
        <v>1110</v>
      </c>
      <c r="B17" s="1129"/>
      <c r="C17" s="1129" t="s">
        <v>685</v>
      </c>
      <c r="D17" s="1130" t="s">
        <v>1109</v>
      </c>
      <c r="E17" s="1131"/>
      <c r="F17" s="1131">
        <f>SUM(G13:G16)-SUM(F13:F16)</f>
        <v>1416.0100000000093</v>
      </c>
      <c r="G17" s="1131"/>
      <c r="H17" s="1132"/>
      <c r="L17" s="1100"/>
    </row>
    <row r="18" spans="1:26" ht="18" customHeight="1">
      <c r="A18" s="1129" t="s">
        <v>1019</v>
      </c>
      <c r="B18" s="1129"/>
      <c r="C18" s="1129"/>
      <c r="D18" s="1130" t="s">
        <v>1111</v>
      </c>
      <c r="E18" s="1131"/>
      <c r="F18" s="1131"/>
      <c r="G18" s="1131">
        <v>32032.42</v>
      </c>
      <c r="H18" s="1134"/>
      <c r="L18" s="1100"/>
    </row>
    <row r="19" spans="1:26" ht="18" customHeight="1">
      <c r="A19" s="1129" t="s">
        <v>1021</v>
      </c>
      <c r="B19" s="1129"/>
      <c r="C19" s="1129"/>
      <c r="D19" s="1130" t="s">
        <v>1111</v>
      </c>
      <c r="E19" s="1131"/>
      <c r="F19" s="1131">
        <v>32262.04</v>
      </c>
      <c r="G19" s="1131"/>
      <c r="H19" s="1135"/>
      <c r="K19" s="1098"/>
      <c r="L19" s="1100"/>
    </row>
    <row r="20" spans="1:26" ht="18" customHeight="1">
      <c r="A20" s="1129" t="s">
        <v>1023</v>
      </c>
      <c r="B20" s="1129"/>
      <c r="C20" s="1129"/>
      <c r="D20" s="1130" t="s">
        <v>1111</v>
      </c>
      <c r="E20" s="1131"/>
      <c r="F20" s="1131"/>
      <c r="G20" s="1131">
        <v>56811.07</v>
      </c>
      <c r="H20" s="1135"/>
      <c r="K20" s="1098"/>
      <c r="L20" s="1100"/>
    </row>
    <row r="21" spans="1:26" s="1097" customFormat="1" ht="18" customHeight="1">
      <c r="A21" s="1129" t="s">
        <v>1027</v>
      </c>
      <c r="B21" s="1129"/>
      <c r="C21" s="1129"/>
      <c r="D21" s="1130" t="s">
        <v>1111</v>
      </c>
      <c r="E21" s="1131"/>
      <c r="F21" s="1131">
        <v>2117.64</v>
      </c>
      <c r="G21" s="1131"/>
      <c r="H21" s="1135"/>
      <c r="K21" s="1098"/>
      <c r="L21" s="1100"/>
      <c r="O21" s="1098"/>
      <c r="P21" s="1098"/>
      <c r="Q21" s="1098"/>
      <c r="R21" s="1098"/>
      <c r="S21" s="1098"/>
      <c r="T21" s="1098"/>
      <c r="U21" s="1098"/>
      <c r="V21" s="1098"/>
      <c r="W21" s="1098"/>
      <c r="X21" s="1098"/>
      <c r="Y21" s="1098"/>
      <c r="Z21" s="1098"/>
    </row>
    <row r="22" spans="1:26" s="1097" customFormat="1" ht="18" customHeight="1">
      <c r="A22" s="1129" t="s">
        <v>1062</v>
      </c>
      <c r="B22" s="1129"/>
      <c r="C22" s="1129" t="str">
        <f>IF(B22&gt;0,"W","")</f>
        <v/>
      </c>
      <c r="D22" s="1130" t="s">
        <v>1111</v>
      </c>
      <c r="E22" s="1131"/>
      <c r="F22" s="1131">
        <v>512.30999999999995</v>
      </c>
      <c r="G22" s="1131"/>
      <c r="H22" s="1135"/>
      <c r="K22" s="1098"/>
      <c r="L22" s="1100"/>
      <c r="O22" s="1098"/>
      <c r="P22" s="1098"/>
      <c r="Q22" s="1098"/>
      <c r="R22" s="1098"/>
      <c r="S22" s="1098"/>
      <c r="T22" s="1098"/>
      <c r="U22" s="1098"/>
      <c r="V22" s="1098"/>
      <c r="W22" s="1098"/>
      <c r="X22" s="1098"/>
      <c r="Y22" s="1098"/>
      <c r="Z22" s="1098"/>
    </row>
    <row r="23" spans="1:26" s="1097" customFormat="1" ht="18" customHeight="1">
      <c r="A23" s="1129" t="s">
        <v>1029</v>
      </c>
      <c r="B23" s="1129"/>
      <c r="C23" s="1129" t="str">
        <f>IF(B23&gt;0,"W","")</f>
        <v/>
      </c>
      <c r="D23" s="1130" t="s">
        <v>1111</v>
      </c>
      <c r="E23" s="1131"/>
      <c r="F23" s="1131">
        <v>15.24</v>
      </c>
      <c r="G23" s="1131"/>
      <c r="H23" s="1135"/>
      <c r="K23" s="1098"/>
      <c r="L23" s="1100"/>
      <c r="O23" s="1098"/>
      <c r="P23" s="1098"/>
      <c r="Q23" s="1098"/>
      <c r="R23" s="1098"/>
      <c r="S23" s="1098"/>
      <c r="T23" s="1098"/>
      <c r="U23" s="1098"/>
      <c r="V23" s="1098"/>
      <c r="W23" s="1098"/>
      <c r="X23" s="1098"/>
      <c r="Y23" s="1098"/>
      <c r="Z23" s="1098"/>
    </row>
    <row r="24" spans="1:26" s="1097" customFormat="1" ht="18" customHeight="1">
      <c r="A24" s="1129" t="s">
        <v>1025</v>
      </c>
      <c r="B24" s="1129"/>
      <c r="C24" s="1129"/>
      <c r="D24" s="1130" t="s">
        <v>1111</v>
      </c>
      <c r="E24" s="1131"/>
      <c r="F24" s="1131"/>
      <c r="G24" s="1131">
        <v>2104.66</v>
      </c>
      <c r="H24" s="1135"/>
      <c r="K24" s="1098"/>
      <c r="L24" s="1100"/>
      <c r="O24" s="1098"/>
      <c r="P24" s="1098"/>
      <c r="Q24" s="1098"/>
      <c r="R24" s="1098"/>
      <c r="S24" s="1098"/>
      <c r="T24" s="1098"/>
      <c r="U24" s="1098"/>
      <c r="V24" s="1098"/>
      <c r="W24" s="1098"/>
      <c r="X24" s="1098"/>
      <c r="Y24" s="1098"/>
      <c r="Z24" s="1098"/>
    </row>
    <row r="25" spans="1:26" s="1097" customFormat="1" ht="18" customHeight="1">
      <c r="A25" s="1129" t="s">
        <v>1038</v>
      </c>
      <c r="B25" s="1129"/>
      <c r="C25" s="1129"/>
      <c r="D25" s="1130" t="s">
        <v>1111</v>
      </c>
      <c r="E25" s="1131"/>
      <c r="F25" s="1131">
        <v>22271.65</v>
      </c>
      <c r="G25" s="1131"/>
      <c r="H25" s="1135"/>
      <c r="K25" s="1098"/>
      <c r="L25" s="1100"/>
      <c r="O25" s="1098"/>
      <c r="P25" s="1098"/>
      <c r="Q25" s="1098"/>
      <c r="R25" s="1098"/>
      <c r="S25" s="1098"/>
      <c r="T25" s="1098"/>
      <c r="U25" s="1098"/>
      <c r="V25" s="1098"/>
      <c r="W25" s="1098"/>
      <c r="X25" s="1098"/>
      <c r="Y25" s="1098"/>
      <c r="Z25" s="1098"/>
    </row>
    <row r="26" spans="1:26" s="1097" customFormat="1" ht="18" customHeight="1">
      <c r="A26" s="1129" t="s">
        <v>1110</v>
      </c>
      <c r="B26" s="1129"/>
      <c r="C26" s="1129" t="s">
        <v>685</v>
      </c>
      <c r="D26" s="1130" t="s">
        <v>1111</v>
      </c>
      <c r="E26" s="1131"/>
      <c r="F26" s="1131">
        <f>SUM(G18:G25)-SUM(F18:F25)</f>
        <v>33769.269999999997</v>
      </c>
      <c r="G26" s="1131"/>
      <c r="H26" s="1098"/>
      <c r="K26" s="1098"/>
      <c r="L26" s="1100"/>
      <c r="O26" s="1098"/>
      <c r="P26" s="1098"/>
      <c r="Q26" s="1098"/>
      <c r="R26" s="1098"/>
      <c r="S26" s="1098"/>
      <c r="T26" s="1098"/>
      <c r="U26" s="1098"/>
      <c r="V26" s="1098"/>
      <c r="W26" s="1098"/>
      <c r="X26" s="1098"/>
      <c r="Y26" s="1098"/>
      <c r="Z26" s="1098"/>
    </row>
    <row r="27" spans="1:26" s="1097" customFormat="1" ht="18" customHeight="1">
      <c r="A27" s="1129"/>
      <c r="B27" s="1129"/>
      <c r="C27" s="1129"/>
      <c r="D27" s="1130"/>
      <c r="E27" s="1131"/>
      <c r="F27" s="1131"/>
      <c r="G27" s="1131"/>
      <c r="H27" s="1136"/>
      <c r="I27" s="1098"/>
      <c r="K27" s="1098"/>
      <c r="L27" s="1100"/>
      <c r="O27" s="1098"/>
      <c r="P27" s="1098"/>
      <c r="Q27" s="1098"/>
      <c r="R27" s="1098"/>
      <c r="S27" s="1098"/>
      <c r="T27" s="1098"/>
      <c r="U27" s="1098"/>
      <c r="V27" s="1098"/>
      <c r="W27" s="1098"/>
      <c r="X27" s="1098"/>
      <c r="Y27" s="1098"/>
      <c r="Z27" s="1098"/>
    </row>
    <row r="28" spans="1:26" s="1097" customFormat="1" ht="18" customHeight="1">
      <c r="A28" s="1137" t="s">
        <v>1042</v>
      </c>
      <c r="B28" s="1138" t="s">
        <v>1043</v>
      </c>
      <c r="C28" s="1138"/>
      <c r="D28" s="1139"/>
      <c r="E28" s="1138" t="s">
        <v>1043</v>
      </c>
      <c r="F28" s="1140">
        <f>SUM(F13:F27)</f>
        <v>147881.47</v>
      </c>
      <c r="G28" s="1140">
        <f>SUM(G13:G27)</f>
        <v>147881.47</v>
      </c>
      <c r="H28" s="1128"/>
      <c r="I28" s="1098"/>
      <c r="K28" s="1095"/>
      <c r="L28" s="1100"/>
      <c r="O28" s="1098"/>
      <c r="P28" s="1098"/>
      <c r="Q28" s="1098"/>
      <c r="R28" s="1098"/>
      <c r="S28" s="1098"/>
      <c r="T28" s="1098"/>
      <c r="U28" s="1098"/>
      <c r="V28" s="1098"/>
      <c r="W28" s="1098"/>
      <c r="X28" s="1098"/>
      <c r="Y28" s="1098"/>
      <c r="Z28" s="1098"/>
    </row>
    <row r="29" spans="1:26" s="1097" customFormat="1" ht="18" customHeight="1">
      <c r="A29" s="1141"/>
      <c r="B29" s="1142"/>
      <c r="C29" s="1142"/>
      <c r="D29" s="1141"/>
      <c r="E29" s="1142"/>
      <c r="F29" s="1142"/>
      <c r="G29" s="1143">
        <f>G28-F28</f>
        <v>0</v>
      </c>
      <c r="H29" s="1128"/>
      <c r="K29" s="1095"/>
      <c r="L29" s="1100"/>
      <c r="O29" s="1098"/>
      <c r="P29" s="1098"/>
      <c r="Q29" s="1098"/>
      <c r="R29" s="1098"/>
      <c r="S29" s="1098"/>
      <c r="T29" s="1098"/>
      <c r="U29" s="1098"/>
      <c r="V29" s="1098"/>
      <c r="W29" s="1098"/>
      <c r="X29" s="1098"/>
      <c r="Y29" s="1098"/>
      <c r="Z29" s="1098"/>
    </row>
    <row r="30" spans="1:26" s="1097" customFormat="1" ht="20.25" customHeight="1">
      <c r="A30" s="1144" t="s">
        <v>1045</v>
      </c>
      <c r="B30" s="1186" t="s">
        <v>1112</v>
      </c>
      <c r="C30" s="1186"/>
      <c r="D30" s="1145" t="s">
        <v>1112</v>
      </c>
      <c r="E30" s="1146"/>
      <c r="F30" s="1147" t="s">
        <v>1048</v>
      </c>
      <c r="G30" s="1148">
        <f ca="1">TODAY()</f>
        <v>43272</v>
      </c>
      <c r="H30" s="1149"/>
      <c r="I30" s="1135"/>
      <c r="O30" s="1098"/>
      <c r="P30" s="1098"/>
      <c r="Q30" s="1098"/>
      <c r="R30" s="1098"/>
      <c r="S30" s="1098"/>
      <c r="T30" s="1098"/>
      <c r="U30" s="1098"/>
      <c r="V30" s="1098"/>
      <c r="W30" s="1098"/>
      <c r="X30" s="1098"/>
      <c r="Y30" s="1098"/>
      <c r="Z30" s="1098"/>
    </row>
    <row r="31" spans="1:26" s="1097" customFormat="1" ht="18" customHeight="1">
      <c r="A31" s="1150"/>
      <c r="B31" s="1142"/>
      <c r="C31" s="1142"/>
      <c r="D31" s="1151"/>
      <c r="E31" s="1142"/>
      <c r="F31" s="1152"/>
      <c r="G31" s="1142"/>
      <c r="H31" s="1149"/>
      <c r="I31" s="1098"/>
      <c r="O31" s="1098"/>
      <c r="P31" s="1098"/>
      <c r="Q31" s="1098"/>
      <c r="R31" s="1098"/>
      <c r="S31" s="1098"/>
      <c r="T31" s="1098"/>
      <c r="U31" s="1098"/>
      <c r="V31" s="1098"/>
      <c r="W31" s="1098"/>
      <c r="X31" s="1098"/>
      <c r="Y31" s="1098"/>
      <c r="Z31" s="1098"/>
    </row>
    <row r="32" spans="1:26" s="1097" customFormat="1" ht="18" customHeight="1">
      <c r="A32" s="1144" t="s">
        <v>1049</v>
      </c>
      <c r="B32" s="1187" t="s">
        <v>1050</v>
      </c>
      <c r="C32" s="1187"/>
      <c r="D32" s="1153"/>
      <c r="E32" s="1146"/>
      <c r="F32" s="1147" t="s">
        <v>1048</v>
      </c>
      <c r="G32" s="1148">
        <f ca="1">G30</f>
        <v>43272</v>
      </c>
      <c r="H32" s="1149"/>
      <c r="I32" s="1136"/>
      <c r="O32" s="1098"/>
      <c r="P32" s="1098"/>
      <c r="Q32" s="1098"/>
      <c r="R32" s="1098"/>
      <c r="S32" s="1098"/>
      <c r="T32" s="1098"/>
      <c r="U32" s="1098"/>
      <c r="V32" s="1098"/>
      <c r="W32" s="1098"/>
      <c r="X32" s="1098"/>
      <c r="Y32" s="1098"/>
      <c r="Z32" s="1098"/>
    </row>
    <row r="33" spans="1:26" s="1097" customFormat="1" ht="18" customHeight="1">
      <c r="A33" s="1150"/>
      <c r="B33" s="1098"/>
      <c r="C33" s="1098"/>
      <c r="D33" s="1098"/>
      <c r="E33" s="1098"/>
      <c r="F33" s="1154"/>
      <c r="G33" s="1098"/>
      <c r="H33" s="1149"/>
      <c r="I33" s="1136"/>
      <c r="O33" s="1098"/>
      <c r="P33" s="1098"/>
      <c r="Q33" s="1098"/>
      <c r="R33" s="1098"/>
      <c r="S33" s="1098"/>
      <c r="T33" s="1098"/>
      <c r="U33" s="1098"/>
      <c r="V33" s="1098"/>
      <c r="W33" s="1098"/>
      <c r="X33" s="1098"/>
      <c r="Y33" s="1098"/>
      <c r="Z33" s="1098"/>
    </row>
    <row r="34" spans="1:26" s="1097" customFormat="1" ht="21" customHeight="1">
      <c r="A34" s="1144" t="s">
        <v>1051</v>
      </c>
      <c r="B34" s="1186" t="s">
        <v>1112</v>
      </c>
      <c r="C34" s="1186"/>
      <c r="D34" s="1155" t="s">
        <v>1112</v>
      </c>
      <c r="E34" s="1156"/>
      <c r="F34" s="1147" t="s">
        <v>1048</v>
      </c>
      <c r="G34" s="1148">
        <f ca="1">G30</f>
        <v>43272</v>
      </c>
      <c r="H34" s="1149"/>
      <c r="I34" s="1136"/>
      <c r="O34" s="1098"/>
      <c r="P34" s="1098"/>
      <c r="Q34" s="1098"/>
      <c r="R34" s="1098"/>
      <c r="S34" s="1098"/>
      <c r="T34" s="1098"/>
      <c r="U34" s="1098"/>
      <c r="V34" s="1098"/>
      <c r="W34" s="1098"/>
      <c r="X34" s="1098"/>
      <c r="Y34" s="1098"/>
      <c r="Z34" s="1098"/>
    </row>
    <row r="35" spans="1:26" s="1097" customFormat="1" ht="18" customHeight="1">
      <c r="A35" s="1150"/>
      <c r="B35" s="1098"/>
      <c r="C35" s="1098"/>
      <c r="D35" s="1098"/>
      <c r="E35" s="1098"/>
      <c r="F35" s="1098"/>
      <c r="G35" s="1098"/>
      <c r="H35" s="1149"/>
      <c r="I35" s="1136"/>
      <c r="O35" s="1098"/>
      <c r="P35" s="1098"/>
      <c r="Q35" s="1098"/>
      <c r="R35" s="1098"/>
      <c r="S35" s="1098"/>
      <c r="T35" s="1098"/>
      <c r="U35" s="1098"/>
      <c r="V35" s="1098"/>
      <c r="W35" s="1098"/>
      <c r="X35" s="1098"/>
      <c r="Y35" s="1098"/>
      <c r="Z35" s="1098"/>
    </row>
    <row r="36" spans="1:26" s="1097" customFormat="1" ht="18" customHeight="1">
      <c r="A36" s="1144" t="s">
        <v>1052</v>
      </c>
      <c r="B36" s="1181"/>
      <c r="C36" s="1181"/>
      <c r="D36" s="1156"/>
      <c r="E36" s="1156"/>
      <c r="F36" s="1147" t="s">
        <v>1048</v>
      </c>
      <c r="G36" s="1156"/>
      <c r="H36" s="1149"/>
      <c r="I36" s="1136"/>
      <c r="O36" s="1098"/>
      <c r="P36" s="1098"/>
      <c r="Q36" s="1098"/>
      <c r="R36" s="1098"/>
      <c r="S36" s="1098"/>
      <c r="T36" s="1098"/>
      <c r="U36" s="1098"/>
      <c r="V36" s="1098"/>
      <c r="W36" s="1098"/>
      <c r="X36" s="1098"/>
      <c r="Y36" s="1098"/>
      <c r="Z36" s="1098"/>
    </row>
    <row r="37" spans="1:26" s="1097" customFormat="1" ht="12.75" customHeight="1">
      <c r="A37" s="1154"/>
      <c r="B37" s="1154"/>
      <c r="C37" s="1154"/>
      <c r="D37" s="1098"/>
      <c r="H37" s="1149"/>
      <c r="I37" s="1136"/>
      <c r="O37" s="1098"/>
      <c r="P37" s="1098"/>
      <c r="Q37" s="1098"/>
      <c r="R37" s="1098"/>
      <c r="S37" s="1098"/>
      <c r="T37" s="1098"/>
      <c r="U37" s="1098"/>
      <c r="V37" s="1098"/>
      <c r="W37" s="1098"/>
      <c r="X37" s="1098"/>
      <c r="Y37" s="1098"/>
      <c r="Z37" s="1098"/>
    </row>
    <row r="41" spans="1:26" s="1097" customFormat="1">
      <c r="A41" s="1132"/>
      <c r="B41" s="1134"/>
      <c r="C41" s="1132"/>
      <c r="D41" s="1134"/>
      <c r="E41" s="1135"/>
      <c r="F41" s="1135"/>
      <c r="G41" s="1135"/>
      <c r="H41" s="1098"/>
      <c r="O41" s="1098"/>
      <c r="P41" s="1098"/>
      <c r="Q41" s="1098"/>
      <c r="R41" s="1098"/>
      <c r="S41" s="1098"/>
      <c r="T41" s="1098"/>
      <c r="U41" s="1098"/>
      <c r="V41" s="1098"/>
      <c r="W41" s="1098"/>
      <c r="X41" s="1098"/>
      <c r="Y41" s="1098"/>
      <c r="Z41" s="1098"/>
    </row>
    <row r="43" spans="1:26" s="1097" customFormat="1">
      <c r="A43" s="1157"/>
      <c r="B43" s="1132"/>
      <c r="C43" s="1132"/>
      <c r="D43" s="1134"/>
      <c r="E43" s="1135"/>
      <c r="F43" s="1135"/>
      <c r="G43" s="1135"/>
      <c r="H43" s="1098"/>
      <c r="O43" s="1098"/>
      <c r="P43" s="1098"/>
      <c r="Q43" s="1098"/>
      <c r="R43" s="1098"/>
      <c r="S43" s="1098"/>
      <c r="T43" s="1098"/>
      <c r="U43" s="1098"/>
      <c r="V43" s="1098"/>
      <c r="W43" s="1098"/>
      <c r="X43" s="1098"/>
      <c r="Y43" s="1098"/>
      <c r="Z43" s="1098"/>
    </row>
    <row r="44" spans="1:26" s="1097" customFormat="1">
      <c r="A44" s="1157"/>
      <c r="B44" s="1132"/>
      <c r="C44" s="1132"/>
      <c r="D44" s="1134"/>
      <c r="E44" s="1135"/>
      <c r="F44" s="1135"/>
      <c r="G44" s="1135"/>
      <c r="H44" s="1098"/>
      <c r="O44" s="1098"/>
      <c r="P44" s="1098"/>
      <c r="Q44" s="1098"/>
      <c r="R44" s="1098"/>
      <c r="S44" s="1098"/>
      <c r="T44" s="1098"/>
      <c r="U44" s="1098"/>
      <c r="V44" s="1098"/>
      <c r="W44" s="1098"/>
      <c r="X44" s="1098"/>
      <c r="Y44" s="1098"/>
      <c r="Z44" s="1098"/>
    </row>
    <row r="45" spans="1:26" s="1097" customFormat="1">
      <c r="A45" s="1157"/>
      <c r="B45" s="1132"/>
      <c r="C45" s="1132"/>
      <c r="D45" s="1134"/>
      <c r="E45" s="1135"/>
      <c r="F45" s="1135"/>
      <c r="G45" s="1135"/>
      <c r="H45" s="1098"/>
      <c r="O45" s="1098"/>
      <c r="P45" s="1098"/>
      <c r="Q45" s="1098"/>
      <c r="R45" s="1098"/>
      <c r="S45" s="1098"/>
      <c r="T45" s="1098"/>
      <c r="U45" s="1098"/>
      <c r="V45" s="1098"/>
      <c r="W45" s="1098"/>
      <c r="X45" s="1098"/>
      <c r="Y45" s="1098"/>
      <c r="Z45" s="1098"/>
    </row>
    <row r="46" spans="1:26" s="1097" customFormat="1">
      <c r="A46" s="1157"/>
      <c r="B46" s="1132"/>
      <c r="C46" s="1132"/>
      <c r="D46" s="1134"/>
      <c r="E46" s="1135"/>
      <c r="F46" s="1135"/>
      <c r="G46" s="1135"/>
      <c r="H46" s="1098"/>
      <c r="O46" s="1098"/>
      <c r="P46" s="1098"/>
      <c r="Q46" s="1098"/>
      <c r="R46" s="1098"/>
      <c r="S46" s="1098"/>
      <c r="T46" s="1098"/>
      <c r="U46" s="1098"/>
      <c r="V46" s="1098"/>
      <c r="W46" s="1098"/>
      <c r="X46" s="1098"/>
      <c r="Y46" s="1098"/>
      <c r="Z46" s="1098"/>
    </row>
    <row r="47" spans="1:26" s="1097" customFormat="1">
      <c r="A47" s="1158"/>
      <c r="B47" s="1132"/>
      <c r="C47" s="1132"/>
      <c r="D47" s="1134"/>
      <c r="E47" s="1135"/>
      <c r="F47" s="1135"/>
      <c r="G47" s="1135"/>
      <c r="H47" s="1098"/>
      <c r="O47" s="1098"/>
      <c r="P47" s="1098"/>
      <c r="Q47" s="1098"/>
      <c r="R47" s="1098"/>
      <c r="S47" s="1098"/>
      <c r="T47" s="1098"/>
      <c r="U47" s="1098"/>
      <c r="V47" s="1098"/>
      <c r="W47" s="1098"/>
      <c r="X47" s="1098"/>
      <c r="Y47" s="1098"/>
      <c r="Z47" s="1098"/>
    </row>
    <row r="48" spans="1:26" s="1097" customFormat="1">
      <c r="A48" s="1158"/>
      <c r="B48" s="1132"/>
      <c r="C48" s="1132"/>
      <c r="D48" s="1134"/>
      <c r="E48" s="1135"/>
      <c r="F48" s="1135"/>
      <c r="G48" s="1135"/>
      <c r="H48" s="1098"/>
      <c r="O48" s="1098"/>
      <c r="P48" s="1098"/>
      <c r="Q48" s="1098"/>
      <c r="R48" s="1098"/>
      <c r="S48" s="1098"/>
      <c r="T48" s="1098"/>
      <c r="U48" s="1098"/>
      <c r="V48" s="1098"/>
      <c r="W48" s="1098"/>
      <c r="X48" s="1098"/>
      <c r="Y48" s="1098"/>
      <c r="Z48" s="1098"/>
    </row>
    <row r="49" spans="1:26" s="1097" customFormat="1">
      <c r="A49" s="1158"/>
      <c r="B49" s="1132"/>
      <c r="C49" s="1132"/>
      <c r="D49" s="1135"/>
      <c r="E49" s="1135"/>
      <c r="F49" s="1135"/>
      <c r="G49" s="1135"/>
      <c r="H49" s="1098"/>
      <c r="O49" s="1098"/>
      <c r="P49" s="1098"/>
      <c r="Q49" s="1098"/>
      <c r="R49" s="1098"/>
      <c r="S49" s="1098"/>
      <c r="T49" s="1098"/>
      <c r="U49" s="1098"/>
      <c r="V49" s="1098"/>
      <c r="W49" s="1098"/>
      <c r="X49" s="1098"/>
      <c r="Y49" s="1098"/>
      <c r="Z49" s="1098"/>
    </row>
    <row r="50" spans="1:26" s="1097" customFormat="1">
      <c r="A50" s="1132"/>
      <c r="B50" s="1132"/>
      <c r="C50" s="1132"/>
      <c r="D50" s="1135"/>
      <c r="E50" s="1135"/>
      <c r="F50" s="1135"/>
      <c r="G50" s="1135"/>
      <c r="H50" s="1098"/>
      <c r="O50" s="1098"/>
      <c r="P50" s="1098"/>
      <c r="Q50" s="1098"/>
      <c r="R50" s="1098"/>
      <c r="S50" s="1098"/>
      <c r="T50" s="1098"/>
      <c r="U50" s="1098"/>
      <c r="V50" s="1098"/>
      <c r="W50" s="1098"/>
      <c r="X50" s="1098"/>
      <c r="Y50" s="1098"/>
      <c r="Z50" s="1098"/>
    </row>
    <row r="55" spans="1:26" s="1135" customFormat="1">
      <c r="A55" s="1132"/>
      <c r="B55" s="1132"/>
      <c r="C55" s="1132"/>
      <c r="D55" s="1132"/>
      <c r="H55" s="1098"/>
      <c r="I55" s="1097"/>
      <c r="J55" s="1097"/>
      <c r="K55" s="1097"/>
      <c r="L55" s="1097"/>
      <c r="M55" s="1097"/>
      <c r="N55" s="1097"/>
      <c r="O55" s="1098"/>
      <c r="P55" s="1098"/>
      <c r="Q55" s="1098"/>
      <c r="R55" s="1098"/>
      <c r="S55" s="1098"/>
      <c r="T55" s="1098"/>
      <c r="U55" s="1098"/>
      <c r="V55" s="1098"/>
      <c r="W55" s="1098"/>
      <c r="X55" s="1098"/>
      <c r="Y55" s="1098"/>
      <c r="Z55" s="1098"/>
    </row>
    <row r="56" spans="1:26" s="1135" customFormat="1">
      <c r="A56" s="1132"/>
      <c r="B56" s="1132"/>
      <c r="C56" s="1132"/>
      <c r="D56" s="1132"/>
      <c r="H56" s="1098"/>
      <c r="I56" s="1097"/>
      <c r="J56" s="1097"/>
      <c r="K56" s="1097"/>
      <c r="L56" s="1097"/>
      <c r="M56" s="1097"/>
      <c r="N56" s="1097"/>
      <c r="O56" s="1098"/>
      <c r="P56" s="1098"/>
      <c r="Q56" s="1098"/>
      <c r="R56" s="1098"/>
      <c r="S56" s="1098"/>
      <c r="T56" s="1098"/>
      <c r="U56" s="1098"/>
      <c r="V56" s="1098"/>
      <c r="W56" s="1098"/>
      <c r="X56" s="1098"/>
      <c r="Y56" s="1098"/>
      <c r="Z56" s="1098"/>
    </row>
    <row r="57" spans="1:26" s="1135" customFormat="1">
      <c r="A57" s="1132"/>
      <c r="B57" s="1132"/>
      <c r="C57" s="1132"/>
      <c r="D57" s="1132"/>
      <c r="H57" s="1098"/>
      <c r="I57" s="1097"/>
      <c r="J57" s="1097"/>
      <c r="K57" s="1097"/>
      <c r="L57" s="1097"/>
      <c r="M57" s="1097"/>
      <c r="N57" s="1097"/>
      <c r="O57" s="1098"/>
      <c r="P57" s="1098"/>
      <c r="Q57" s="1098"/>
      <c r="R57" s="1098"/>
      <c r="S57" s="1098"/>
      <c r="T57" s="1098"/>
      <c r="U57" s="1098"/>
      <c r="V57" s="1098"/>
      <c r="W57" s="1098"/>
      <c r="X57" s="1098"/>
      <c r="Y57" s="1098"/>
      <c r="Z57" s="1098"/>
    </row>
    <row r="59" spans="1:26" s="1135" customFormat="1">
      <c r="A59" s="1132"/>
      <c r="B59" s="1132"/>
      <c r="C59" s="1132"/>
      <c r="H59" s="1098"/>
      <c r="I59" s="1097"/>
      <c r="J59" s="1097"/>
      <c r="K59" s="1097"/>
      <c r="L59" s="1097"/>
      <c r="M59" s="1097"/>
      <c r="N59" s="1097"/>
      <c r="O59" s="1098"/>
      <c r="P59" s="1098"/>
      <c r="Q59" s="1098"/>
      <c r="R59" s="1098"/>
      <c r="S59" s="1098"/>
      <c r="T59" s="1098"/>
      <c r="U59" s="1098"/>
      <c r="V59" s="1098"/>
      <c r="W59" s="1098"/>
      <c r="X59" s="1098"/>
      <c r="Y59" s="1098"/>
      <c r="Z59" s="1098"/>
    </row>
    <row r="60" spans="1:26" s="1135" customFormat="1">
      <c r="A60" s="1132"/>
      <c r="B60" s="1132"/>
      <c r="C60" s="1132"/>
      <c r="H60" s="1098"/>
      <c r="I60" s="1097"/>
      <c r="J60" s="1097"/>
      <c r="K60" s="1097"/>
      <c r="L60" s="1097"/>
      <c r="M60" s="1097"/>
      <c r="N60" s="1097"/>
      <c r="O60" s="1098"/>
      <c r="P60" s="1098"/>
      <c r="Q60" s="1098"/>
      <c r="R60" s="1098"/>
      <c r="S60" s="1098"/>
      <c r="T60" s="1098"/>
      <c r="U60" s="1098"/>
      <c r="V60" s="1098"/>
      <c r="W60" s="1098"/>
      <c r="X60" s="1098"/>
      <c r="Y60" s="1098"/>
      <c r="Z60" s="1098"/>
    </row>
    <row r="61" spans="1:26" s="1135" customFormat="1">
      <c r="A61" s="1132"/>
      <c r="B61" s="1132"/>
      <c r="C61" s="1132"/>
      <c r="H61" s="1098"/>
      <c r="I61" s="1097"/>
      <c r="J61" s="1097"/>
      <c r="K61" s="1097"/>
      <c r="L61" s="1097"/>
      <c r="M61" s="1097"/>
      <c r="N61" s="1097"/>
      <c r="O61" s="1098"/>
      <c r="P61" s="1098"/>
      <c r="Q61" s="1098"/>
      <c r="R61" s="1098"/>
      <c r="S61" s="1098"/>
      <c r="T61" s="1098"/>
      <c r="U61" s="1098"/>
      <c r="V61" s="1098"/>
      <c r="W61" s="1098"/>
      <c r="X61" s="1098"/>
      <c r="Y61" s="1098"/>
      <c r="Z61" s="1098"/>
    </row>
  </sheetData>
  <mergeCells count="7">
    <mergeCell ref="B36:C36"/>
    <mergeCell ref="A1:G1"/>
    <mergeCell ref="A2:G2"/>
    <mergeCell ref="B10:C10"/>
    <mergeCell ref="B30:C30"/>
    <mergeCell ref="B32:C32"/>
    <mergeCell ref="B34:C34"/>
  </mergeCells>
  <pageMargins left="0.74803149606299213" right="0.11811023622047245" top="0.56000000000000005" bottom="0.11811023622047245" header="0.11811023622047245" footer="0.51181102362204722"/>
  <pageSetup scale="84" fitToHeight="4" orientation="portrait" r:id="rId1"/>
  <headerFooter alignWithMargins="0">
    <oddHeader>&amp;RPage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opLeftCell="A31" workbookViewId="0">
      <selection activeCell="K38" sqref="K38"/>
    </sheetView>
  </sheetViews>
  <sheetFormatPr defaultRowHeight="14.4" outlineLevelRow="1"/>
  <cols>
    <col min="1" max="1" width="18.6640625" customWidth="1"/>
    <col min="2" max="2" width="13.88671875" customWidth="1"/>
    <col min="3" max="3" width="14.109375" customWidth="1"/>
    <col min="4" max="4" width="14.33203125" bestFit="1" customWidth="1"/>
    <col min="5" max="5" width="16" customWidth="1"/>
    <col min="6" max="6" width="15.88671875" customWidth="1"/>
    <col min="7" max="7" width="17.33203125" customWidth="1"/>
    <col min="8" max="8" width="15.44140625" customWidth="1"/>
    <col min="9" max="9" width="16.33203125" customWidth="1"/>
    <col min="10" max="10" width="16.5546875" customWidth="1"/>
    <col min="11" max="11" width="16.33203125" customWidth="1"/>
    <col min="12" max="12" width="15.5546875" customWidth="1"/>
    <col min="13" max="13" width="16.5546875" customWidth="1"/>
    <col min="14" max="14" width="17.5546875" customWidth="1"/>
    <col min="15" max="15" width="14.6640625" customWidth="1"/>
  </cols>
  <sheetData>
    <row r="1" spans="1:15" s="907" customFormat="1" ht="28.8">
      <c r="A1" s="910"/>
      <c r="B1" s="963" t="s">
        <v>925</v>
      </c>
      <c r="C1" s="963" t="s">
        <v>926</v>
      </c>
      <c r="D1" s="963" t="s">
        <v>927</v>
      </c>
      <c r="E1" s="963" t="s">
        <v>928</v>
      </c>
      <c r="F1" s="963" t="s">
        <v>929</v>
      </c>
      <c r="G1" s="963" t="s">
        <v>930</v>
      </c>
      <c r="H1" s="963" t="s">
        <v>931</v>
      </c>
      <c r="I1" s="964">
        <v>43070</v>
      </c>
      <c r="J1" s="963" t="s">
        <v>932</v>
      </c>
    </row>
    <row r="2" spans="1:15">
      <c r="B2" s="962" t="s">
        <v>366</v>
      </c>
      <c r="C2" s="962" t="s">
        <v>367</v>
      </c>
      <c r="D2" s="962" t="s">
        <v>368</v>
      </c>
      <c r="E2" s="962" t="s">
        <v>933</v>
      </c>
      <c r="F2" s="962" t="s">
        <v>934</v>
      </c>
      <c r="G2" s="962" t="s">
        <v>935</v>
      </c>
      <c r="H2" s="962" t="s">
        <v>936</v>
      </c>
      <c r="I2" s="962" t="s">
        <v>937</v>
      </c>
      <c r="J2" s="962" t="s">
        <v>938</v>
      </c>
    </row>
    <row r="3" spans="1:15">
      <c r="A3" t="s">
        <v>924</v>
      </c>
      <c r="B3" s="965">
        <f>SUM('1.  LRAMVA Summary'!R62:R72)</f>
        <v>2446364.9387570368</v>
      </c>
      <c r="C3" s="965">
        <v>3427497.1400453555</v>
      </c>
      <c r="D3" s="965">
        <f>B3-C3</f>
        <v>-981132.20128831873</v>
      </c>
      <c r="E3" s="965">
        <f>2183293.79-28522.88</f>
        <v>2154770.91</v>
      </c>
      <c r="F3" s="965">
        <f>2250811.53-30535.97-E3</f>
        <v>65504.649999999441</v>
      </c>
      <c r="G3" s="965">
        <v>1098786</v>
      </c>
      <c r="H3" s="965">
        <f>E3+F3+G3</f>
        <v>3319061.5599999996</v>
      </c>
      <c r="I3" s="965">
        <f>B3-H3</f>
        <v>-872696.62124296278</v>
      </c>
      <c r="J3" s="965">
        <f>G3+I3</f>
        <v>226089.37875703722</v>
      </c>
    </row>
    <row r="4" spans="1:15">
      <c r="A4" t="s">
        <v>799</v>
      </c>
      <c r="B4" s="965">
        <f>'1.  LRAMVA Summary'!R83</f>
        <v>89512.728911389029</v>
      </c>
      <c r="C4" s="965">
        <v>69259.180002138339</v>
      </c>
      <c r="D4" s="965">
        <f>B4-C4</f>
        <v>20253.54890925069</v>
      </c>
      <c r="E4" s="965">
        <v>28522.880000000001</v>
      </c>
      <c r="F4" s="965">
        <f>30535.97-E4</f>
        <v>2013.0900000000001</v>
      </c>
      <c r="G4" s="965">
        <v>27846.323531287675</v>
      </c>
      <c r="H4" s="965">
        <f>E4+F4+G4</f>
        <v>58382.29353128768</v>
      </c>
      <c r="I4" s="965">
        <f>B4-H4</f>
        <v>31130.435380101349</v>
      </c>
      <c r="J4" s="965">
        <f>G4+I4</f>
        <v>58976.758911389028</v>
      </c>
    </row>
    <row r="5" spans="1:15">
      <c r="A5" s="966" t="s">
        <v>26</v>
      </c>
      <c r="B5" s="967">
        <f t="shared" ref="B5:J5" si="0">B3+B4</f>
        <v>2535877.6676684259</v>
      </c>
      <c r="C5" s="967">
        <f t="shared" si="0"/>
        <v>3496756.320047494</v>
      </c>
      <c r="D5" s="967">
        <f t="shared" si="0"/>
        <v>-960878.65237906808</v>
      </c>
      <c r="E5" s="967">
        <f t="shared" si="0"/>
        <v>2183293.79</v>
      </c>
      <c r="F5" s="967">
        <f t="shared" si="0"/>
        <v>67517.739999999438</v>
      </c>
      <c r="G5" s="967">
        <f t="shared" si="0"/>
        <v>1126632.3235312877</v>
      </c>
      <c r="H5" s="967">
        <f t="shared" si="0"/>
        <v>3377443.8535312871</v>
      </c>
      <c r="I5" s="967">
        <f t="shared" si="0"/>
        <v>-841566.18586286146</v>
      </c>
      <c r="J5" s="967">
        <f t="shared" si="0"/>
        <v>285066.13766842627</v>
      </c>
    </row>
    <row r="8" spans="1:15">
      <c r="A8" t="s">
        <v>953</v>
      </c>
      <c r="E8" t="s">
        <v>954</v>
      </c>
      <c r="F8" t="s">
        <v>947</v>
      </c>
      <c r="G8" t="s">
        <v>948</v>
      </c>
      <c r="H8" t="s">
        <v>955</v>
      </c>
      <c r="I8" t="s">
        <v>956</v>
      </c>
      <c r="J8" t="s">
        <v>957</v>
      </c>
    </row>
    <row r="9" spans="1:15">
      <c r="A9" t="s">
        <v>940</v>
      </c>
      <c r="E9" s="965">
        <v>2154770.91</v>
      </c>
      <c r="F9" s="970">
        <v>65504.649999999805</v>
      </c>
      <c r="G9" s="970">
        <v>1474346.9200000002</v>
      </c>
      <c r="H9" s="936">
        <f>SUM(E9:G9)</f>
        <v>3694622.4800000004</v>
      </c>
      <c r="I9" s="970">
        <v>3694622.4800000004</v>
      </c>
      <c r="J9" s="936">
        <f>H9-I9</f>
        <v>0</v>
      </c>
    </row>
    <row r="10" spans="1:15">
      <c r="A10" t="s">
        <v>799</v>
      </c>
      <c r="E10" s="965">
        <v>28522.880000000001</v>
      </c>
      <c r="F10" s="970">
        <v>2013.0900000000001</v>
      </c>
      <c r="G10" s="970">
        <v>28191.230000000003</v>
      </c>
      <c r="H10" s="936">
        <f>SUM(E10:G10)</f>
        <v>58727.200000000004</v>
      </c>
      <c r="I10" s="970">
        <v>58727.200000000004</v>
      </c>
      <c r="J10" s="936">
        <f>H10-I10</f>
        <v>0</v>
      </c>
    </row>
    <row r="11" spans="1:15">
      <c r="A11" t="s">
        <v>26</v>
      </c>
      <c r="E11" s="967">
        <f t="shared" ref="E11:J11" si="1">E9+E10</f>
        <v>2183293.79</v>
      </c>
      <c r="F11" s="967">
        <f t="shared" si="1"/>
        <v>67517.739999999802</v>
      </c>
      <c r="G11" s="967">
        <f t="shared" si="1"/>
        <v>1502538.1500000001</v>
      </c>
      <c r="H11" s="967">
        <f t="shared" si="1"/>
        <v>3753349.6800000006</v>
      </c>
      <c r="I11" s="967">
        <f t="shared" si="1"/>
        <v>3753349.6800000006</v>
      </c>
      <c r="J11" s="967">
        <f t="shared" si="1"/>
        <v>0</v>
      </c>
    </row>
    <row r="14" spans="1:15" ht="28.8">
      <c r="A14" s="979" t="s">
        <v>940</v>
      </c>
      <c r="B14" s="979"/>
      <c r="C14" s="979"/>
      <c r="D14" s="979"/>
      <c r="E14" s="986" t="s">
        <v>939</v>
      </c>
      <c r="F14" s="986" t="s">
        <v>947</v>
      </c>
      <c r="G14" s="986" t="s">
        <v>948</v>
      </c>
      <c r="H14" s="986" t="s">
        <v>958</v>
      </c>
      <c r="I14" s="986" t="s">
        <v>991</v>
      </c>
      <c r="J14" s="1001" t="s">
        <v>992</v>
      </c>
      <c r="K14" s="979" t="s">
        <v>973</v>
      </c>
      <c r="L14" s="988" t="s">
        <v>976</v>
      </c>
      <c r="M14" s="988" t="s">
        <v>977</v>
      </c>
      <c r="N14" s="979" t="s">
        <v>982</v>
      </c>
      <c r="O14" s="979" t="s">
        <v>983</v>
      </c>
    </row>
    <row r="15" spans="1:15" outlineLevel="1">
      <c r="A15" s="977" t="s">
        <v>963</v>
      </c>
      <c r="B15" s="977"/>
      <c r="C15" s="977"/>
      <c r="D15" s="977"/>
      <c r="E15" s="983">
        <v>-29370.130000000005</v>
      </c>
      <c r="F15" s="977"/>
      <c r="G15" s="977"/>
      <c r="H15" s="983">
        <f>SUM(E15:G15)</f>
        <v>-29370.130000000005</v>
      </c>
      <c r="J15" s="965">
        <f>H15+I15</f>
        <v>-29370.130000000005</v>
      </c>
      <c r="K15" s="983">
        <f>-H15</f>
        <v>29370.130000000005</v>
      </c>
    </row>
    <row r="16" spans="1:15" outlineLevel="1">
      <c r="A16" s="981" t="s">
        <v>964</v>
      </c>
      <c r="B16" s="981"/>
      <c r="C16" s="981"/>
      <c r="D16" s="981"/>
      <c r="E16" s="982">
        <v>-370741.87</v>
      </c>
      <c r="F16" s="982">
        <v>52429.539999999994</v>
      </c>
      <c r="G16" s="982">
        <v>375541.43000000011</v>
      </c>
      <c r="H16" s="982">
        <f>SUM(E16:G16)</f>
        <v>57229.100000000093</v>
      </c>
      <c r="I16" s="982">
        <v>-1188.2</v>
      </c>
      <c r="J16" s="982">
        <f>H16+I16</f>
        <v>56040.900000000096</v>
      </c>
      <c r="K16" s="982">
        <f>J35</f>
        <v>-22271.647833564373</v>
      </c>
      <c r="L16" s="982">
        <f>-(J16+K16)</f>
        <v>-33769.252166435719</v>
      </c>
      <c r="M16" s="982">
        <f>SUM(J16:L16)</f>
        <v>0</v>
      </c>
      <c r="N16" s="982">
        <v>0</v>
      </c>
      <c r="O16" s="982">
        <f>M16+N16</f>
        <v>0</v>
      </c>
    </row>
    <row r="17" spans="1:15">
      <c r="A17" s="978" t="s">
        <v>971</v>
      </c>
      <c r="B17" s="984"/>
      <c r="C17" s="977"/>
      <c r="D17" s="977"/>
      <c r="E17" s="985">
        <f>SUM(E15:E16)</f>
        <v>-400112</v>
      </c>
      <c r="F17" s="985">
        <f t="shared" ref="F17:H17" si="2">SUM(F15:F16)</f>
        <v>52429.539999999994</v>
      </c>
      <c r="G17" s="985">
        <f t="shared" si="2"/>
        <v>375541.43000000011</v>
      </c>
      <c r="H17" s="985">
        <f t="shared" si="2"/>
        <v>27858.970000000088</v>
      </c>
      <c r="I17" s="939"/>
      <c r="J17" s="965"/>
      <c r="K17" s="985">
        <f t="shared" ref="K17:M17" si="3">SUM(K15:K16)</f>
        <v>7098.4821664356314</v>
      </c>
      <c r="L17" s="985">
        <f t="shared" si="3"/>
        <v>-33769.252166435719</v>
      </c>
      <c r="M17" s="985">
        <f t="shared" si="3"/>
        <v>0</v>
      </c>
      <c r="N17" s="985">
        <f t="shared" ref="N17" si="4">SUM(N15:N16)</f>
        <v>0</v>
      </c>
      <c r="O17" s="985">
        <f t="shared" ref="O17" si="5">SUM(O15:O16)</f>
        <v>0</v>
      </c>
    </row>
    <row r="18" spans="1:15">
      <c r="A18" s="977"/>
      <c r="B18" s="977"/>
      <c r="C18" s="977"/>
      <c r="D18" s="977"/>
      <c r="E18" s="939"/>
      <c r="F18" s="939"/>
      <c r="G18" s="939"/>
      <c r="H18" s="939"/>
      <c r="I18" s="939"/>
      <c r="J18" s="965"/>
    </row>
    <row r="19" spans="1:15" outlineLevel="1">
      <c r="A19" t="s">
        <v>941</v>
      </c>
      <c r="E19" s="965">
        <v>155359.21605829234</v>
      </c>
      <c r="F19" s="965"/>
      <c r="G19" s="965"/>
      <c r="H19" s="965">
        <f t="shared" ref="H19:H26" si="6">SUM(E19:G19)</f>
        <v>155359.21605829234</v>
      </c>
      <c r="I19" s="965"/>
      <c r="J19" s="965"/>
      <c r="K19" s="965"/>
      <c r="L19" s="965"/>
      <c r="M19" s="965"/>
      <c r="N19" s="965">
        <f>'JE Summary'!J17</f>
        <v>-201141.30235550704</v>
      </c>
      <c r="O19" s="965">
        <f>N19+H19+H20</f>
        <v>2.0503852938418277E-3</v>
      </c>
    </row>
    <row r="20" spans="1:15" outlineLevel="1">
      <c r="A20" s="973" t="s">
        <v>949</v>
      </c>
      <c r="B20" s="973"/>
      <c r="C20" s="973"/>
      <c r="D20" s="973"/>
      <c r="E20" s="974"/>
      <c r="F20" s="974"/>
      <c r="G20" s="974">
        <v>45782.088347599994</v>
      </c>
      <c r="H20" s="974">
        <f t="shared" si="6"/>
        <v>45782.088347599994</v>
      </c>
      <c r="I20" s="974"/>
      <c r="J20" s="974"/>
      <c r="K20" s="974"/>
      <c r="L20" s="974"/>
      <c r="M20" s="974"/>
      <c r="N20" s="974"/>
      <c r="O20" s="974"/>
    </row>
    <row r="21" spans="1:15" outlineLevel="1">
      <c r="A21" s="975" t="s">
        <v>942</v>
      </c>
      <c r="B21" s="975"/>
      <c r="C21" s="975"/>
      <c r="D21" s="975"/>
      <c r="E21" s="976">
        <v>850643.77999999991</v>
      </c>
      <c r="F21" s="976"/>
      <c r="G21" s="976">
        <v>-5369.5549378376818</v>
      </c>
      <c r="H21" s="976">
        <f t="shared" si="6"/>
        <v>845274.22506216227</v>
      </c>
      <c r="I21" s="976"/>
      <c r="J21" s="976"/>
      <c r="K21" s="976"/>
      <c r="L21" s="976"/>
      <c r="M21" s="976"/>
      <c r="N21" s="976">
        <f>'JE Summary'!J40</f>
        <v>-959061.36047706776</v>
      </c>
      <c r="O21" s="965">
        <f>N21+H21+H22</f>
        <v>-0.70231050548318308</v>
      </c>
    </row>
    <row r="22" spans="1:15" outlineLevel="1">
      <c r="A22" s="973" t="s">
        <v>950</v>
      </c>
      <c r="B22" s="973"/>
      <c r="C22" s="973"/>
      <c r="D22" s="973"/>
      <c r="E22" s="974"/>
      <c r="F22" s="974"/>
      <c r="G22" s="974">
        <v>113786.43310440001</v>
      </c>
      <c r="H22" s="974">
        <f t="shared" si="6"/>
        <v>113786.43310440001</v>
      </c>
      <c r="I22" s="974"/>
      <c r="J22" s="974"/>
      <c r="K22" s="974"/>
      <c r="L22" s="974"/>
      <c r="M22" s="974"/>
      <c r="N22" s="974"/>
      <c r="O22" s="974"/>
    </row>
    <row r="23" spans="1:15" outlineLevel="1">
      <c r="A23" t="s">
        <v>943</v>
      </c>
      <c r="E23" s="965">
        <v>1548879.9200000002</v>
      </c>
      <c r="F23" s="965"/>
      <c r="G23" s="965">
        <v>183545.40381670307</v>
      </c>
      <c r="H23" s="965">
        <f t="shared" si="6"/>
        <v>1732425.3238167032</v>
      </c>
      <c r="I23" s="965"/>
      <c r="J23" s="965"/>
      <c r="K23" s="965"/>
      <c r="L23" s="965"/>
      <c r="M23" s="965"/>
      <c r="N23" s="965">
        <f>'JE Summary'!J64</f>
        <v>478284.22292918421</v>
      </c>
      <c r="O23" s="965">
        <f>N23+H23+H24</f>
        <v>2446364.9456316475</v>
      </c>
    </row>
    <row r="24" spans="1:15" outlineLevel="1">
      <c r="A24" s="973" t="s">
        <v>951</v>
      </c>
      <c r="B24" s="973"/>
      <c r="C24" s="973"/>
      <c r="D24" s="973"/>
      <c r="E24" s="974"/>
      <c r="F24" s="974"/>
      <c r="G24" s="974">
        <v>235655.39888575999</v>
      </c>
      <c r="H24" s="974">
        <f t="shared" si="6"/>
        <v>235655.39888575999</v>
      </c>
      <c r="I24" s="974"/>
      <c r="J24" s="974"/>
      <c r="K24" s="974"/>
      <c r="L24" s="974"/>
      <c r="M24" s="974"/>
      <c r="N24" s="974"/>
      <c r="O24" s="974"/>
    </row>
    <row r="25" spans="1:15" outlineLevel="1">
      <c r="A25" t="s">
        <v>944</v>
      </c>
      <c r="E25" s="965"/>
      <c r="F25" s="965">
        <v>13075.109999999997</v>
      </c>
      <c r="G25" s="965">
        <v>559905.71464062808</v>
      </c>
      <c r="H25" s="965">
        <f t="shared" si="6"/>
        <v>572980.82464062807</v>
      </c>
      <c r="I25" s="965"/>
      <c r="J25" s="965"/>
      <c r="K25" s="965"/>
      <c r="L25" s="965"/>
      <c r="M25" s="965"/>
      <c r="N25" s="965">
        <f>'JE Summary'!J99</f>
        <v>-538480.82493181876</v>
      </c>
      <c r="O25" s="965">
        <f>N25+H25+H26</f>
        <v>-2.9119069222360849E-4</v>
      </c>
    </row>
    <row r="26" spans="1:15" outlineLevel="1">
      <c r="A26" s="973" t="s">
        <v>952</v>
      </c>
      <c r="B26" s="973"/>
      <c r="C26" s="973"/>
      <c r="D26" s="973"/>
      <c r="E26" s="974"/>
      <c r="F26" s="974"/>
      <c r="G26" s="974">
        <v>-34500</v>
      </c>
      <c r="H26" s="974">
        <f t="shared" si="6"/>
        <v>-34500</v>
      </c>
      <c r="I26" s="974"/>
      <c r="J26" s="974"/>
      <c r="K26" s="974"/>
      <c r="L26" s="974"/>
      <c r="M26" s="974"/>
      <c r="N26" s="974"/>
      <c r="O26" s="974"/>
    </row>
    <row r="27" spans="1:15" outlineLevel="1">
      <c r="A27" s="977"/>
      <c r="B27" s="977"/>
      <c r="C27" s="977"/>
      <c r="D27" s="977"/>
      <c r="E27" s="939"/>
      <c r="F27" s="939"/>
      <c r="G27" s="939"/>
      <c r="H27" s="939"/>
      <c r="I27" s="939"/>
      <c r="J27" s="939"/>
      <c r="K27" s="939"/>
      <c r="L27" s="939"/>
      <c r="M27" s="939"/>
      <c r="N27" s="939"/>
      <c r="O27" s="939"/>
    </row>
    <row r="28" spans="1:15">
      <c r="A28" s="978" t="s">
        <v>959</v>
      </c>
      <c r="B28" s="979"/>
      <c r="C28" s="979"/>
      <c r="D28" s="979"/>
      <c r="E28" s="980">
        <f>SUM(E19:E26)</f>
        <v>2554882.9160582926</v>
      </c>
      <c r="F28" s="980">
        <f t="shared" ref="F28:H28" si="7">SUM(F19:F26)</f>
        <v>13075.109999999997</v>
      </c>
      <c r="G28" s="980">
        <f t="shared" si="7"/>
        <v>1098805.4838572536</v>
      </c>
      <c r="H28" s="980">
        <f t="shared" si="7"/>
        <v>3666763.509915546</v>
      </c>
      <c r="I28" s="980"/>
      <c r="J28" s="980"/>
      <c r="K28" s="980"/>
      <c r="L28" s="980"/>
      <c r="M28" s="980"/>
      <c r="N28" s="980">
        <f t="shared" ref="N28:O28" si="8">SUM(N19:N26)</f>
        <v>-1220399.2648352096</v>
      </c>
      <c r="O28" s="980">
        <f t="shared" si="8"/>
        <v>2446364.2450803369</v>
      </c>
    </row>
    <row r="29" spans="1:15">
      <c r="E29" s="965"/>
      <c r="F29" s="965"/>
      <c r="G29" s="965"/>
      <c r="H29" s="965"/>
      <c r="I29" s="965"/>
      <c r="J29" s="965"/>
      <c r="K29" s="965"/>
      <c r="L29" s="965"/>
      <c r="M29" s="965"/>
      <c r="N29" s="965"/>
      <c r="O29" s="965"/>
    </row>
    <row r="30" spans="1:15" ht="15" thickBot="1">
      <c r="A30" s="971" t="s">
        <v>945</v>
      </c>
      <c r="B30" s="971"/>
      <c r="C30" s="971"/>
      <c r="D30" s="971"/>
      <c r="E30" s="972">
        <f>E17+E28</f>
        <v>2154770.9160582926</v>
      </c>
      <c r="F30" s="972">
        <f t="shared" ref="F30:H30" si="9">F17+F28</f>
        <v>65504.649999999994</v>
      </c>
      <c r="G30" s="972">
        <f t="shared" si="9"/>
        <v>1474346.9138572537</v>
      </c>
      <c r="H30" s="972">
        <f t="shared" si="9"/>
        <v>3694622.4799155463</v>
      </c>
      <c r="I30" s="972"/>
      <c r="J30" s="972"/>
      <c r="K30" s="972"/>
      <c r="L30" s="972"/>
      <c r="M30" s="972"/>
      <c r="N30" s="972">
        <f t="shared" ref="N30:O30" si="10">N17+N28</f>
        <v>-1220399.2648352096</v>
      </c>
      <c r="O30" s="972">
        <f t="shared" si="10"/>
        <v>2446364.2450803369</v>
      </c>
    </row>
    <row r="31" spans="1:15" ht="15" thickTop="1">
      <c r="A31" s="968" t="s">
        <v>946</v>
      </c>
      <c r="E31" s="969">
        <f>E9-E30</f>
        <v>-6.0582924634218216E-3</v>
      </c>
      <c r="F31" s="969">
        <f>F9-F30</f>
        <v>-1.8917489796876907E-10</v>
      </c>
      <c r="G31" s="969">
        <f>G9-G30</f>
        <v>6.1427464243024588E-3</v>
      </c>
      <c r="H31" s="969">
        <f>H9-H30</f>
        <v>8.4454193711280823E-5</v>
      </c>
      <c r="I31" s="965"/>
      <c r="J31" s="965"/>
    </row>
    <row r="32" spans="1:15">
      <c r="E32" s="965"/>
      <c r="F32" s="965"/>
      <c r="G32" s="965"/>
      <c r="H32" s="965"/>
      <c r="I32" s="965"/>
      <c r="J32" s="965"/>
    </row>
    <row r="33" spans="1:15" ht="28.8">
      <c r="A33" s="979" t="s">
        <v>799</v>
      </c>
      <c r="B33" s="979"/>
      <c r="C33" s="979"/>
      <c r="D33" s="979"/>
      <c r="E33" s="986" t="s">
        <v>939</v>
      </c>
      <c r="F33" s="986" t="s">
        <v>947</v>
      </c>
      <c r="G33" s="986" t="s">
        <v>948</v>
      </c>
      <c r="H33" s="986" t="s">
        <v>958</v>
      </c>
      <c r="I33" s="980" t="s">
        <v>974</v>
      </c>
      <c r="J33" s="987" t="s">
        <v>975</v>
      </c>
      <c r="K33" s="979" t="s">
        <v>973</v>
      </c>
      <c r="L33" s="988" t="s">
        <v>976</v>
      </c>
      <c r="M33" s="988" t="s">
        <v>977</v>
      </c>
      <c r="N33" s="979" t="s">
        <v>982</v>
      </c>
      <c r="O33" s="979" t="s">
        <v>983</v>
      </c>
    </row>
    <row r="34" spans="1:15" outlineLevel="1">
      <c r="A34" t="s">
        <v>962</v>
      </c>
      <c r="E34" s="965">
        <v>31138.842991720558</v>
      </c>
      <c r="F34" s="965">
        <v>-27.438943369862898</v>
      </c>
      <c r="G34" s="965">
        <v>-287.82727399999891</v>
      </c>
      <c r="H34" s="965">
        <f t="shared" ref="H34:H41" si="11">SUM(E34:G34)</f>
        <v>30823.576774350695</v>
      </c>
      <c r="I34" s="965">
        <v>-37.416740958903972</v>
      </c>
      <c r="J34" s="965">
        <f>H34+I34</f>
        <v>30786.160033391792</v>
      </c>
      <c r="K34" s="936">
        <f>-K15</f>
        <v>-29370.130000000005</v>
      </c>
      <c r="L34" s="936">
        <f>-(J34+K34)</f>
        <v>-1416.0300333917876</v>
      </c>
      <c r="M34" s="936">
        <f>SUM(J34:L34)</f>
        <v>0</v>
      </c>
      <c r="N34" s="936">
        <v>0</v>
      </c>
      <c r="O34" s="936">
        <f>M34+N34</f>
        <v>0</v>
      </c>
    </row>
    <row r="35" spans="1:15" outlineLevel="1">
      <c r="A35" s="981" t="s">
        <v>961</v>
      </c>
      <c r="B35" s="981"/>
      <c r="C35" s="981"/>
      <c r="D35" s="981"/>
      <c r="E35" s="982">
        <v>-21041.999981893143</v>
      </c>
      <c r="F35" s="982">
        <v>-346.36432238356161</v>
      </c>
      <c r="G35" s="982">
        <v>-956.19183476712294</v>
      </c>
      <c r="H35" s="982">
        <f t="shared" si="11"/>
        <v>-22344.556139043827</v>
      </c>
      <c r="I35" s="982">
        <v>72.908305479452139</v>
      </c>
      <c r="J35" s="982">
        <f>H35+I35</f>
        <v>-22271.647833564373</v>
      </c>
      <c r="K35" s="982">
        <f>-K16</f>
        <v>22271.647833564373</v>
      </c>
      <c r="L35" s="982">
        <v>0</v>
      </c>
      <c r="M35" s="982">
        <f>SUM(J35:L35)</f>
        <v>0</v>
      </c>
      <c r="N35" s="982">
        <v>0</v>
      </c>
      <c r="O35" s="982">
        <f>M35+N35</f>
        <v>0</v>
      </c>
    </row>
    <row r="36" spans="1:15">
      <c r="A36" s="978" t="s">
        <v>972</v>
      </c>
      <c r="B36" s="984"/>
      <c r="C36" s="984"/>
      <c r="D36" s="984"/>
      <c r="E36" s="985">
        <f>SUM(E34:E35)</f>
        <v>10096.843009827415</v>
      </c>
      <c r="F36" s="985">
        <f t="shared" ref="F36:K36" si="12">SUM(F34:F35)</f>
        <v>-373.80326575342451</v>
      </c>
      <c r="G36" s="985">
        <f t="shared" si="12"/>
        <v>-1244.0191087671219</v>
      </c>
      <c r="H36" s="985">
        <f t="shared" si="12"/>
        <v>8479.0206353068679</v>
      </c>
      <c r="I36" s="985">
        <f t="shared" si="12"/>
        <v>35.491564520548167</v>
      </c>
      <c r="J36" s="985">
        <f t="shared" si="12"/>
        <v>8514.512199827419</v>
      </c>
      <c r="K36" s="985">
        <f t="shared" si="12"/>
        <v>-7098.4821664356314</v>
      </c>
      <c r="L36" s="985">
        <f t="shared" ref="L36" si="13">SUM(L34:L35)</f>
        <v>-1416.0300333917876</v>
      </c>
      <c r="M36" s="985">
        <f t="shared" ref="M36" si="14">SUM(M34:M35)</f>
        <v>0</v>
      </c>
      <c r="N36" s="985">
        <f t="shared" ref="N36" si="15">SUM(N34:N35)</f>
        <v>0</v>
      </c>
      <c r="O36" s="985">
        <f t="shared" ref="O36" si="16">SUM(O34:O35)</f>
        <v>0</v>
      </c>
    </row>
    <row r="37" spans="1:15">
      <c r="A37" s="977"/>
      <c r="B37" s="977"/>
      <c r="C37" s="977"/>
      <c r="D37" s="977"/>
      <c r="E37" s="939"/>
      <c r="F37" s="939"/>
      <c r="G37" s="939"/>
      <c r="H37" s="939"/>
      <c r="I37" s="939"/>
      <c r="J37" s="965"/>
    </row>
    <row r="38" spans="1:15" outlineLevel="1">
      <c r="A38" t="s">
        <v>965</v>
      </c>
      <c r="E38" s="965">
        <v>2622.0521669205473</v>
      </c>
      <c r="F38" s="965">
        <v>145.14380989041092</v>
      </c>
      <c r="G38" s="965">
        <v>1637.2890548165858</v>
      </c>
      <c r="H38" s="965">
        <f t="shared" si="11"/>
        <v>4404.4850316275442</v>
      </c>
      <c r="I38" s="965">
        <v>256.24850337433969</v>
      </c>
      <c r="J38" s="965">
        <f>H38+I38</f>
        <v>4660.7335350018839</v>
      </c>
      <c r="M38" s="936">
        <f t="shared" ref="M38:M41" si="17">SUM(J38:L38)</f>
        <v>4660.7335350018839</v>
      </c>
      <c r="N38" s="1160">
        <f>'6.  Carrying Charges'!$AF$117-M38</f>
        <v>-3286.1317680216343</v>
      </c>
      <c r="O38" s="936">
        <f>M38+N38</f>
        <v>1374.6017669802495</v>
      </c>
    </row>
    <row r="39" spans="1:15" outlineLevel="1">
      <c r="A39" t="s">
        <v>966</v>
      </c>
      <c r="E39" s="965">
        <v>11318.735765534246</v>
      </c>
      <c r="F39" s="965">
        <v>794.71103830136985</v>
      </c>
      <c r="G39" s="965">
        <v>8608.0938331521265</v>
      </c>
      <c r="H39" s="965">
        <f t="shared" si="11"/>
        <v>20721.540636987742</v>
      </c>
      <c r="I39" s="965">
        <v>1221.8170091604002</v>
      </c>
      <c r="J39" s="965">
        <f t="shared" ref="J39:J41" si="18">H39+I39</f>
        <v>21943.357646148143</v>
      </c>
      <c r="M39" s="936">
        <f t="shared" si="17"/>
        <v>21943.357646148143</v>
      </c>
      <c r="N39" s="1160">
        <f>'6.  Carrying Charges'!$AG$117-M39</f>
        <v>-19626.670438542555</v>
      </c>
      <c r="O39" s="936">
        <f t="shared" ref="O39:O41" si="19">M39+N39</f>
        <v>2316.6872076055879</v>
      </c>
    </row>
    <row r="40" spans="1:15" outlineLevel="1">
      <c r="A40" t="s">
        <v>967</v>
      </c>
      <c r="E40" s="965">
        <v>4485.2446756986301</v>
      </c>
      <c r="F40" s="965">
        <v>1447.0357608767122</v>
      </c>
      <c r="G40" s="965">
        <v>16229.896476631424</v>
      </c>
      <c r="H40" s="965">
        <f t="shared" si="11"/>
        <v>22162.176913206764</v>
      </c>
      <c r="I40" s="965">
        <v>2507.2809285804892</v>
      </c>
      <c r="J40" s="965">
        <f t="shared" si="18"/>
        <v>24669.457841787254</v>
      </c>
      <c r="M40" s="936">
        <f t="shared" si="17"/>
        <v>24669.457841787254</v>
      </c>
      <c r="N40" s="1160">
        <f>'6.  Carrying Charges'!$AH$117-M40</f>
        <v>17300.890567796072</v>
      </c>
      <c r="O40" s="936">
        <f t="shared" si="19"/>
        <v>41970.348409583326</v>
      </c>
    </row>
    <row r="41" spans="1:15" outlineLevel="1">
      <c r="A41" s="981" t="s">
        <v>968</v>
      </c>
      <c r="B41" s="981"/>
      <c r="C41" s="981"/>
      <c r="D41" s="981"/>
      <c r="E41" s="982">
        <v>0</v>
      </c>
      <c r="F41" s="982">
        <v>0</v>
      </c>
      <c r="G41" s="982">
        <v>2959.9676484109586</v>
      </c>
      <c r="H41" s="982">
        <f t="shared" si="11"/>
        <v>2959.9676484109586</v>
      </c>
      <c r="I41" s="982">
        <v>686.00981178082191</v>
      </c>
      <c r="J41" s="982">
        <f t="shared" si="18"/>
        <v>3645.9774601917807</v>
      </c>
      <c r="K41" s="982"/>
      <c r="L41" s="982"/>
      <c r="M41" s="982">
        <f t="shared" si="17"/>
        <v>3645.9774601917807</v>
      </c>
      <c r="N41" s="1161">
        <f>'6.  Carrying Charges'!$AI$117-M41</f>
        <v>-3645.9774601917807</v>
      </c>
      <c r="O41" s="982">
        <f t="shared" si="19"/>
        <v>0</v>
      </c>
    </row>
    <row r="42" spans="1:15" outlineLevel="1">
      <c r="E42" s="965"/>
      <c r="F42" s="965"/>
      <c r="G42" s="965"/>
      <c r="H42" s="965"/>
      <c r="I42" s="965"/>
      <c r="J42" s="965"/>
      <c r="N42" s="999"/>
    </row>
    <row r="43" spans="1:15">
      <c r="A43" s="979" t="s">
        <v>969</v>
      </c>
      <c r="E43" s="980">
        <f>SUM(E38:E41)</f>
        <v>18426.032608153422</v>
      </c>
      <c r="F43" s="980">
        <f t="shared" ref="F43:O43" si="20">SUM(F38:F41)</f>
        <v>2386.8906090684932</v>
      </c>
      <c r="G43" s="980">
        <f t="shared" si="20"/>
        <v>29435.247013011096</v>
      </c>
      <c r="H43" s="980">
        <f t="shared" si="20"/>
        <v>50248.170230233009</v>
      </c>
      <c r="I43" s="980">
        <f t="shared" si="20"/>
        <v>4671.356252896051</v>
      </c>
      <c r="J43" s="980">
        <f t="shared" si="20"/>
        <v>54919.526483129062</v>
      </c>
      <c r="K43" s="980">
        <f t="shared" si="20"/>
        <v>0</v>
      </c>
      <c r="L43" s="980">
        <f t="shared" si="20"/>
        <v>0</v>
      </c>
      <c r="M43" s="980">
        <f t="shared" si="20"/>
        <v>54919.526483129062</v>
      </c>
      <c r="N43" s="1000">
        <f t="shared" si="20"/>
        <v>-9257.8890989598985</v>
      </c>
      <c r="O43" s="1000">
        <f t="shared" si="20"/>
        <v>45661.637384169167</v>
      </c>
    </row>
    <row r="44" spans="1:15">
      <c r="E44" s="965"/>
      <c r="F44" s="965"/>
      <c r="G44" s="965"/>
      <c r="H44" s="965"/>
      <c r="I44" s="965"/>
      <c r="J44" s="965"/>
    </row>
    <row r="45" spans="1:15" ht="15" thickBot="1">
      <c r="A45" s="971" t="s">
        <v>970</v>
      </c>
      <c r="B45" s="971"/>
      <c r="C45" s="971"/>
      <c r="D45" s="971"/>
      <c r="E45" s="972">
        <f>E36+E43</f>
        <v>28522.875617980837</v>
      </c>
      <c r="F45" s="972">
        <f t="shared" ref="F45:O45" si="21">F36+F43</f>
        <v>2013.0873433150687</v>
      </c>
      <c r="G45" s="972">
        <f t="shared" si="21"/>
        <v>28191.227904243973</v>
      </c>
      <c r="H45" s="972">
        <f t="shared" si="21"/>
        <v>58727.190865539873</v>
      </c>
      <c r="I45" s="972">
        <f t="shared" si="21"/>
        <v>4706.8478174165994</v>
      </c>
      <c r="J45" s="972">
        <f t="shared" si="21"/>
        <v>63434.038682956481</v>
      </c>
      <c r="K45" s="972">
        <f t="shared" si="21"/>
        <v>-7098.4821664356314</v>
      </c>
      <c r="L45" s="972">
        <f t="shared" si="21"/>
        <v>-1416.0300333917876</v>
      </c>
      <c r="M45" s="972">
        <f t="shared" si="21"/>
        <v>54919.526483129062</v>
      </c>
      <c r="N45" s="972">
        <f t="shared" si="21"/>
        <v>-9257.8890989598985</v>
      </c>
      <c r="O45" s="972">
        <f t="shared" si="21"/>
        <v>45661.637384169167</v>
      </c>
    </row>
    <row r="46" spans="1:15" ht="15" thickTop="1">
      <c r="A46" s="968" t="s">
        <v>946</v>
      </c>
      <c r="E46" s="969">
        <f>E45-E10</f>
        <v>-4.3820191640406847E-3</v>
      </c>
      <c r="F46" s="969">
        <f t="shared" ref="F46:H46" si="22">F45-F10</f>
        <v>-2.6566849314804131E-3</v>
      </c>
      <c r="G46" s="969">
        <f t="shared" si="22"/>
        <v>-2.0957560300303157E-3</v>
      </c>
      <c r="H46" s="969">
        <f t="shared" si="22"/>
        <v>-9.1344601314631291E-3</v>
      </c>
      <c r="I46" s="965"/>
      <c r="J46" s="965"/>
    </row>
    <row r="47" spans="1:15">
      <c r="E47" s="965"/>
      <c r="F47" s="965"/>
      <c r="G47" s="965"/>
      <c r="H47" s="965"/>
      <c r="I47" s="965"/>
      <c r="J47" s="965"/>
    </row>
    <row r="48" spans="1:15">
      <c r="A48" t="s">
        <v>993</v>
      </c>
      <c r="E48" s="965">
        <f>E45+E30</f>
        <v>2183293.7916762736</v>
      </c>
      <c r="F48" s="965">
        <f t="shared" ref="F48:O48" si="23">F45+F30</f>
        <v>67517.737343315064</v>
      </c>
      <c r="G48" s="965">
        <f t="shared" si="23"/>
        <v>1502538.1417614976</v>
      </c>
      <c r="H48" s="965">
        <f t="shared" si="23"/>
        <v>3753349.6707810862</v>
      </c>
      <c r="I48" s="965">
        <f t="shared" si="23"/>
        <v>4706.8478174165994</v>
      </c>
      <c r="J48" s="965">
        <f t="shared" si="23"/>
        <v>63434.038682956481</v>
      </c>
      <c r="K48" s="965">
        <f t="shared" si="23"/>
        <v>-7098.4821664356314</v>
      </c>
      <c r="L48" s="965">
        <f t="shared" si="23"/>
        <v>-1416.0300333917876</v>
      </c>
      <c r="M48" s="965">
        <f t="shared" si="23"/>
        <v>54919.526483129062</v>
      </c>
      <c r="N48" s="965">
        <f t="shared" si="23"/>
        <v>-1229657.1539341696</v>
      </c>
      <c r="O48" s="965">
        <f t="shared" si="23"/>
        <v>2492025.8824645062</v>
      </c>
    </row>
    <row r="49" spans="1:11">
      <c r="E49" s="965"/>
      <c r="F49" s="965"/>
      <c r="G49" s="965"/>
      <c r="H49" s="965"/>
      <c r="I49" s="965"/>
      <c r="J49" s="965"/>
    </row>
    <row r="50" spans="1:11">
      <c r="A50" t="s">
        <v>960</v>
      </c>
    </row>
    <row r="51" spans="1:11" ht="28.8">
      <c r="A51" s="910"/>
      <c r="B51" s="963" t="s">
        <v>925</v>
      </c>
      <c r="C51" s="963" t="s">
        <v>926</v>
      </c>
      <c r="D51" s="963" t="s">
        <v>927</v>
      </c>
      <c r="E51" s="963" t="s">
        <v>928</v>
      </c>
      <c r="F51" s="963" t="s">
        <v>929</v>
      </c>
      <c r="G51" s="963" t="s">
        <v>930</v>
      </c>
      <c r="H51" s="963" t="s">
        <v>931</v>
      </c>
      <c r="I51" s="963" t="s">
        <v>980</v>
      </c>
      <c r="J51" s="964">
        <v>43070</v>
      </c>
      <c r="K51" s="963" t="s">
        <v>932</v>
      </c>
    </row>
    <row r="52" spans="1:11">
      <c r="B52" s="962" t="s">
        <v>366</v>
      </c>
      <c r="C52" s="962" t="s">
        <v>367</v>
      </c>
      <c r="D52" s="962" t="s">
        <v>368</v>
      </c>
      <c r="E52" s="962" t="s">
        <v>933</v>
      </c>
      <c r="F52" s="962" t="s">
        <v>934</v>
      </c>
      <c r="G52" s="962" t="s">
        <v>935</v>
      </c>
      <c r="H52" s="962" t="s">
        <v>936</v>
      </c>
      <c r="I52" s="962" t="s">
        <v>978</v>
      </c>
      <c r="J52" s="962" t="s">
        <v>979</v>
      </c>
      <c r="K52" s="962" t="s">
        <v>981</v>
      </c>
    </row>
    <row r="53" spans="1:11">
      <c r="A53" t="s">
        <v>940</v>
      </c>
      <c r="B53" s="965">
        <f>B3</f>
        <v>2446364.9387570368</v>
      </c>
      <c r="C53" s="965">
        <v>3427497.1400453555</v>
      </c>
      <c r="D53" s="965">
        <f>B53-C53</f>
        <v>-981132.20128831873</v>
      </c>
      <c r="E53" s="965">
        <f>E28</f>
        <v>2554882.9160582926</v>
      </c>
      <c r="F53" s="965">
        <f>F28</f>
        <v>13075.109999999997</v>
      </c>
      <c r="G53" s="965">
        <f>G28</f>
        <v>1098805.4838572536</v>
      </c>
      <c r="H53" s="965">
        <f>E53+F53+G53</f>
        <v>3666763.509915546</v>
      </c>
      <c r="I53" s="965"/>
      <c r="J53" s="965">
        <f>B53-H53</f>
        <v>-1220398.5711585092</v>
      </c>
      <c r="K53" s="965">
        <f>G53+J53</f>
        <v>-121593.08730125567</v>
      </c>
    </row>
    <row r="54" spans="1:11">
      <c r="A54" t="s">
        <v>799</v>
      </c>
      <c r="B54" s="965">
        <f>B4</f>
        <v>89512.728911389029</v>
      </c>
      <c r="C54" s="965">
        <v>69259.180002138339</v>
      </c>
      <c r="D54" s="965">
        <f>B54-C54</f>
        <v>20253.54890925069</v>
      </c>
      <c r="E54" s="965">
        <f>E43</f>
        <v>18426.032608153422</v>
      </c>
      <c r="F54" s="965">
        <f>F43</f>
        <v>2386.8906090684932</v>
      </c>
      <c r="G54" s="965">
        <f>G43</f>
        <v>29435.247013011096</v>
      </c>
      <c r="H54" s="965">
        <f>E54+F54+G54</f>
        <v>50248.170230233009</v>
      </c>
      <c r="I54" s="965">
        <f>I43</f>
        <v>4671.356252896051</v>
      </c>
      <c r="J54" s="965">
        <f>B54-H54-I54</f>
        <v>34593.202428259967</v>
      </c>
      <c r="K54" s="965">
        <f>G54+J54+I54</f>
        <v>68699.805694167109</v>
      </c>
    </row>
    <row r="55" spans="1:11">
      <c r="A55" s="966" t="s">
        <v>26</v>
      </c>
      <c r="B55" s="967">
        <f t="shared" ref="B55:K55" si="24">B53+B54</f>
        <v>2535877.6676684259</v>
      </c>
      <c r="C55" s="967">
        <f t="shared" si="24"/>
        <v>3496756.320047494</v>
      </c>
      <c r="D55" s="967">
        <f t="shared" si="24"/>
        <v>-960878.65237906808</v>
      </c>
      <c r="E55" s="967">
        <f t="shared" si="24"/>
        <v>2573308.9486664459</v>
      </c>
      <c r="F55" s="967">
        <f t="shared" si="24"/>
        <v>15462.000609068491</v>
      </c>
      <c r="G55" s="967">
        <f t="shared" si="24"/>
        <v>1128240.7308702646</v>
      </c>
      <c r="H55" s="967">
        <f t="shared" si="24"/>
        <v>3717011.6801457792</v>
      </c>
      <c r="I55" s="967">
        <f t="shared" si="24"/>
        <v>4671.356252896051</v>
      </c>
      <c r="J55" s="967">
        <f t="shared" si="24"/>
        <v>-1185805.3687302493</v>
      </c>
      <c r="K55" s="967">
        <f t="shared" si="24"/>
        <v>-52893.28160708856</v>
      </c>
    </row>
    <row r="60" spans="1:11">
      <c r="E60" s="936"/>
    </row>
  </sheetData>
  <pageMargins left="0.7" right="0.7" top="0.75" bottom="0.75" header="0.3" footer="0.3"/>
  <pageSetup paperSize="3"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0"/>
  <sheetViews>
    <sheetView topLeftCell="A109" zoomScaleNormal="100" workbookViewId="0">
      <selection activeCell="J127" sqref="J127"/>
    </sheetView>
  </sheetViews>
  <sheetFormatPr defaultRowHeight="14.4" outlineLevelRow="1"/>
  <cols>
    <col min="2" max="2" width="48.5546875" customWidth="1"/>
    <col min="3" max="3" width="16.88671875" customWidth="1"/>
    <col min="4" max="4" width="16.6640625" customWidth="1"/>
    <col min="5" max="5" width="14.44140625" customWidth="1"/>
    <col min="6" max="6" width="13" customWidth="1"/>
    <col min="7" max="7" width="16.33203125" customWidth="1"/>
    <col min="8" max="8" width="15.5546875" customWidth="1"/>
    <col min="9" max="9" width="15.6640625" customWidth="1"/>
    <col min="10" max="10" width="15.33203125" customWidth="1"/>
    <col min="12" max="12" width="14.33203125" bestFit="1" customWidth="1"/>
  </cols>
  <sheetData>
    <row r="2" spans="2:10" ht="15" thickBot="1"/>
    <row r="3" spans="2:10" ht="28.8" thickBot="1">
      <c r="B3" s="927" t="s">
        <v>861</v>
      </c>
      <c r="C3" s="928" t="s">
        <v>29</v>
      </c>
      <c r="D3" s="928" t="s">
        <v>375</v>
      </c>
      <c r="E3" s="928" t="s">
        <v>859</v>
      </c>
      <c r="F3" s="928" t="s">
        <v>860</v>
      </c>
      <c r="G3" s="928" t="s">
        <v>32</v>
      </c>
      <c r="H3" s="928" t="s">
        <v>30</v>
      </c>
      <c r="I3" s="929" t="s">
        <v>31</v>
      </c>
      <c r="J3" s="958" t="s">
        <v>26</v>
      </c>
    </row>
    <row r="4" spans="2:10">
      <c r="B4" s="930" t="s">
        <v>863</v>
      </c>
      <c r="I4" s="943"/>
      <c r="J4" s="955"/>
    </row>
    <row r="5" spans="2:10">
      <c r="B5" s="931" t="s">
        <v>865</v>
      </c>
      <c r="C5" s="932">
        <f>'4.  2011-2014 LRAM'!Y137</f>
        <v>8945422.114113858</v>
      </c>
      <c r="D5" s="932">
        <f>'4.  2011-2014 LRAM'!Z137</f>
        <v>5627647.454626685</v>
      </c>
      <c r="E5" s="932">
        <f>'4.  2011-2014 LRAM'!AA137</f>
        <v>26933.953806629863</v>
      </c>
      <c r="F5" s="932">
        <f>'4.  2011-2014 LRAM'!AB137</f>
        <v>0</v>
      </c>
      <c r="G5" s="932">
        <f>'4.  2011-2014 LRAM'!AC137</f>
        <v>0</v>
      </c>
      <c r="H5" s="932">
        <f>'4.  2011-2014 LRAM'!AD137</f>
        <v>0</v>
      </c>
      <c r="I5" s="944">
        <f>'4.  2011-2014 LRAM'!AE137</f>
        <v>0</v>
      </c>
      <c r="J5" s="955"/>
    </row>
    <row r="6" spans="2:10">
      <c r="B6" s="931" t="s">
        <v>866</v>
      </c>
      <c r="C6" s="932">
        <f>'4.  2011-2014 LRAM'!Y266</f>
        <v>5866225.3246549768</v>
      </c>
      <c r="D6" s="932">
        <f>'4.  2011-2014 LRAM'!Z266</f>
        <v>10562874.443508809</v>
      </c>
      <c r="E6" s="932">
        <f>'4.  2011-2014 LRAM'!AA266</f>
        <v>59887.416868945533</v>
      </c>
      <c r="F6" s="932">
        <f>'4.  2011-2014 LRAM'!AB266</f>
        <v>0</v>
      </c>
      <c r="G6" s="932">
        <f>'4.  2011-2014 LRAM'!AC266</f>
        <v>0</v>
      </c>
      <c r="H6" s="932">
        <f>'4.  2011-2014 LRAM'!AD266</f>
        <v>0</v>
      </c>
      <c r="I6" s="944">
        <f>'4.  2011-2014 LRAM'!AE266</f>
        <v>0</v>
      </c>
      <c r="J6" s="955"/>
    </row>
    <row r="7" spans="2:10">
      <c r="B7" s="931" t="s">
        <v>867</v>
      </c>
      <c r="C7" s="932">
        <f>'4.  2011-2014 LRAM'!Y395</f>
        <v>5752822.1570576895</v>
      </c>
      <c r="D7" s="932">
        <f>'4.  2011-2014 LRAM'!Z395</f>
        <v>9494260.1183987111</v>
      </c>
      <c r="E7" s="932">
        <f>'4.  2011-2014 LRAM'!AA395</f>
        <v>86245.757401589071</v>
      </c>
      <c r="F7" s="932">
        <f>'4.  2011-2014 LRAM'!AB395</f>
        <v>0</v>
      </c>
      <c r="G7" s="932">
        <f>'4.  2011-2014 LRAM'!AC395</f>
        <v>0</v>
      </c>
      <c r="H7" s="932">
        <f>'4.  2011-2014 LRAM'!AD395</f>
        <v>0</v>
      </c>
      <c r="I7" s="944">
        <f>'4.  2011-2014 LRAM'!AE395</f>
        <v>0</v>
      </c>
      <c r="J7" s="955"/>
    </row>
    <row r="8" spans="2:10">
      <c r="B8" s="931" t="s">
        <v>864</v>
      </c>
      <c r="C8" s="932">
        <f>'4.  2011-2014 LRAM'!Y513</f>
        <v>15843307.027999999</v>
      </c>
      <c r="D8" s="932">
        <f>'4.  2011-2014 LRAM'!Z513</f>
        <v>20665640.581599999</v>
      </c>
      <c r="E8" s="932">
        <f>'4.  2011-2014 LRAM'!AA513</f>
        <v>110223.43895999998</v>
      </c>
      <c r="F8" s="932">
        <f>'4.  2011-2014 LRAM'!AB513</f>
        <v>0</v>
      </c>
      <c r="G8" s="932">
        <f>'4.  2011-2014 LRAM'!AC513</f>
        <v>0</v>
      </c>
      <c r="H8" s="932">
        <f>'4.  2011-2014 LRAM'!AD513</f>
        <v>0</v>
      </c>
      <c r="I8" s="944">
        <f>'8. SL Adjustment'!N28</f>
        <v>5290.9388451778832</v>
      </c>
      <c r="J8" s="955"/>
    </row>
    <row r="9" spans="2:10">
      <c r="B9" s="931" t="str">
        <f>"Total "&amp;B4</f>
        <v>Total 2014 Actual Savings:</v>
      </c>
      <c r="C9" s="934">
        <f>SUM(C5:C8)</f>
        <v>36407776.623826519</v>
      </c>
      <c r="D9" s="935">
        <f t="shared" ref="D9:I9" si="0">SUM(D5:D8)</f>
        <v>46350422.598134205</v>
      </c>
      <c r="E9" s="935">
        <f t="shared" si="0"/>
        <v>283290.56703716447</v>
      </c>
      <c r="F9" s="935">
        <f t="shared" si="0"/>
        <v>0</v>
      </c>
      <c r="G9" s="935">
        <f t="shared" si="0"/>
        <v>0</v>
      </c>
      <c r="H9" s="935">
        <f t="shared" si="0"/>
        <v>0</v>
      </c>
      <c r="I9" s="945">
        <f t="shared" si="0"/>
        <v>5290.9388451778832</v>
      </c>
      <c r="J9" s="955"/>
    </row>
    <row r="10" spans="2:10">
      <c r="B10" s="949" t="s">
        <v>264</v>
      </c>
      <c r="C10" s="935">
        <f>'4.  2011-2014 LRAM'!Y514</f>
        <v>44207932.239504516</v>
      </c>
      <c r="D10" s="935">
        <f>'4.  2011-2014 LRAM'!Z514</f>
        <v>16984563.401464928</v>
      </c>
      <c r="E10" s="935">
        <f>'4.  2011-2014 LRAM'!AA514</f>
        <v>195431.32820848396</v>
      </c>
      <c r="F10" s="935">
        <f>'4.  2011-2014 LRAM'!AB514</f>
        <v>3731.8842953141025</v>
      </c>
      <c r="G10" s="935">
        <f>'4.  2011-2014 LRAM'!AC514</f>
        <v>208626.88711522953</v>
      </c>
      <c r="H10" s="935">
        <f>'4.  2011-2014 LRAM'!AD514</f>
        <v>20.087748436240176</v>
      </c>
      <c r="I10" s="945">
        <f>'4.  2011-2014 LRAM'!AE514</f>
        <v>2867.796624253795</v>
      </c>
      <c r="J10" s="955"/>
    </row>
    <row r="11" spans="2:10">
      <c r="B11" s="933" t="s">
        <v>868</v>
      </c>
      <c r="C11" s="932">
        <f>C9-C10</f>
        <v>-7800155.6156779975</v>
      </c>
      <c r="D11" s="932">
        <f t="shared" ref="D11:I11" si="1">D9-D10</f>
        <v>29365859.196669277</v>
      </c>
      <c r="E11" s="932">
        <f t="shared" si="1"/>
        <v>87859.238828680507</v>
      </c>
      <c r="F11" s="932">
        <f t="shared" si="1"/>
        <v>-3731.8842953141025</v>
      </c>
      <c r="G11" s="932">
        <f t="shared" si="1"/>
        <v>-208626.88711522953</v>
      </c>
      <c r="H11" s="932">
        <f t="shared" si="1"/>
        <v>-20.087748436240176</v>
      </c>
      <c r="I11" s="944">
        <f t="shared" si="1"/>
        <v>2423.1422209240882</v>
      </c>
      <c r="J11" s="955"/>
    </row>
    <row r="12" spans="2:10">
      <c r="B12" s="933" t="s">
        <v>870</v>
      </c>
      <c r="C12">
        <f>'4.  2011-2014 LRAM'!Y516</f>
        <v>0</v>
      </c>
      <c r="D12">
        <f>'4.  2011-2014 LRAM'!Z516</f>
        <v>0</v>
      </c>
      <c r="E12">
        <f>'4.  2011-2014 LRAM'!AA516</f>
        <v>0</v>
      </c>
      <c r="F12">
        <f>'4.  2011-2014 LRAM'!AB516</f>
        <v>0</v>
      </c>
      <c r="G12">
        <f>'4.  2011-2014 LRAM'!AC516</f>
        <v>0</v>
      </c>
      <c r="H12">
        <f>'4.  2011-2014 LRAM'!AD516</f>
        <v>0</v>
      </c>
      <c r="I12" s="946">
        <f>'4.  2011-2014 LRAM'!AE516</f>
        <v>0</v>
      </c>
      <c r="J12" s="955"/>
    </row>
    <row r="13" spans="2:10">
      <c r="B13" s="947" t="s">
        <v>869</v>
      </c>
      <c r="C13" s="939">
        <f>'1.  LRAMVA Summary'!D62</f>
        <v>0</v>
      </c>
      <c r="D13" s="939">
        <f>'1.  LRAMVA Summary'!E62</f>
        <v>0</v>
      </c>
      <c r="E13" s="939">
        <f>'1.  LRAMVA Summary'!F62</f>
        <v>0</v>
      </c>
      <c r="F13" s="939">
        <f>'1.  LRAMVA Summary'!G62</f>
        <v>0</v>
      </c>
      <c r="G13" s="939">
        <f>'1.  LRAMVA Summary'!H62</f>
        <v>0</v>
      </c>
      <c r="H13" s="939">
        <f>'1.  LRAMVA Summary'!I62</f>
        <v>0</v>
      </c>
      <c r="I13" s="940">
        <f>'1.  LRAMVA Summary'!J62</f>
        <v>0</v>
      </c>
      <c r="J13" s="956">
        <f t="shared" ref="J13:J14" si="2">SUM(C13:I13)</f>
        <v>0</v>
      </c>
    </row>
    <row r="14" spans="2:10">
      <c r="B14" s="933" t="s">
        <v>266</v>
      </c>
      <c r="C14" s="939">
        <f>'1.  LRAMVA Summary'!D63</f>
        <v>0</v>
      </c>
      <c r="D14" s="939">
        <f>'1.  LRAMVA Summary'!E63</f>
        <v>0</v>
      </c>
      <c r="E14" s="939">
        <f>'1.  LRAMVA Summary'!F63</f>
        <v>0</v>
      </c>
      <c r="F14" s="939">
        <f>'1.  LRAMVA Summary'!G63</f>
        <v>0</v>
      </c>
      <c r="G14" s="939">
        <f>'1.  LRAMVA Summary'!H63</f>
        <v>0</v>
      </c>
      <c r="H14" s="939">
        <f>'1.  LRAMVA Summary'!I63</f>
        <v>0</v>
      </c>
      <c r="I14" s="940">
        <f>'1.  LRAMVA Summary'!J63</f>
        <v>0</v>
      </c>
      <c r="J14" s="956">
        <f t="shared" si="2"/>
        <v>0</v>
      </c>
    </row>
    <row r="15" spans="2:10">
      <c r="B15" s="952" t="s">
        <v>871</v>
      </c>
      <c r="C15" s="953">
        <f>C13+C14</f>
        <v>0</v>
      </c>
      <c r="D15" s="953">
        <f t="shared" ref="D15:I15" si="3">D13+D14</f>
        <v>0</v>
      </c>
      <c r="E15" s="953">
        <f t="shared" si="3"/>
        <v>0</v>
      </c>
      <c r="F15" s="953">
        <f t="shared" si="3"/>
        <v>0</v>
      </c>
      <c r="G15" s="953">
        <f t="shared" si="3"/>
        <v>0</v>
      </c>
      <c r="H15" s="953">
        <f t="shared" si="3"/>
        <v>0</v>
      </c>
      <c r="I15" s="954">
        <f t="shared" si="3"/>
        <v>0</v>
      </c>
      <c r="J15" s="960">
        <f>SUM(C15:I15)</f>
        <v>0</v>
      </c>
    </row>
    <row r="16" spans="2:10">
      <c r="B16" s="949" t="s">
        <v>872</v>
      </c>
      <c r="C16" s="950">
        <v>-230942.8257561152</v>
      </c>
      <c r="D16" s="950">
        <v>286253.24125200626</v>
      </c>
      <c r="E16" s="950">
        <v>127538.40537078258</v>
      </c>
      <c r="F16" s="950">
        <v>-5216.0546795605196</v>
      </c>
      <c r="G16" s="950">
        <v>-3275.4421277091028</v>
      </c>
      <c r="H16" s="950">
        <v>-158.98046744893557</v>
      </c>
      <c r="I16" s="951">
        <v>26942.95876355196</v>
      </c>
      <c r="J16" s="959">
        <f t="shared" ref="J16:J17" si="4">SUM(C16:I16)</f>
        <v>201141.30235550704</v>
      </c>
    </row>
    <row r="17" spans="2:11" ht="15" thickBot="1">
      <c r="B17" s="948" t="s">
        <v>873</v>
      </c>
      <c r="C17" s="941">
        <f>C15-C16</f>
        <v>230942.8257561152</v>
      </c>
      <c r="D17" s="941">
        <f t="shared" ref="D17:I17" si="5">D15-D16</f>
        <v>-286253.24125200626</v>
      </c>
      <c r="E17" s="941">
        <f t="shared" si="5"/>
        <v>-127538.40537078258</v>
      </c>
      <c r="F17" s="941">
        <f t="shared" si="5"/>
        <v>5216.0546795605196</v>
      </c>
      <c r="G17" s="941">
        <f t="shared" si="5"/>
        <v>3275.4421277091028</v>
      </c>
      <c r="H17" s="941">
        <f t="shared" si="5"/>
        <v>158.98046744893557</v>
      </c>
      <c r="I17" s="942">
        <f t="shared" si="5"/>
        <v>-26942.95876355196</v>
      </c>
      <c r="J17" s="957">
        <f t="shared" si="4"/>
        <v>-201141.30235550704</v>
      </c>
    </row>
    <row r="18" spans="2:11">
      <c r="C18" s="936"/>
      <c r="D18" s="936"/>
      <c r="E18" s="936"/>
      <c r="F18" s="936"/>
      <c r="G18" s="936"/>
      <c r="H18" s="936"/>
      <c r="I18" s="936"/>
    </row>
    <row r="19" spans="2:11" hidden="1" outlineLevel="1">
      <c r="B19" s="937" t="s">
        <v>874</v>
      </c>
      <c r="C19" s="938">
        <f>C9*C12</f>
        <v>0</v>
      </c>
      <c r="D19" s="938">
        <f t="shared" ref="D19:I19" si="6">D9*D12</f>
        <v>0</v>
      </c>
      <c r="E19" s="938">
        <f t="shared" si="6"/>
        <v>0</v>
      </c>
      <c r="F19" s="938">
        <f t="shared" si="6"/>
        <v>0</v>
      </c>
      <c r="G19" s="938">
        <f t="shared" si="6"/>
        <v>0</v>
      </c>
      <c r="H19" s="938">
        <f t="shared" si="6"/>
        <v>0</v>
      </c>
      <c r="I19" s="938">
        <f t="shared" si="6"/>
        <v>0</v>
      </c>
    </row>
    <row r="20" spans="2:11" hidden="1" outlineLevel="1">
      <c r="B20" s="937" t="s">
        <v>875</v>
      </c>
      <c r="C20" s="938">
        <f>C13-C19</f>
        <v>0</v>
      </c>
      <c r="D20" s="938">
        <f t="shared" ref="D20:I20" si="7">D13-D19</f>
        <v>0</v>
      </c>
      <c r="E20" s="938">
        <f t="shared" si="7"/>
        <v>0</v>
      </c>
      <c r="F20" s="938">
        <f t="shared" si="7"/>
        <v>0</v>
      </c>
      <c r="G20" s="938">
        <f t="shared" si="7"/>
        <v>0</v>
      </c>
      <c r="H20" s="938">
        <f t="shared" si="7"/>
        <v>0</v>
      </c>
      <c r="I20" s="938">
        <f t="shared" si="7"/>
        <v>0</v>
      </c>
      <c r="K20" t="s">
        <v>918</v>
      </c>
    </row>
    <row r="21" spans="2:11" hidden="1" outlineLevel="1">
      <c r="B21" s="937" t="s">
        <v>876</v>
      </c>
      <c r="C21" s="938">
        <f>-C10*C12</f>
        <v>0</v>
      </c>
      <c r="D21" s="938">
        <f t="shared" ref="D21:I21" si="8">-D10*D12</f>
        <v>0</v>
      </c>
      <c r="E21" s="938">
        <f t="shared" si="8"/>
        <v>0</v>
      </c>
      <c r="F21" s="938">
        <f t="shared" si="8"/>
        <v>0</v>
      </c>
      <c r="G21" s="938">
        <f t="shared" si="8"/>
        <v>0</v>
      </c>
      <c r="H21" s="938">
        <f t="shared" si="8"/>
        <v>0</v>
      </c>
      <c r="I21" s="938">
        <f t="shared" si="8"/>
        <v>0</v>
      </c>
    </row>
    <row r="22" spans="2:11" hidden="1" outlineLevel="1">
      <c r="B22" s="937" t="s">
        <v>877</v>
      </c>
      <c r="C22" s="938">
        <f>C14-C21</f>
        <v>0</v>
      </c>
      <c r="D22" s="938">
        <f t="shared" ref="D22:I22" si="9">D14-D21</f>
        <v>0</v>
      </c>
      <c r="E22" s="938">
        <f t="shared" si="9"/>
        <v>0</v>
      </c>
      <c r="F22" s="938">
        <f t="shared" si="9"/>
        <v>0</v>
      </c>
      <c r="G22" s="938">
        <f t="shared" si="9"/>
        <v>0</v>
      </c>
      <c r="H22" s="938">
        <f t="shared" si="9"/>
        <v>0</v>
      </c>
      <c r="I22" s="938">
        <f t="shared" si="9"/>
        <v>0</v>
      </c>
    </row>
    <row r="23" spans="2:11" collapsed="1"/>
    <row r="24" spans="2:11" ht="15" thickBot="1"/>
    <row r="25" spans="2:11" ht="28.8" thickBot="1">
      <c r="B25" s="927" t="s">
        <v>878</v>
      </c>
      <c r="C25" s="928" t="s">
        <v>29</v>
      </c>
      <c r="D25" s="928" t="s">
        <v>375</v>
      </c>
      <c r="E25" s="928" t="s">
        <v>859</v>
      </c>
      <c r="F25" s="928" t="s">
        <v>860</v>
      </c>
      <c r="G25" s="928" t="s">
        <v>32</v>
      </c>
      <c r="H25" s="928" t="s">
        <v>30</v>
      </c>
      <c r="I25" s="929" t="s">
        <v>31</v>
      </c>
      <c r="J25" s="958" t="s">
        <v>26</v>
      </c>
    </row>
    <row r="26" spans="2:11">
      <c r="B26" s="930" t="s">
        <v>862</v>
      </c>
      <c r="I26" s="943"/>
      <c r="J26" s="961"/>
    </row>
    <row r="27" spans="2:11">
      <c r="B27" s="931" t="s">
        <v>879</v>
      </c>
      <c r="C27" s="932">
        <f>'4.  2011-2014 LRAM'!Y138</f>
        <v>8346549.2249926114</v>
      </c>
      <c r="D27" s="932">
        <f>'4.  2011-2014 LRAM'!Z138</f>
        <v>5396437.9501500083</v>
      </c>
      <c r="E27" s="932">
        <f>'4.  2011-2014 LRAM'!AA138</f>
        <v>25024.127973137234</v>
      </c>
      <c r="F27" s="932">
        <f>'4.  2011-2014 LRAM'!AB138</f>
        <v>0</v>
      </c>
      <c r="G27" s="932">
        <f>'4.  2011-2014 LRAM'!AC138</f>
        <v>0</v>
      </c>
      <c r="H27" s="932">
        <f>'4.  2011-2014 LRAM'!AD138</f>
        <v>0</v>
      </c>
      <c r="I27" s="944">
        <f>'4.  2011-2014 LRAM'!AE138</f>
        <v>0</v>
      </c>
      <c r="J27" s="955"/>
    </row>
    <row r="28" spans="2:11">
      <c r="B28" s="931" t="s">
        <v>880</v>
      </c>
      <c r="C28" s="932">
        <f>'4.  2011-2014 LRAM'!Y267</f>
        <v>5863821.2912506517</v>
      </c>
      <c r="D28" s="932">
        <f>'4.  2011-2014 LRAM'!Z267</f>
        <v>9278551.3799933866</v>
      </c>
      <c r="E28" s="932">
        <f>'4.  2011-2014 LRAM'!AA267</f>
        <v>59182.624806380096</v>
      </c>
      <c r="F28" s="932">
        <f>'4.  2011-2014 LRAM'!AB267</f>
        <v>0</v>
      </c>
      <c r="G28" s="932">
        <f>'4.  2011-2014 LRAM'!AC267</f>
        <v>0</v>
      </c>
      <c r="H28" s="932">
        <f>'4.  2011-2014 LRAM'!AD267</f>
        <v>0</v>
      </c>
      <c r="I28" s="944">
        <f>'4.  2011-2014 LRAM'!AE267</f>
        <v>0</v>
      </c>
      <c r="J28" s="955"/>
    </row>
    <row r="29" spans="2:11">
      <c r="B29" s="931" t="s">
        <v>881</v>
      </c>
      <c r="C29" s="932">
        <f>'4.  2011-2014 LRAM'!Y396</f>
        <v>5661201.5908975834</v>
      </c>
      <c r="D29" s="932">
        <f>'4.  2011-2014 LRAM'!Z396</f>
        <v>9046628.0035732612</v>
      </c>
      <c r="E29" s="932">
        <f>'4.  2011-2014 LRAM'!AA396</f>
        <v>86114.211611656327</v>
      </c>
      <c r="F29" s="932">
        <f>'4.  2011-2014 LRAM'!AB396</f>
        <v>0</v>
      </c>
      <c r="G29" s="932">
        <f>'4.  2011-2014 LRAM'!AC396</f>
        <v>0</v>
      </c>
      <c r="H29" s="932">
        <f>'4.  2011-2014 LRAM'!AD396</f>
        <v>0</v>
      </c>
      <c r="I29" s="944">
        <f>'4.  2011-2014 LRAM'!AE396</f>
        <v>0</v>
      </c>
      <c r="J29" s="955"/>
    </row>
    <row r="30" spans="2:11">
      <c r="B30" s="931" t="s">
        <v>888</v>
      </c>
      <c r="C30" s="932">
        <f>'4.  2011-2014 LRAM'!Y526</f>
        <v>13845909.7179083</v>
      </c>
      <c r="D30" s="932">
        <f>'4.  2011-2014 LRAM'!Z526</f>
        <v>18513634.736704044</v>
      </c>
      <c r="E30" s="932">
        <f>'4.  2011-2014 LRAM'!AA526</f>
        <v>109168.07800292304</v>
      </c>
      <c r="F30" s="932">
        <f>'4.  2011-2014 LRAM'!AB526</f>
        <v>0</v>
      </c>
      <c r="G30" s="932">
        <f>'4.  2011-2014 LRAM'!AC526</f>
        <v>0</v>
      </c>
      <c r="H30" s="932">
        <f>'4.  2011-2014 LRAM'!AD526</f>
        <v>0</v>
      </c>
      <c r="I30" s="944">
        <f>'8. SL Adjustment'!N28</f>
        <v>5290.9388451778832</v>
      </c>
      <c r="J30" s="955"/>
    </row>
    <row r="31" spans="2:11">
      <c r="B31" s="931" t="s">
        <v>882</v>
      </c>
      <c r="C31" s="932">
        <f>'5.  2015-2020 LRAM'!Y195</f>
        <v>18677311</v>
      </c>
      <c r="D31" s="932">
        <f>'5.  2015-2020 LRAM'!Z195</f>
        <v>11963081.439999999</v>
      </c>
      <c r="E31" s="932">
        <f>'5.  2015-2020 LRAM'!AA195</f>
        <v>111870.23999999999</v>
      </c>
      <c r="F31" s="932">
        <f>'5.  2015-2020 LRAM'!AB195</f>
        <v>0</v>
      </c>
      <c r="G31" s="932">
        <f>'5.  2015-2020 LRAM'!AC195</f>
        <v>0</v>
      </c>
      <c r="H31" s="932">
        <f>'5.  2015-2020 LRAM'!AD195</f>
        <v>0</v>
      </c>
      <c r="I31" s="944">
        <f>'8. SL Adjustment'!N48-'8. SL Adjustment'!N28</f>
        <v>7690.3602062281334</v>
      </c>
      <c r="J31" s="955"/>
    </row>
    <row r="32" spans="2:11">
      <c r="B32" s="931" t="str">
        <f>"Total "&amp;B26</f>
        <v>Total 2015 Actual Savings:</v>
      </c>
      <c r="C32" s="934">
        <f>SUM(C27:C31)</f>
        <v>52394792.825049147</v>
      </c>
      <c r="D32" s="935">
        <f t="shared" ref="D32:I32" si="10">SUM(D27:D31)</f>
        <v>54198333.510420695</v>
      </c>
      <c r="E32" s="935">
        <f t="shared" si="10"/>
        <v>391359.28239409666</v>
      </c>
      <c r="F32" s="935">
        <f t="shared" si="10"/>
        <v>0</v>
      </c>
      <c r="G32" s="935">
        <f t="shared" si="10"/>
        <v>0</v>
      </c>
      <c r="H32" s="935">
        <f t="shared" si="10"/>
        <v>0</v>
      </c>
      <c r="I32" s="945">
        <f t="shared" si="10"/>
        <v>12981.299051406017</v>
      </c>
      <c r="J32" s="955"/>
    </row>
    <row r="33" spans="2:11">
      <c r="B33" s="949" t="s">
        <v>275</v>
      </c>
      <c r="C33" s="935">
        <f>'5.  2015-2020 LRAM'!Y196</f>
        <v>44207932.239504516</v>
      </c>
      <c r="D33" s="935">
        <f>'5.  2015-2020 LRAM'!Z196</f>
        <v>16984563.401464928</v>
      </c>
      <c r="E33" s="935">
        <f>'5.  2015-2020 LRAM'!AA196</f>
        <v>195431.32820848396</v>
      </c>
      <c r="F33" s="935">
        <f>'5.  2015-2020 LRAM'!AB196</f>
        <v>3731.8842953141025</v>
      </c>
      <c r="G33" s="935">
        <f>'5.  2015-2020 LRAM'!AC196</f>
        <v>208626.88711522953</v>
      </c>
      <c r="H33" s="935">
        <f>'5.  2015-2020 LRAM'!AD196</f>
        <v>20.087748436240176</v>
      </c>
      <c r="I33" s="945">
        <f>'5.  2015-2020 LRAM'!AE196</f>
        <v>2867.796624253795</v>
      </c>
      <c r="J33" s="955"/>
    </row>
    <row r="34" spans="2:11">
      <c r="B34" s="933" t="s">
        <v>868</v>
      </c>
      <c r="C34" s="932">
        <f>C32-C33</f>
        <v>8186860.5855446309</v>
      </c>
      <c r="D34" s="932">
        <f t="shared" ref="D34" si="11">D32-D33</f>
        <v>37213770.108955771</v>
      </c>
      <c r="E34" s="932">
        <f t="shared" ref="E34" si="12">E32-E33</f>
        <v>195927.9541856127</v>
      </c>
      <c r="F34" s="932">
        <f t="shared" ref="F34" si="13">F32-F33</f>
        <v>-3731.8842953141025</v>
      </c>
      <c r="G34" s="932">
        <f t="shared" ref="G34" si="14">G32-G33</f>
        <v>-208626.88711522953</v>
      </c>
      <c r="H34" s="932">
        <f t="shared" ref="H34" si="15">H32-H33</f>
        <v>-20.087748436240176</v>
      </c>
      <c r="I34" s="944">
        <f t="shared" ref="I34" si="16">I32-I33</f>
        <v>10113.502427152222</v>
      </c>
      <c r="J34" s="955"/>
    </row>
    <row r="35" spans="2:11">
      <c r="B35" s="933" t="s">
        <v>883</v>
      </c>
      <c r="C35">
        <f>'5.  2015-2020 LRAM'!Y198</f>
        <v>0</v>
      </c>
      <c r="D35">
        <f>'5.  2015-2020 LRAM'!Z198</f>
        <v>0</v>
      </c>
      <c r="E35">
        <f>'5.  2015-2020 LRAM'!AA198</f>
        <v>0</v>
      </c>
      <c r="F35">
        <f>'5.  2015-2020 LRAM'!AB198</f>
        <v>0</v>
      </c>
      <c r="G35">
        <f>'5.  2015-2020 LRAM'!AC198</f>
        <v>0</v>
      </c>
      <c r="H35">
        <f>'5.  2015-2020 LRAM'!AD198</f>
        <v>0</v>
      </c>
      <c r="I35" s="946">
        <f>'5.  2015-2020 LRAM'!AE198</f>
        <v>0</v>
      </c>
      <c r="J35" s="955"/>
    </row>
    <row r="36" spans="2:11">
      <c r="B36" s="947" t="s">
        <v>884</v>
      </c>
      <c r="C36" s="939">
        <f>'1.  LRAMVA Summary'!D65</f>
        <v>0</v>
      </c>
      <c r="D36" s="939">
        <f>'1.  LRAMVA Summary'!E65</f>
        <v>0</v>
      </c>
      <c r="E36" s="939">
        <f>'1.  LRAMVA Summary'!F65</f>
        <v>0</v>
      </c>
      <c r="F36" s="939">
        <f>'1.  LRAMVA Summary'!G65</f>
        <v>0</v>
      </c>
      <c r="G36" s="939">
        <f>'1.  LRAMVA Summary'!H65</f>
        <v>0</v>
      </c>
      <c r="H36" s="939">
        <f>'1.  LRAMVA Summary'!I65</f>
        <v>0</v>
      </c>
      <c r="I36" s="940">
        <f>'1.  LRAMVA Summary'!J65</f>
        <v>0</v>
      </c>
      <c r="J36" s="956">
        <f t="shared" ref="J36:J37" si="17">SUM(C36:I36)</f>
        <v>0</v>
      </c>
    </row>
    <row r="37" spans="2:11">
      <c r="B37" s="933" t="s">
        <v>272</v>
      </c>
      <c r="C37" s="939">
        <f>'1.  LRAMVA Summary'!D66</f>
        <v>0</v>
      </c>
      <c r="D37" s="939">
        <f>'1.  LRAMVA Summary'!E66</f>
        <v>0</v>
      </c>
      <c r="E37" s="939">
        <f>'1.  LRAMVA Summary'!F66</f>
        <v>0</v>
      </c>
      <c r="F37" s="939">
        <f>'1.  LRAMVA Summary'!G66</f>
        <v>0</v>
      </c>
      <c r="G37" s="939">
        <f>'1.  LRAMVA Summary'!H66</f>
        <v>0</v>
      </c>
      <c r="H37" s="939">
        <f>'1.  LRAMVA Summary'!I66</f>
        <v>0</v>
      </c>
      <c r="I37" s="940">
        <f>'1.  LRAMVA Summary'!J66</f>
        <v>0</v>
      </c>
      <c r="J37" s="956">
        <f t="shared" si="17"/>
        <v>0</v>
      </c>
    </row>
    <row r="38" spans="2:11">
      <c r="B38" s="952" t="s">
        <v>871</v>
      </c>
      <c r="C38" s="953">
        <f>C36+C37</f>
        <v>0</v>
      </c>
      <c r="D38" s="953">
        <f t="shared" ref="D38" si="18">D36+D37</f>
        <v>0</v>
      </c>
      <c r="E38" s="953">
        <f t="shared" ref="E38" si="19">E36+E37</f>
        <v>0</v>
      </c>
      <c r="F38" s="953">
        <f t="shared" ref="F38" si="20">F36+F37</f>
        <v>0</v>
      </c>
      <c r="G38" s="953">
        <f t="shared" ref="G38" si="21">G36+G37</f>
        <v>0</v>
      </c>
      <c r="H38" s="953">
        <f t="shared" ref="H38" si="22">H36+H37</f>
        <v>0</v>
      </c>
      <c r="I38" s="954">
        <f t="shared" ref="I38" si="23">I36+I37</f>
        <v>0</v>
      </c>
      <c r="J38" s="960">
        <f>SUM(C38:I38)</f>
        <v>0</v>
      </c>
    </row>
    <row r="39" spans="2:11">
      <c r="B39" s="949" t="s">
        <v>885</v>
      </c>
      <c r="C39" s="950">
        <v>-5970.7016852374227</v>
      </c>
      <c r="D39" s="950">
        <v>448510.00017479755</v>
      </c>
      <c r="E39" s="950">
        <v>430581.15657260217</v>
      </c>
      <c r="F39" s="950">
        <v>-5283.9749737352358</v>
      </c>
      <c r="G39" s="950">
        <v>-3317.1693</v>
      </c>
      <c r="H39" s="950">
        <v>-160.34400000000002</v>
      </c>
      <c r="I39" s="951">
        <v>94702.393688640703</v>
      </c>
      <c r="J39" s="959">
        <f t="shared" ref="J39:J40" si="24">SUM(C39:I39)</f>
        <v>959061.36047706776</v>
      </c>
    </row>
    <row r="40" spans="2:11" ht="15" thickBot="1">
      <c r="B40" s="948" t="s">
        <v>873</v>
      </c>
      <c r="C40" s="941">
        <f>C38-C39</f>
        <v>5970.7016852374227</v>
      </c>
      <c r="D40" s="941">
        <f t="shared" ref="D40" si="25">D38-D39</f>
        <v>-448510.00017479755</v>
      </c>
      <c r="E40" s="941">
        <f t="shared" ref="E40" si="26">E38-E39</f>
        <v>-430581.15657260217</v>
      </c>
      <c r="F40" s="941">
        <f t="shared" ref="F40" si="27">F38-F39</f>
        <v>5283.9749737352358</v>
      </c>
      <c r="G40" s="941">
        <f t="shared" ref="G40:H40" si="28">G38-G39</f>
        <v>3317.1693</v>
      </c>
      <c r="H40" s="941">
        <f t="shared" si="28"/>
        <v>160.34400000000002</v>
      </c>
      <c r="I40" s="942">
        <f t="shared" ref="I40" si="29">I38-I39</f>
        <v>-94702.393688640703</v>
      </c>
      <c r="J40" s="957">
        <f t="shared" si="24"/>
        <v>-959061.36047706776</v>
      </c>
    </row>
    <row r="41" spans="2:11">
      <c r="C41" s="936"/>
      <c r="D41" s="936"/>
      <c r="E41" s="936"/>
      <c r="F41" s="936"/>
      <c r="G41" s="936"/>
      <c r="H41" s="936"/>
      <c r="I41" s="936"/>
    </row>
    <row r="42" spans="2:11" hidden="1" outlineLevel="1">
      <c r="B42" s="937" t="s">
        <v>886</v>
      </c>
      <c r="C42" s="938">
        <f>C32*C35</f>
        <v>0</v>
      </c>
      <c r="D42" s="938">
        <f t="shared" ref="D42:I42" si="30">D32*D35</f>
        <v>0</v>
      </c>
      <c r="E42" s="938">
        <f t="shared" si="30"/>
        <v>0</v>
      </c>
      <c r="F42" s="938">
        <f t="shared" si="30"/>
        <v>0</v>
      </c>
      <c r="G42" s="938">
        <f t="shared" si="30"/>
        <v>0</v>
      </c>
      <c r="H42" s="938">
        <f t="shared" si="30"/>
        <v>0</v>
      </c>
      <c r="I42" s="938">
        <f t="shared" si="30"/>
        <v>0</v>
      </c>
    </row>
    <row r="43" spans="2:11" hidden="1" outlineLevel="1">
      <c r="B43" s="937" t="s">
        <v>875</v>
      </c>
      <c r="C43" s="938">
        <f>C36-C42</f>
        <v>0</v>
      </c>
      <c r="D43" s="938">
        <f t="shared" ref="D43" si="31">D36-D42</f>
        <v>0</v>
      </c>
      <c r="E43" s="938">
        <f t="shared" ref="E43" si="32">E36-E42</f>
        <v>0</v>
      </c>
      <c r="F43" s="938">
        <f t="shared" ref="F43" si="33">F36-F42</f>
        <v>0</v>
      </c>
      <c r="G43" s="938">
        <f t="shared" ref="G43" si="34">G36-G42</f>
        <v>0</v>
      </c>
      <c r="H43" s="938">
        <f t="shared" ref="H43" si="35">H36-H42</f>
        <v>0</v>
      </c>
      <c r="I43" s="938">
        <f t="shared" ref="I43" si="36">I36-I42</f>
        <v>0</v>
      </c>
      <c r="K43" t="s">
        <v>918</v>
      </c>
    </row>
    <row r="44" spans="2:11" hidden="1" outlineLevel="1">
      <c r="B44" s="937" t="s">
        <v>887</v>
      </c>
      <c r="C44" s="938">
        <f>-C33*C35</f>
        <v>0</v>
      </c>
      <c r="D44" s="938">
        <f t="shared" ref="D44:I44" si="37">-D33*D35</f>
        <v>0</v>
      </c>
      <c r="E44" s="938">
        <f t="shared" si="37"/>
        <v>0</v>
      </c>
      <c r="F44" s="938">
        <f t="shared" si="37"/>
        <v>0</v>
      </c>
      <c r="G44" s="938">
        <f t="shared" si="37"/>
        <v>0</v>
      </c>
      <c r="H44" s="938">
        <f t="shared" si="37"/>
        <v>0</v>
      </c>
      <c r="I44" s="938">
        <f t="shared" si="37"/>
        <v>0</v>
      </c>
    </row>
    <row r="45" spans="2:11" hidden="1" outlineLevel="1">
      <c r="B45" s="937" t="s">
        <v>877</v>
      </c>
      <c r="C45" s="938">
        <f>C37-C44</f>
        <v>0</v>
      </c>
      <c r="D45" s="938">
        <f t="shared" ref="D45" si="38">D37-D44</f>
        <v>0</v>
      </c>
      <c r="E45" s="938">
        <f t="shared" ref="E45" si="39">E37-E44</f>
        <v>0</v>
      </c>
      <c r="F45" s="938">
        <f t="shared" ref="F45" si="40">F37-F44</f>
        <v>0</v>
      </c>
      <c r="G45" s="938">
        <f t="shared" ref="G45" si="41">G37-G44</f>
        <v>0</v>
      </c>
      <c r="H45" s="938">
        <f t="shared" ref="H45" si="42">H37-H44</f>
        <v>0</v>
      </c>
      <c r="I45" s="938">
        <f t="shared" ref="I45" si="43">I37-I44</f>
        <v>0</v>
      </c>
    </row>
    <row r="46" spans="2:11" collapsed="1"/>
    <row r="47" spans="2:11" ht="15" thickBot="1">
      <c r="C47" s="936"/>
      <c r="D47" s="936"/>
      <c r="E47" s="936"/>
      <c r="F47" s="936"/>
      <c r="G47" s="936"/>
      <c r="H47" s="936"/>
      <c r="I47" s="936"/>
    </row>
    <row r="48" spans="2:11" ht="28.8" thickBot="1">
      <c r="B48" s="927" t="s">
        <v>889</v>
      </c>
      <c r="C48" s="928" t="s">
        <v>29</v>
      </c>
      <c r="D48" s="928" t="s">
        <v>375</v>
      </c>
      <c r="E48" s="928" t="s">
        <v>859</v>
      </c>
      <c r="F48" s="928" t="s">
        <v>860</v>
      </c>
      <c r="G48" s="928" t="s">
        <v>32</v>
      </c>
      <c r="H48" s="928" t="s">
        <v>30</v>
      </c>
      <c r="I48" s="929" t="s">
        <v>31</v>
      </c>
      <c r="J48" s="958" t="s">
        <v>26</v>
      </c>
    </row>
    <row r="49" spans="2:10">
      <c r="B49" s="930" t="s">
        <v>890</v>
      </c>
      <c r="I49" s="943"/>
      <c r="J49" s="961"/>
    </row>
    <row r="50" spans="2:10">
      <c r="B50" s="931" t="s">
        <v>891</v>
      </c>
      <c r="C50" s="932"/>
      <c r="D50" s="932"/>
      <c r="E50" s="932"/>
      <c r="F50" s="932"/>
      <c r="G50" s="932"/>
      <c r="H50" s="932"/>
      <c r="I50" s="944"/>
      <c r="J50" s="955"/>
    </row>
    <row r="51" spans="2:10">
      <c r="B51" s="931" t="s">
        <v>892</v>
      </c>
      <c r="C51" s="932"/>
      <c r="D51" s="932"/>
      <c r="E51" s="932"/>
      <c r="F51" s="932"/>
      <c r="G51" s="932"/>
      <c r="H51" s="932"/>
      <c r="I51" s="944"/>
      <c r="J51" s="955"/>
    </row>
    <row r="52" spans="2:10">
      <c r="B52" s="931" t="s">
        <v>893</v>
      </c>
      <c r="C52" s="932"/>
      <c r="D52" s="932"/>
      <c r="E52" s="932"/>
      <c r="F52" s="932"/>
      <c r="G52" s="932"/>
      <c r="H52" s="932"/>
      <c r="I52" s="944"/>
      <c r="J52" s="955"/>
    </row>
    <row r="53" spans="2:10">
      <c r="B53" s="931" t="s">
        <v>894</v>
      </c>
      <c r="C53" s="932"/>
      <c r="D53" s="932"/>
      <c r="E53" s="932"/>
      <c r="F53" s="932"/>
      <c r="G53" s="932"/>
      <c r="H53" s="932"/>
      <c r="I53" s="944"/>
      <c r="J53" s="955"/>
    </row>
    <row r="54" spans="2:10">
      <c r="B54" s="931" t="s">
        <v>901</v>
      </c>
      <c r="C54" s="932">
        <f>'5.  2015-2020 LRAM'!Y208</f>
        <v>18498335.104514599</v>
      </c>
      <c r="D54" s="932">
        <f>'5.  2015-2020 LRAM'!Z208</f>
        <v>11869887.439999999</v>
      </c>
      <c r="E54" s="932">
        <f>'5.  2015-2020 LRAM'!AA208</f>
        <v>110298.23999999999</v>
      </c>
      <c r="F54" s="932">
        <f>'5.  2015-2020 LRAM'!AB208</f>
        <v>0</v>
      </c>
      <c r="G54" s="932">
        <f>'5.  2015-2020 LRAM'!AC208</f>
        <v>0</v>
      </c>
      <c r="H54" s="932">
        <f>'5.  2015-2020 LRAM'!AD208</f>
        <v>0</v>
      </c>
      <c r="I54" s="944">
        <f>'8. SL Adjustment'!C68</f>
        <v>12981.299051406017</v>
      </c>
      <c r="J54" s="955"/>
    </row>
    <row r="55" spans="2:10">
      <c r="B55" s="931" t="s">
        <v>895</v>
      </c>
      <c r="C55" s="932">
        <f>'5.  2015-2020 LRAM'!Y387</f>
        <v>40216627</v>
      </c>
      <c r="D55" s="932">
        <f>'5.  2015-2020 LRAM'!Z387</f>
        <v>9209622.5</v>
      </c>
      <c r="E55" s="932">
        <f>'5.  2015-2020 LRAM'!AA387</f>
        <v>107491.2</v>
      </c>
      <c r="F55" s="932">
        <f>'5.  2015-2020 LRAM'!AB387</f>
        <v>0</v>
      </c>
      <c r="G55" s="932">
        <f>'5.  2015-2020 LRAM'!AC387</f>
        <v>0</v>
      </c>
      <c r="H55" s="932">
        <f>'5.  2015-2020 LRAM'!AD387</f>
        <v>0</v>
      </c>
      <c r="I55" s="944">
        <f>'8. SL Adjustment'!B137-'8. SL Adjustment'!C68</f>
        <v>14578.049295543284</v>
      </c>
      <c r="J55" s="955"/>
    </row>
    <row r="56" spans="2:10">
      <c r="B56" s="931" t="str">
        <f>"Total "&amp;B49</f>
        <v>Total 2016 Actual Savings:</v>
      </c>
      <c r="C56" s="934">
        <f>SUM(C50:C55)</f>
        <v>58714962.104514599</v>
      </c>
      <c r="D56" s="935">
        <f t="shared" ref="D56" si="44">SUM(D50:D55)</f>
        <v>21079509.939999998</v>
      </c>
      <c r="E56" s="935">
        <f t="shared" ref="E56" si="45">SUM(E50:E55)</f>
        <v>217789.44</v>
      </c>
      <c r="F56" s="935">
        <f t="shared" ref="F56" si="46">SUM(F50:F55)</f>
        <v>0</v>
      </c>
      <c r="G56" s="935">
        <f t="shared" ref="G56" si="47">SUM(G50:G55)</f>
        <v>0</v>
      </c>
      <c r="H56" s="935">
        <f t="shared" ref="H56" si="48">SUM(H50:H55)</f>
        <v>0</v>
      </c>
      <c r="I56" s="945">
        <f t="shared" ref="I56" si="49">SUM(I50:I55)</f>
        <v>27559.3483469493</v>
      </c>
      <c r="J56" s="955"/>
    </row>
    <row r="57" spans="2:10">
      <c r="B57" s="949" t="s">
        <v>278</v>
      </c>
      <c r="C57" s="935">
        <f>'5.  2015-2020 LRAM'!Y388</f>
        <v>44207932.239504516</v>
      </c>
      <c r="D57" s="935">
        <f>'5.  2015-2020 LRAM'!Z388</f>
        <v>16984563.401464928</v>
      </c>
      <c r="E57" s="935">
        <f>'5.  2015-2020 LRAM'!AA388</f>
        <v>195431.32820848396</v>
      </c>
      <c r="F57" s="935">
        <f>'5.  2015-2020 LRAM'!AB388</f>
        <v>3731.8842953141025</v>
      </c>
      <c r="G57" s="935">
        <f>'5.  2015-2020 LRAM'!AC388</f>
        <v>208626.88711522953</v>
      </c>
      <c r="H57" s="935">
        <f>'5.  2015-2020 LRAM'!AD388</f>
        <v>20.087748436240176</v>
      </c>
      <c r="I57" s="945">
        <f>'5.  2015-2020 LRAM'!AE388</f>
        <v>2867.796624253795</v>
      </c>
      <c r="J57" s="955"/>
    </row>
    <row r="58" spans="2:10">
      <c r="B58" s="933" t="s">
        <v>868</v>
      </c>
      <c r="C58" s="932">
        <f>C56-C57</f>
        <v>14507029.865010083</v>
      </c>
      <c r="D58" s="932">
        <f t="shared" ref="D58" si="50">D56-D57</f>
        <v>4094946.5385350697</v>
      </c>
      <c r="E58" s="932">
        <f t="shared" ref="E58" si="51">E56-E57</f>
        <v>22358.111791516043</v>
      </c>
      <c r="F58" s="932">
        <f t="shared" ref="F58" si="52">F56-F57</f>
        <v>-3731.8842953141025</v>
      </c>
      <c r="G58" s="932">
        <f t="shared" ref="G58" si="53">G56-G57</f>
        <v>-208626.88711522953</v>
      </c>
      <c r="H58" s="932">
        <f t="shared" ref="H58" si="54">H56-H57</f>
        <v>-20.087748436240176</v>
      </c>
      <c r="I58" s="944">
        <f t="shared" ref="I58" si="55">I56-I57</f>
        <v>24691.551722695505</v>
      </c>
      <c r="J58" s="955"/>
    </row>
    <row r="59" spans="2:10">
      <c r="B59" s="933" t="s">
        <v>896</v>
      </c>
      <c r="C59">
        <f>'5.  2015-2020 LRAM'!Y390</f>
        <v>1.41E-2</v>
      </c>
      <c r="D59">
        <f>'5.  2015-2020 LRAM'!Z390</f>
        <v>1.4200000000000001E-2</v>
      </c>
      <c r="E59">
        <f>'5.  2015-2020 LRAM'!AA390</f>
        <v>3.3892000000000002</v>
      </c>
      <c r="F59">
        <f>'5.  2015-2020 LRAM'!AB390</f>
        <v>1.4413</v>
      </c>
      <c r="G59">
        <f>'5.  2015-2020 LRAM'!AC390</f>
        <v>1.6199999999999999E-2</v>
      </c>
      <c r="H59">
        <f>'5.  2015-2020 LRAM'!AD390</f>
        <v>8.1591000000000005</v>
      </c>
      <c r="I59" s="946">
        <f>'5.  2015-2020 LRAM'!AE390</f>
        <v>6.7526000000000002</v>
      </c>
      <c r="J59" s="955"/>
    </row>
    <row r="60" spans="2:10">
      <c r="B60" s="947" t="s">
        <v>897</v>
      </c>
      <c r="C60" s="939">
        <f>'1.  LRAMVA Summary'!D68</f>
        <v>1265387.0936844898</v>
      </c>
      <c r="D60" s="939">
        <f>'1.  LRAMVA Summary'!E68</f>
        <v>870449.5698776861</v>
      </c>
      <c r="E60" s="939">
        <f>'1.  LRAMVA Summary'!F68</f>
        <v>1679587.0238285656</v>
      </c>
      <c r="F60" s="939">
        <f>'1.  LRAMVA Summary'!G68</f>
        <v>0</v>
      </c>
      <c r="G60" s="939">
        <f>'1.  LRAMVA Summary'!H68</f>
        <v>0</v>
      </c>
      <c r="H60" s="939">
        <f>'1.  LRAMVA Summary'!I68</f>
        <v>0</v>
      </c>
      <c r="I60" s="940">
        <f>'1.  LRAMVA Summary'!J68</f>
        <v>186097.25564760985</v>
      </c>
      <c r="J60" s="956">
        <f t="shared" ref="J60:J61" si="56">SUM(C60:I60)</f>
        <v>4001520.9430383514</v>
      </c>
    </row>
    <row r="61" spans="2:10">
      <c r="B61" s="933" t="s">
        <v>286</v>
      </c>
      <c r="C61" s="939">
        <f>'1.  LRAMVA Summary'!D69</f>
        <v>-623331.84457701363</v>
      </c>
      <c r="D61" s="939">
        <f>'1.  LRAMVA Summary'!E69</f>
        <v>-241180.80030080199</v>
      </c>
      <c r="E61" s="939">
        <f>'1.  LRAMVA Summary'!F69</f>
        <v>-662355.8575641939</v>
      </c>
      <c r="F61" s="939">
        <f>'1.  LRAMVA Summary'!G69</f>
        <v>-5378.7648348362163</v>
      </c>
      <c r="G61" s="939">
        <f>'1.  LRAMVA Summary'!H69</f>
        <v>-3379.7555712667181</v>
      </c>
      <c r="H61" s="939">
        <f>'1.  LRAMVA Summary'!I69</f>
        <v>-163.89794826612723</v>
      </c>
      <c r="I61" s="940">
        <f>'1.  LRAMVA Summary'!J69</f>
        <v>-19365.083484936178</v>
      </c>
      <c r="J61" s="956">
        <f t="shared" si="56"/>
        <v>-1555156.0042813148</v>
      </c>
    </row>
    <row r="62" spans="2:10">
      <c r="B62" s="952" t="s">
        <v>871</v>
      </c>
      <c r="C62" s="953">
        <f>C60+C61</f>
        <v>642055.24910747621</v>
      </c>
      <c r="D62" s="953">
        <f t="shared" ref="D62" si="57">D60+D61</f>
        <v>629268.76957688411</v>
      </c>
      <c r="E62" s="953">
        <f t="shared" ref="E62" si="58">E60+E61</f>
        <v>1017231.1662643717</v>
      </c>
      <c r="F62" s="953">
        <f t="shared" ref="F62" si="59">F60+F61</f>
        <v>-5378.7648348362163</v>
      </c>
      <c r="G62" s="953">
        <f t="shared" ref="G62" si="60">G60+G61</f>
        <v>-3379.7555712667181</v>
      </c>
      <c r="H62" s="953">
        <f t="shared" ref="H62" si="61">H60+H61</f>
        <v>-163.89794826612723</v>
      </c>
      <c r="I62" s="954">
        <f t="shared" ref="I62" si="62">I60+I61</f>
        <v>166732.17216267367</v>
      </c>
      <c r="J62" s="960">
        <f>SUM(C62:I62)</f>
        <v>2446364.9387570368</v>
      </c>
    </row>
    <row r="63" spans="2:10">
      <c r="B63" s="949" t="s">
        <v>898</v>
      </c>
      <c r="C63" s="950">
        <v>417918.8050250854</v>
      </c>
      <c r="D63" s="950">
        <v>558051.00648063957</v>
      </c>
      <c r="E63" s="950">
        <v>784805.9623109781</v>
      </c>
      <c r="F63" s="950">
        <v>-5379.1380232657457</v>
      </c>
      <c r="G63" s="950">
        <v>-3379.7574</v>
      </c>
      <c r="H63" s="950">
        <v>-163.96</v>
      </c>
      <c r="I63" s="951">
        <v>216227.79743441509</v>
      </c>
      <c r="J63" s="959">
        <f t="shared" ref="J63:J64" si="63">SUM(C63:I63)</f>
        <v>1968080.7158278525</v>
      </c>
    </row>
    <row r="64" spans="2:10" ht="15" thickBot="1">
      <c r="B64" s="948" t="s">
        <v>873</v>
      </c>
      <c r="C64" s="941">
        <f>C62-C63</f>
        <v>224136.44408239081</v>
      </c>
      <c r="D64" s="941">
        <f t="shared" ref="D64" si="64">D62-D63</f>
        <v>71217.76309624454</v>
      </c>
      <c r="E64" s="941">
        <f t="shared" ref="E64:H64" si="65">E62-E63</f>
        <v>232425.20395339362</v>
      </c>
      <c r="F64" s="941">
        <f t="shared" si="65"/>
        <v>0.37318842952936393</v>
      </c>
      <c r="G64" s="941">
        <f t="shared" si="65"/>
        <v>1.828733281854511E-3</v>
      </c>
      <c r="H64" s="941">
        <f t="shared" si="65"/>
        <v>6.2051733872777959E-2</v>
      </c>
      <c r="I64" s="942">
        <f t="shared" ref="I64" si="66">I62-I63</f>
        <v>-49495.625271741417</v>
      </c>
      <c r="J64" s="957">
        <f t="shared" si="63"/>
        <v>478284.22292918421</v>
      </c>
    </row>
    <row r="65" spans="2:10">
      <c r="C65" s="936"/>
      <c r="D65" s="936"/>
      <c r="E65" s="936"/>
      <c r="F65" s="936"/>
      <c r="G65" s="936"/>
      <c r="H65" s="936"/>
      <c r="I65" s="936"/>
    </row>
    <row r="66" spans="2:10" hidden="1" outlineLevel="1">
      <c r="B66" s="937" t="s">
        <v>899</v>
      </c>
      <c r="C66" s="938">
        <f>C56*C59</f>
        <v>827880.96567365585</v>
      </c>
      <c r="D66" s="938">
        <f t="shared" ref="D66:I66" si="67">D56*D59</f>
        <v>299329.04114799999</v>
      </c>
      <c r="E66" s="938">
        <f t="shared" si="67"/>
        <v>738131.9700480001</v>
      </c>
      <c r="F66" s="938">
        <f t="shared" si="67"/>
        <v>0</v>
      </c>
      <c r="G66" s="938">
        <f t="shared" si="67"/>
        <v>0</v>
      </c>
      <c r="H66" s="938">
        <f t="shared" si="67"/>
        <v>0</v>
      </c>
      <c r="I66" s="938">
        <f t="shared" si="67"/>
        <v>186097.25564760985</v>
      </c>
    </row>
    <row r="67" spans="2:10" hidden="1" outlineLevel="1">
      <c r="B67" s="937" t="s">
        <v>875</v>
      </c>
      <c r="C67" s="938">
        <f>C60-C66</f>
        <v>437506.12801083399</v>
      </c>
      <c r="D67" s="938">
        <f t="shared" ref="D67" si="68">D60-D66</f>
        <v>571120.52872968605</v>
      </c>
      <c r="E67" s="938">
        <f t="shared" ref="E67" si="69">E60-E66</f>
        <v>941455.0537805655</v>
      </c>
      <c r="F67" s="938">
        <f t="shared" ref="F67" si="70">F60-F66</f>
        <v>0</v>
      </c>
      <c r="G67" s="938">
        <f t="shared" ref="G67" si="71">G60-G66</f>
        <v>0</v>
      </c>
      <c r="H67" s="938">
        <f t="shared" ref="H67" si="72">H60-H66</f>
        <v>0</v>
      </c>
      <c r="I67" s="938">
        <f t="shared" ref="I67" si="73">I60-I66</f>
        <v>0</v>
      </c>
    </row>
    <row r="68" spans="2:10" hidden="1" outlineLevel="1">
      <c r="B68" s="937" t="s">
        <v>900</v>
      </c>
      <c r="C68" s="938">
        <f>-C57*C59</f>
        <v>-623331.84457701363</v>
      </c>
      <c r="D68" s="938">
        <f t="shared" ref="D68:I68" si="74">-D57*D59</f>
        <v>-241180.80030080199</v>
      </c>
      <c r="E68" s="938">
        <f t="shared" si="74"/>
        <v>-662355.8575641939</v>
      </c>
      <c r="F68" s="938">
        <f t="shared" si="74"/>
        <v>-5378.7648348362163</v>
      </c>
      <c r="G68" s="938">
        <f t="shared" si="74"/>
        <v>-3379.7555712667181</v>
      </c>
      <c r="H68" s="938">
        <f t="shared" si="74"/>
        <v>-163.89794826612723</v>
      </c>
      <c r="I68" s="938">
        <f t="shared" si="74"/>
        <v>-19365.083484936178</v>
      </c>
    </row>
    <row r="69" spans="2:10" hidden="1" outlineLevel="1">
      <c r="B69" s="937" t="s">
        <v>877</v>
      </c>
      <c r="C69" s="938">
        <f>C61-C68</f>
        <v>0</v>
      </c>
      <c r="D69" s="938">
        <f t="shared" ref="D69" si="75">D61-D68</f>
        <v>0</v>
      </c>
      <c r="E69" s="938">
        <f t="shared" ref="E69" si="76">E61-E68</f>
        <v>0</v>
      </c>
      <c r="F69" s="938">
        <f t="shared" ref="F69" si="77">F61-F68</f>
        <v>0</v>
      </c>
      <c r="G69" s="938">
        <f t="shared" ref="G69" si="78">G61-G68</f>
        <v>0</v>
      </c>
      <c r="H69" s="938">
        <f t="shared" ref="H69" si="79">H61-H68</f>
        <v>0</v>
      </c>
      <c r="I69" s="938">
        <f t="shared" ref="I69" si="80">I61-I68</f>
        <v>0</v>
      </c>
    </row>
    <row r="70" spans="2:10" collapsed="1"/>
    <row r="71" spans="2:10" ht="15" thickBot="1"/>
    <row r="72" spans="2:10" ht="28.8" thickBot="1">
      <c r="B72" s="927" t="s">
        <v>902</v>
      </c>
      <c r="C72" s="928" t="s">
        <v>29</v>
      </c>
      <c r="D72" s="928" t="s">
        <v>375</v>
      </c>
      <c r="E72" s="928" t="s">
        <v>859</v>
      </c>
      <c r="F72" s="928" t="s">
        <v>860</v>
      </c>
      <c r="G72" s="928" t="s">
        <v>32</v>
      </c>
      <c r="H72" s="928" t="s">
        <v>30</v>
      </c>
      <c r="I72" s="929" t="s">
        <v>31</v>
      </c>
      <c r="J72" s="958" t="s">
        <v>26</v>
      </c>
    </row>
    <row r="73" spans="2:10">
      <c r="B73" s="930" t="s">
        <v>903</v>
      </c>
      <c r="I73" s="943"/>
      <c r="J73" s="961"/>
    </row>
    <row r="74" spans="2:10">
      <c r="B74" s="931" t="s">
        <v>904</v>
      </c>
      <c r="C74" s="932"/>
      <c r="D74" s="932"/>
      <c r="E74" s="932"/>
      <c r="F74" s="932"/>
      <c r="G74" s="932"/>
      <c r="H74" s="932"/>
      <c r="I74" s="944"/>
      <c r="J74" s="955"/>
    </row>
    <row r="75" spans="2:10">
      <c r="B75" s="931" t="s">
        <v>905</v>
      </c>
      <c r="C75" s="932"/>
      <c r="D75" s="932"/>
      <c r="E75" s="932"/>
      <c r="F75" s="932"/>
      <c r="G75" s="932"/>
      <c r="H75" s="932"/>
      <c r="I75" s="944"/>
      <c r="J75" s="955"/>
    </row>
    <row r="76" spans="2:10">
      <c r="B76" s="931" t="s">
        <v>906</v>
      </c>
      <c r="C76" s="932"/>
      <c r="D76" s="932"/>
      <c r="E76" s="932"/>
      <c r="F76" s="932"/>
      <c r="G76" s="932"/>
      <c r="H76" s="932"/>
      <c r="I76" s="944"/>
      <c r="J76" s="955"/>
    </row>
    <row r="77" spans="2:10">
      <c r="B77" s="931" t="s">
        <v>907</v>
      </c>
      <c r="C77" s="932"/>
      <c r="D77" s="932"/>
      <c r="E77" s="932"/>
      <c r="F77" s="932"/>
      <c r="G77" s="932"/>
      <c r="H77" s="932"/>
      <c r="I77" s="944"/>
      <c r="J77" s="955"/>
    </row>
    <row r="78" spans="2:10">
      <c r="B78" s="931" t="s">
        <v>908</v>
      </c>
      <c r="C78" s="932">
        <f>'5.  2015-2020 LRAM'!Y209</f>
        <v>18493785.104514599</v>
      </c>
      <c r="D78" s="932">
        <f>'5.  2015-2020 LRAM'!Z209</f>
        <v>11241822.851788448</v>
      </c>
      <c r="E78" s="932">
        <f>'5.  2015-2020 LRAM'!AA209</f>
        <v>109650.23999999999</v>
      </c>
      <c r="F78" s="932">
        <f>'5.  2015-2020 LRAM'!AB209</f>
        <v>0</v>
      </c>
      <c r="G78" s="932">
        <f>'5.  2015-2020 LRAM'!AC209</f>
        <v>0</v>
      </c>
      <c r="H78" s="932">
        <f>'5.  2015-2020 LRAM'!AD209</f>
        <v>0</v>
      </c>
      <c r="I78" s="944">
        <f>'8. SL Adjustment'!C68</f>
        <v>12981.299051406017</v>
      </c>
      <c r="J78" s="955"/>
    </row>
    <row r="79" spans="2:10">
      <c r="B79" s="931" t="s">
        <v>914</v>
      </c>
      <c r="C79" s="932">
        <f>'5.  2015-2020 LRAM'!Y401</f>
        <v>40014022</v>
      </c>
      <c r="D79" s="932">
        <f>'5.  2015-2020 LRAM'!Z401</f>
        <v>9071965.5500000007</v>
      </c>
      <c r="E79" s="932">
        <f>'5.  2015-2020 LRAM'!AA401</f>
        <v>104810.64</v>
      </c>
      <c r="F79" s="932">
        <f>'5.  2015-2020 LRAM'!AB401</f>
        <v>0</v>
      </c>
      <c r="G79" s="932">
        <f>'5.  2015-2020 LRAM'!AC401</f>
        <v>0</v>
      </c>
      <c r="H79" s="932">
        <f>'5.  2015-2020 LRAM'!AD401</f>
        <v>0</v>
      </c>
      <c r="I79" s="944">
        <f>'8. SL Adjustment'!B137-'8. SL Adjustment'!C68</f>
        <v>14578.049295543284</v>
      </c>
      <c r="J79" s="955"/>
    </row>
    <row r="80" spans="2:10">
      <c r="B80" s="931" t="s">
        <v>909</v>
      </c>
      <c r="C80" s="932">
        <f>'5.  2015-2020 LRAM'!Y570</f>
        <v>57466997.958440274</v>
      </c>
      <c r="D80" s="932">
        <f>'5.  2015-2020 LRAM'!Z570</f>
        <v>15303800.95295701</v>
      </c>
      <c r="E80" s="932">
        <f>'5.  2015-2020 LRAM'!AA570</f>
        <v>110525.14393449125</v>
      </c>
      <c r="F80" s="932">
        <f>'5.  2015-2020 LRAM'!AB570</f>
        <v>0</v>
      </c>
      <c r="G80" s="932">
        <f>'5.  2015-2020 LRAM'!AC570</f>
        <v>0</v>
      </c>
      <c r="H80" s="932">
        <f>'5.  2015-2020 LRAM'!AD570</f>
        <v>0</v>
      </c>
      <c r="I80" s="944">
        <f>'8. SL Adjustment'!C137-'8. SL Adjustment'!B137</f>
        <v>7329.3709385467373</v>
      </c>
      <c r="J80" s="955"/>
    </row>
    <row r="81" spans="2:11">
      <c r="B81" s="931" t="str">
        <f>"Total "&amp;B73</f>
        <v>Total 2017 Actual Savings:</v>
      </c>
      <c r="C81" s="934">
        <f>SUM(C74:C80)</f>
        <v>115974805.06295487</v>
      </c>
      <c r="D81" s="935">
        <f t="shared" ref="D81" si="81">SUM(D74:D80)</f>
        <v>35617589.354745463</v>
      </c>
      <c r="E81" s="935">
        <f t="shared" ref="E81" si="82">SUM(E74:E80)</f>
        <v>324986.02393449127</v>
      </c>
      <c r="F81" s="935">
        <f t="shared" ref="F81" si="83">SUM(F74:F80)</f>
        <v>0</v>
      </c>
      <c r="G81" s="935">
        <f t="shared" ref="G81" si="84">SUM(G74:G80)</f>
        <v>0</v>
      </c>
      <c r="H81" s="935">
        <f t="shared" ref="H81" si="85">SUM(H74:H80)</f>
        <v>0</v>
      </c>
      <c r="I81" s="945">
        <f t="shared" ref="I81" si="86">SUM(I74:I80)</f>
        <v>34888.719285496038</v>
      </c>
      <c r="J81" s="955"/>
    </row>
    <row r="82" spans="2:11">
      <c r="B82" s="949" t="s">
        <v>296</v>
      </c>
      <c r="C82" s="935">
        <f>'5.  2015-2020 LRAM'!Y571</f>
        <v>48703932</v>
      </c>
      <c r="D82" s="935">
        <f>'5.  2015-2020 LRAM'!Z571</f>
        <v>32279911</v>
      </c>
      <c r="E82" s="935">
        <f>'5.  2015-2020 LRAM'!AA571</f>
        <v>321969</v>
      </c>
      <c r="F82" s="935">
        <f>'5.  2015-2020 LRAM'!AB571</f>
        <v>0</v>
      </c>
      <c r="G82" s="935">
        <f>'5.  2015-2020 LRAM'!AC571</f>
        <v>0</v>
      </c>
      <c r="H82" s="935">
        <f>'5.  2015-2020 LRAM'!AD571</f>
        <v>0</v>
      </c>
      <c r="I82" s="945">
        <f>'5.  2015-2020 LRAM'!AE571</f>
        <v>0</v>
      </c>
      <c r="J82" s="955"/>
    </row>
    <row r="83" spans="2:11">
      <c r="B83" s="933" t="s">
        <v>868</v>
      </c>
      <c r="C83" s="932">
        <f>C81-C82</f>
        <v>67270873.062954873</v>
      </c>
      <c r="D83" s="932">
        <f t="shared" ref="D83" si="87">D81-D82</f>
        <v>3337678.3547454625</v>
      </c>
      <c r="E83" s="932">
        <f t="shared" ref="E83" si="88">E81-E82</f>
        <v>3017.0239344912698</v>
      </c>
      <c r="F83" s="932">
        <f t="shared" ref="F83" si="89">F81-F82</f>
        <v>0</v>
      </c>
      <c r="G83" s="932">
        <f t="shared" ref="G83" si="90">G81-G82</f>
        <v>0</v>
      </c>
      <c r="H83" s="932">
        <f t="shared" ref="H83" si="91">H81-H82</f>
        <v>0</v>
      </c>
      <c r="I83" s="944">
        <f t="shared" ref="I83" si="92">I81-I82</f>
        <v>34888.719285496038</v>
      </c>
      <c r="J83" s="955"/>
    </row>
    <row r="84" spans="2:11">
      <c r="B84" s="933" t="s">
        <v>910</v>
      </c>
      <c r="C84">
        <f>'5.  2015-2020 LRAM'!Y573</f>
        <v>0</v>
      </c>
      <c r="D84">
        <f>'5.  2015-2020 LRAM'!Z573</f>
        <v>0</v>
      </c>
      <c r="E84">
        <f>'5.  2015-2020 LRAM'!AA573</f>
        <v>0</v>
      </c>
      <c r="F84">
        <f>'5.  2015-2020 LRAM'!AB573</f>
        <v>0</v>
      </c>
      <c r="G84">
        <f>'5.  2015-2020 LRAM'!AC573</f>
        <v>0</v>
      </c>
      <c r="H84">
        <f>'5.  2015-2020 LRAM'!AD573</f>
        <v>0</v>
      </c>
      <c r="I84" s="946">
        <f>'5.  2015-2020 LRAM'!AE573</f>
        <v>0</v>
      </c>
      <c r="J84" s="955"/>
    </row>
    <row r="85" spans="2:11">
      <c r="B85" s="947" t="s">
        <v>911</v>
      </c>
      <c r="C85" s="939">
        <f>'1.  LRAMVA Summary'!D71</f>
        <v>0</v>
      </c>
      <c r="D85" s="939">
        <f>'1.  LRAMVA Summary'!E71</f>
        <v>0</v>
      </c>
      <c r="E85" s="939">
        <f>'1.  LRAMVA Summary'!F71</f>
        <v>0</v>
      </c>
      <c r="F85" s="939">
        <f>'1.  LRAMVA Summary'!G71</f>
        <v>0</v>
      </c>
      <c r="G85" s="939">
        <f>'1.  LRAMVA Summary'!H71</f>
        <v>0</v>
      </c>
      <c r="H85" s="939">
        <f>'1.  LRAMVA Summary'!I71</f>
        <v>0</v>
      </c>
      <c r="I85" s="940">
        <f>'1.  LRAMVA Summary'!J71</f>
        <v>0</v>
      </c>
      <c r="J85" s="956">
        <f t="shared" ref="J85:J86" si="93">SUM(C85:I85)</f>
        <v>0</v>
      </c>
    </row>
    <row r="86" spans="2:11">
      <c r="B86" s="933" t="s">
        <v>306</v>
      </c>
      <c r="C86" s="939">
        <f>'1.  LRAMVA Summary'!D72</f>
        <v>0</v>
      </c>
      <c r="D86" s="939">
        <f>'1.  LRAMVA Summary'!E72</f>
        <v>0</v>
      </c>
      <c r="E86" s="939">
        <f>'1.  LRAMVA Summary'!F72</f>
        <v>0</v>
      </c>
      <c r="F86" s="939">
        <f>'1.  LRAMVA Summary'!G72</f>
        <v>0</v>
      </c>
      <c r="G86" s="939">
        <f>'1.  LRAMVA Summary'!H72</f>
        <v>0</v>
      </c>
      <c r="H86" s="939">
        <f>'1.  LRAMVA Summary'!I72</f>
        <v>0</v>
      </c>
      <c r="I86" s="940">
        <f>'1.  LRAMVA Summary'!J72</f>
        <v>0</v>
      </c>
      <c r="J86" s="956">
        <f t="shared" si="93"/>
        <v>0</v>
      </c>
    </row>
    <row r="87" spans="2:11">
      <c r="B87" s="952" t="s">
        <v>871</v>
      </c>
      <c r="C87" s="953">
        <f>C85+C86</f>
        <v>0</v>
      </c>
      <c r="D87" s="953">
        <f t="shared" ref="D87" si="94">D85+D86</f>
        <v>0</v>
      </c>
      <c r="E87" s="953">
        <f t="shared" ref="E87" si="95">E85+E86</f>
        <v>0</v>
      </c>
      <c r="F87" s="953">
        <f t="shared" ref="F87" si="96">F85+F86</f>
        <v>0</v>
      </c>
      <c r="G87" s="953">
        <f t="shared" ref="G87" si="97">G85+G86</f>
        <v>0</v>
      </c>
      <c r="H87" s="953">
        <f t="shared" ref="H87" si="98">H85+H86</f>
        <v>0</v>
      </c>
      <c r="I87" s="954">
        <f t="shared" ref="I87" si="99">I85+I86</f>
        <v>0</v>
      </c>
      <c r="J87" s="960">
        <f>SUM(C87:I87)</f>
        <v>0</v>
      </c>
    </row>
    <row r="88" spans="2:11">
      <c r="B88" s="949" t="s">
        <v>915</v>
      </c>
      <c r="C88" s="950">
        <v>28941.070606894751</v>
      </c>
      <c r="D88" s="950">
        <v>13832.848071144459</v>
      </c>
      <c r="E88" s="950">
        <v>-29698.808386848392</v>
      </c>
      <c r="F88" s="950"/>
      <c r="G88" s="950"/>
      <c r="H88" s="950"/>
      <c r="I88" s="951"/>
      <c r="J88" s="959">
        <f t="shared" ref="J88:J89" si="100">SUM(C88:I88)</f>
        <v>13075.11029119082</v>
      </c>
      <c r="K88" t="s">
        <v>917</v>
      </c>
    </row>
    <row r="89" spans="2:11" ht="15" thickBot="1">
      <c r="B89" s="948" t="s">
        <v>916</v>
      </c>
      <c r="C89" s="941">
        <f>C87-C88</f>
        <v>-28941.070606894751</v>
      </c>
      <c r="D89" s="941">
        <f t="shared" ref="D89" si="101">D87-D88</f>
        <v>-13832.848071144459</v>
      </c>
      <c r="E89" s="941">
        <f t="shared" ref="E89" si="102">E87-E88</f>
        <v>29698.808386848392</v>
      </c>
      <c r="F89" s="941">
        <f t="shared" ref="F89" si="103">F87-F88</f>
        <v>0</v>
      </c>
      <c r="G89" s="941">
        <f t="shared" ref="G89" si="104">G87-G88</f>
        <v>0</v>
      </c>
      <c r="H89" s="941">
        <f t="shared" ref="H89" si="105">H87-H88</f>
        <v>0</v>
      </c>
      <c r="I89" s="942">
        <f t="shared" ref="I89" si="106">I87-I88</f>
        <v>0</v>
      </c>
      <c r="J89" s="957">
        <f t="shared" si="100"/>
        <v>-13075.11029119082</v>
      </c>
    </row>
    <row r="90" spans="2:11">
      <c r="C90" s="936"/>
      <c r="D90" s="936"/>
      <c r="E90" s="936"/>
      <c r="F90" s="936"/>
      <c r="G90" s="936"/>
      <c r="H90" s="936"/>
      <c r="I90" s="936"/>
    </row>
    <row r="91" spans="2:11" hidden="1" outlineLevel="1">
      <c r="B91" s="937" t="s">
        <v>912</v>
      </c>
      <c r="C91" s="938">
        <f>C81*C84</f>
        <v>0</v>
      </c>
      <c r="D91" s="938">
        <f t="shared" ref="D91:I91" si="107">D81*D84</f>
        <v>0</v>
      </c>
      <c r="E91" s="938">
        <f t="shared" si="107"/>
        <v>0</v>
      </c>
      <c r="F91" s="938">
        <f t="shared" si="107"/>
        <v>0</v>
      </c>
      <c r="G91" s="938">
        <f t="shared" si="107"/>
        <v>0</v>
      </c>
      <c r="H91" s="938">
        <f t="shared" si="107"/>
        <v>0</v>
      </c>
      <c r="I91" s="938">
        <f t="shared" si="107"/>
        <v>0</v>
      </c>
    </row>
    <row r="92" spans="2:11" hidden="1" outlineLevel="1">
      <c r="B92" s="937" t="s">
        <v>875</v>
      </c>
      <c r="C92" s="938">
        <f>C85-C91</f>
        <v>0</v>
      </c>
      <c r="D92" s="938">
        <f t="shared" ref="D92" si="108">D85-D91</f>
        <v>0</v>
      </c>
      <c r="E92" s="938">
        <f t="shared" ref="E92" si="109">E85-E91</f>
        <v>0</v>
      </c>
      <c r="F92" s="938">
        <f t="shared" ref="F92" si="110">F85-F91</f>
        <v>0</v>
      </c>
      <c r="G92" s="938">
        <f t="shared" ref="G92" si="111">G85-G91</f>
        <v>0</v>
      </c>
      <c r="H92" s="938">
        <f t="shared" ref="H92" si="112">H85-H91</f>
        <v>0</v>
      </c>
      <c r="I92" s="938">
        <f t="shared" ref="I92" si="113">I85-I91</f>
        <v>0</v>
      </c>
    </row>
    <row r="93" spans="2:11" hidden="1" outlineLevel="1">
      <c r="B93" s="937" t="s">
        <v>913</v>
      </c>
      <c r="C93" s="938">
        <f>-C82*C84</f>
        <v>0</v>
      </c>
      <c r="D93" s="938">
        <f t="shared" ref="D93:I93" si="114">-D82*D84</f>
        <v>0</v>
      </c>
      <c r="E93" s="938">
        <f t="shared" si="114"/>
        <v>0</v>
      </c>
      <c r="F93" s="938">
        <f t="shared" si="114"/>
        <v>0</v>
      </c>
      <c r="G93" s="938">
        <f t="shared" si="114"/>
        <v>0</v>
      </c>
      <c r="H93" s="938">
        <f t="shared" si="114"/>
        <v>0</v>
      </c>
      <c r="I93" s="938">
        <f t="shared" si="114"/>
        <v>0</v>
      </c>
    </row>
    <row r="94" spans="2:11" hidden="1" outlineLevel="1">
      <c r="B94" s="937" t="s">
        <v>877</v>
      </c>
      <c r="C94" s="938">
        <f>C86-C93</f>
        <v>0</v>
      </c>
      <c r="D94" s="938">
        <f t="shared" ref="D94" si="115">D86-D93</f>
        <v>0</v>
      </c>
      <c r="E94" s="938">
        <f t="shared" ref="E94" si="116">E86-E93</f>
        <v>0</v>
      </c>
      <c r="F94" s="938">
        <f t="shared" ref="F94" si="117">F86-F93</f>
        <v>0</v>
      </c>
      <c r="G94" s="938">
        <f t="shared" ref="G94" si="118">G86-G93</f>
        <v>0</v>
      </c>
      <c r="H94" s="938">
        <f t="shared" ref="H94" si="119">H86-H93</f>
        <v>0</v>
      </c>
      <c r="I94" s="938">
        <f t="shared" ref="I94" si="120">I86-I93</f>
        <v>0</v>
      </c>
    </row>
    <row r="95" spans="2:11" collapsed="1"/>
    <row r="96" spans="2:11" hidden="1" outlineLevel="1">
      <c r="B96" t="s">
        <v>921</v>
      </c>
      <c r="C96" s="936">
        <f>C87</f>
        <v>0</v>
      </c>
      <c r="D96" s="936">
        <f t="shared" ref="D96:I96" si="121">D87</f>
        <v>0</v>
      </c>
      <c r="E96" s="936">
        <f t="shared" si="121"/>
        <v>0</v>
      </c>
      <c r="F96" s="936">
        <f t="shared" si="121"/>
        <v>0</v>
      </c>
      <c r="G96" s="936">
        <f t="shared" si="121"/>
        <v>0</v>
      </c>
      <c r="H96" s="936">
        <f t="shared" si="121"/>
        <v>0</v>
      </c>
      <c r="I96" s="936">
        <f t="shared" si="121"/>
        <v>0</v>
      </c>
      <c r="J96" s="936">
        <f>SUM(C96:I96)</f>
        <v>0</v>
      </c>
    </row>
    <row r="97" spans="2:12" hidden="1" outlineLevel="1">
      <c r="B97" t="s">
        <v>915</v>
      </c>
      <c r="C97" s="936">
        <f>C88</f>
        <v>28941.070606894751</v>
      </c>
      <c r="D97" s="936">
        <f t="shared" ref="D97:I97" si="122">D88</f>
        <v>13832.848071144459</v>
      </c>
      <c r="E97" s="936">
        <f t="shared" si="122"/>
        <v>-29698.808386848392</v>
      </c>
      <c r="F97" s="936">
        <f t="shared" si="122"/>
        <v>0</v>
      </c>
      <c r="G97" s="936">
        <f t="shared" si="122"/>
        <v>0</v>
      </c>
      <c r="H97" s="936">
        <f t="shared" si="122"/>
        <v>0</v>
      </c>
      <c r="I97" s="936">
        <f t="shared" si="122"/>
        <v>0</v>
      </c>
      <c r="J97" s="936">
        <f t="shared" ref="J97:J98" si="123">SUM(C97:I97)</f>
        <v>13075.11029119082</v>
      </c>
    </row>
    <row r="98" spans="2:12" hidden="1" outlineLevel="1">
      <c r="B98" t="s">
        <v>922</v>
      </c>
      <c r="C98" s="936">
        <v>452314.30001644755</v>
      </c>
      <c r="D98" s="936">
        <v>13017.573940109169</v>
      </c>
      <c r="E98" s="936">
        <v>94573.8406840713</v>
      </c>
      <c r="I98" s="936">
        <v>-34500</v>
      </c>
      <c r="J98" s="936">
        <f t="shared" si="123"/>
        <v>525405.71464062808</v>
      </c>
    </row>
    <row r="99" spans="2:12" hidden="1" outlineLevel="1">
      <c r="B99" t="s">
        <v>923</v>
      </c>
      <c r="C99" s="936">
        <f>C96-C97-C98</f>
        <v>-481255.37062334229</v>
      </c>
      <c r="D99" s="936">
        <f t="shared" ref="D99:I99" si="124">D96-D97-D98</f>
        <v>-26850.422011253628</v>
      </c>
      <c r="E99" s="936">
        <f t="shared" si="124"/>
        <v>-64875.032297222904</v>
      </c>
      <c r="F99" s="936">
        <f t="shared" si="124"/>
        <v>0</v>
      </c>
      <c r="G99" s="936">
        <f t="shared" si="124"/>
        <v>0</v>
      </c>
      <c r="H99" s="936">
        <f t="shared" si="124"/>
        <v>0</v>
      </c>
      <c r="I99" s="936">
        <f t="shared" si="124"/>
        <v>34500</v>
      </c>
      <c r="J99" s="936">
        <f>SUM(C99:I99)</f>
        <v>-538480.82493181876</v>
      </c>
      <c r="L99" s="936"/>
    </row>
    <row r="100" spans="2:12" ht="15" collapsed="1" thickBot="1">
      <c r="C100" s="936"/>
      <c r="D100" s="936"/>
      <c r="E100" s="936"/>
      <c r="L100" s="936"/>
    </row>
    <row r="101" spans="2:12">
      <c r="B101" s="1011" t="s">
        <v>919</v>
      </c>
      <c r="C101" s="1012">
        <f t="shared" ref="C101:I101" si="125">C15+C38+C62+C87</f>
        <v>642055.24910747621</v>
      </c>
      <c r="D101" s="1012">
        <f t="shared" si="125"/>
        <v>629268.76957688411</v>
      </c>
      <c r="E101" s="1012">
        <f t="shared" si="125"/>
        <v>1017231.1662643717</v>
      </c>
      <c r="F101" s="1012">
        <f t="shared" si="125"/>
        <v>-5378.7648348362163</v>
      </c>
      <c r="G101" s="1012">
        <f t="shared" si="125"/>
        <v>-3379.7555712667181</v>
      </c>
      <c r="H101" s="1012">
        <f t="shared" si="125"/>
        <v>-163.89794826612723</v>
      </c>
      <c r="I101" s="1012">
        <f t="shared" si="125"/>
        <v>166732.17216267367</v>
      </c>
      <c r="J101" s="1013">
        <f>J15+J38+J62+J87</f>
        <v>2446364.9387570368</v>
      </c>
    </row>
    <row r="102" spans="2:12">
      <c r="B102" s="1014" t="s">
        <v>920</v>
      </c>
      <c r="C102" s="950">
        <f>C16+C39+C63+C97+C98</f>
        <v>662260.64820707508</v>
      </c>
      <c r="D102" s="950">
        <f t="shared" ref="D102:I102" si="126">D16+D39+D63+D97+D98</f>
        <v>1319664.6699186971</v>
      </c>
      <c r="E102" s="950">
        <f t="shared" si="126"/>
        <v>1407800.5565515859</v>
      </c>
      <c r="F102" s="950">
        <f t="shared" si="126"/>
        <v>-15879.167676561501</v>
      </c>
      <c r="G102" s="950">
        <f t="shared" si="126"/>
        <v>-9972.3688277091023</v>
      </c>
      <c r="H102" s="950">
        <f t="shared" si="126"/>
        <v>-483.28446744893563</v>
      </c>
      <c r="I102" s="950">
        <f t="shared" si="126"/>
        <v>303373.14988660777</v>
      </c>
      <c r="J102" s="951">
        <f>SUM(C102:I102)</f>
        <v>3666764.2035922464</v>
      </c>
    </row>
    <row r="103" spans="2:12" ht="15" thickBot="1">
      <c r="B103" s="1005" t="s">
        <v>877</v>
      </c>
      <c r="C103" s="941">
        <f>C101-C102</f>
        <v>-20205.399099598872</v>
      </c>
      <c r="D103" s="941">
        <f t="shared" ref="D103:I103" si="127">D101-D102</f>
        <v>-690395.90034181299</v>
      </c>
      <c r="E103" s="941">
        <f t="shared" si="127"/>
        <v>-390569.39028721419</v>
      </c>
      <c r="F103" s="941">
        <f t="shared" si="127"/>
        <v>10500.402841725285</v>
      </c>
      <c r="G103" s="941">
        <f t="shared" si="127"/>
        <v>6592.6132564423842</v>
      </c>
      <c r="H103" s="941">
        <f t="shared" si="127"/>
        <v>319.3865191828084</v>
      </c>
      <c r="I103" s="941">
        <f t="shared" si="127"/>
        <v>-136640.97772393411</v>
      </c>
      <c r="J103" s="942">
        <f>J101-J102</f>
        <v>-1220399.2648352096</v>
      </c>
    </row>
    <row r="104" spans="2:12" ht="15" thickBot="1"/>
    <row r="105" spans="2:12" ht="28.8" thickBot="1">
      <c r="B105" s="1002" t="s">
        <v>871</v>
      </c>
      <c r="C105" s="928" t="s">
        <v>29</v>
      </c>
      <c r="D105" s="928" t="s">
        <v>375</v>
      </c>
      <c r="E105" s="928" t="s">
        <v>859</v>
      </c>
      <c r="F105" s="928" t="s">
        <v>860</v>
      </c>
      <c r="G105" s="928" t="s">
        <v>32</v>
      </c>
      <c r="H105" s="928" t="s">
        <v>30</v>
      </c>
      <c r="I105" s="929" t="s">
        <v>31</v>
      </c>
      <c r="J105" s="958" t="s">
        <v>26</v>
      </c>
    </row>
    <row r="106" spans="2:12">
      <c r="B106" s="1003">
        <v>2014</v>
      </c>
      <c r="C106" s="983">
        <f>C15</f>
        <v>0</v>
      </c>
      <c r="D106" s="983">
        <f t="shared" ref="D106:J106" si="128">D15</f>
        <v>0</v>
      </c>
      <c r="E106" s="983">
        <f t="shared" si="128"/>
        <v>0</v>
      </c>
      <c r="F106" s="983">
        <f t="shared" si="128"/>
        <v>0</v>
      </c>
      <c r="G106" s="983">
        <f t="shared" si="128"/>
        <v>0</v>
      </c>
      <c r="H106" s="983">
        <f t="shared" si="128"/>
        <v>0</v>
      </c>
      <c r="I106" s="983">
        <f t="shared" si="128"/>
        <v>0</v>
      </c>
      <c r="J106" s="1004">
        <f t="shared" si="128"/>
        <v>0</v>
      </c>
    </row>
    <row r="107" spans="2:12">
      <c r="B107" s="1003">
        <v>2015</v>
      </c>
      <c r="C107" s="983">
        <f>C38</f>
        <v>0</v>
      </c>
      <c r="D107" s="983">
        <f t="shared" ref="D107:J107" si="129">D38</f>
        <v>0</v>
      </c>
      <c r="E107" s="983">
        <f t="shared" si="129"/>
        <v>0</v>
      </c>
      <c r="F107" s="983">
        <f t="shared" si="129"/>
        <v>0</v>
      </c>
      <c r="G107" s="983">
        <f t="shared" si="129"/>
        <v>0</v>
      </c>
      <c r="H107" s="983">
        <f t="shared" si="129"/>
        <v>0</v>
      </c>
      <c r="I107" s="983">
        <f t="shared" si="129"/>
        <v>0</v>
      </c>
      <c r="J107" s="1004">
        <f t="shared" si="129"/>
        <v>0</v>
      </c>
    </row>
    <row r="108" spans="2:12">
      <c r="B108" s="1003">
        <v>2016</v>
      </c>
      <c r="C108" s="983">
        <f>C62</f>
        <v>642055.24910747621</v>
      </c>
      <c r="D108" s="983">
        <f t="shared" ref="D108:J108" si="130">D62</f>
        <v>629268.76957688411</v>
      </c>
      <c r="E108" s="983">
        <f t="shared" si="130"/>
        <v>1017231.1662643717</v>
      </c>
      <c r="F108" s="983">
        <f t="shared" si="130"/>
        <v>-5378.7648348362163</v>
      </c>
      <c r="G108" s="983">
        <f t="shared" si="130"/>
        <v>-3379.7555712667181</v>
      </c>
      <c r="H108" s="983">
        <f t="shared" si="130"/>
        <v>-163.89794826612723</v>
      </c>
      <c r="I108" s="983">
        <f t="shared" si="130"/>
        <v>166732.17216267367</v>
      </c>
      <c r="J108" s="1004">
        <f t="shared" si="130"/>
        <v>2446364.9387570368</v>
      </c>
    </row>
    <row r="109" spans="2:12">
      <c r="B109" s="1006">
        <v>2017</v>
      </c>
      <c r="C109" s="1007">
        <f>C87</f>
        <v>0</v>
      </c>
      <c r="D109" s="1007">
        <f t="shared" ref="D109:J109" si="131">D87</f>
        <v>0</v>
      </c>
      <c r="E109" s="1007">
        <f t="shared" si="131"/>
        <v>0</v>
      </c>
      <c r="F109" s="1007">
        <f t="shared" si="131"/>
        <v>0</v>
      </c>
      <c r="G109" s="1007">
        <f t="shared" si="131"/>
        <v>0</v>
      </c>
      <c r="H109" s="1007">
        <f t="shared" si="131"/>
        <v>0</v>
      </c>
      <c r="I109" s="1007">
        <f t="shared" si="131"/>
        <v>0</v>
      </c>
      <c r="J109" s="1008">
        <f t="shared" si="131"/>
        <v>0</v>
      </c>
    </row>
    <row r="110" spans="2:12" ht="15" thickBot="1">
      <c r="B110" s="1005" t="s">
        <v>26</v>
      </c>
      <c r="C110" s="941">
        <f>SUM(C106:C109)</f>
        <v>642055.24910747621</v>
      </c>
      <c r="D110" s="941">
        <f t="shared" ref="D110:J110" si="132">SUM(D106:D109)</f>
        <v>629268.76957688411</v>
      </c>
      <c r="E110" s="941">
        <f t="shared" si="132"/>
        <v>1017231.1662643717</v>
      </c>
      <c r="F110" s="941">
        <f t="shared" si="132"/>
        <v>-5378.7648348362163</v>
      </c>
      <c r="G110" s="941">
        <f t="shared" si="132"/>
        <v>-3379.7555712667181</v>
      </c>
      <c r="H110" s="941">
        <f t="shared" si="132"/>
        <v>-163.89794826612723</v>
      </c>
      <c r="I110" s="941">
        <f t="shared" si="132"/>
        <v>166732.17216267367</v>
      </c>
      <c r="J110" s="942">
        <f t="shared" si="132"/>
        <v>2446364.9387570368</v>
      </c>
    </row>
    <row r="111" spans="2:12" ht="15" thickBot="1"/>
    <row r="112" spans="2:12" ht="28.8" thickBot="1">
      <c r="B112" s="1002" t="s">
        <v>997</v>
      </c>
      <c r="C112" s="928" t="s">
        <v>29</v>
      </c>
      <c r="D112" s="928" t="s">
        <v>375</v>
      </c>
      <c r="E112" s="928" t="s">
        <v>859</v>
      </c>
      <c r="F112" s="928" t="s">
        <v>860</v>
      </c>
      <c r="G112" s="928" t="s">
        <v>32</v>
      </c>
      <c r="H112" s="928" t="s">
        <v>30</v>
      </c>
      <c r="I112" s="929" t="s">
        <v>31</v>
      </c>
      <c r="J112" s="958" t="s">
        <v>26</v>
      </c>
    </row>
    <row r="113" spans="2:10">
      <c r="B113" s="1003">
        <v>2014</v>
      </c>
      <c r="C113" s="983">
        <f>C16</f>
        <v>-230942.8257561152</v>
      </c>
      <c r="D113" s="983">
        <f t="shared" ref="D113:J113" si="133">D16</f>
        <v>286253.24125200626</v>
      </c>
      <c r="E113" s="983">
        <f t="shared" si="133"/>
        <v>127538.40537078258</v>
      </c>
      <c r="F113" s="983">
        <f t="shared" si="133"/>
        <v>-5216.0546795605196</v>
      </c>
      <c r="G113" s="983">
        <f t="shared" si="133"/>
        <v>-3275.4421277091028</v>
      </c>
      <c r="H113" s="983">
        <f t="shared" si="133"/>
        <v>-158.98046744893557</v>
      </c>
      <c r="I113" s="983">
        <f t="shared" si="133"/>
        <v>26942.95876355196</v>
      </c>
      <c r="J113" s="1004">
        <f t="shared" si="133"/>
        <v>201141.30235550704</v>
      </c>
    </row>
    <row r="114" spans="2:10">
      <c r="B114" s="1003">
        <v>2015</v>
      </c>
      <c r="C114" s="983">
        <f>C39</f>
        <v>-5970.7016852374227</v>
      </c>
      <c r="D114" s="983">
        <f t="shared" ref="D114:J114" si="134">D39</f>
        <v>448510.00017479755</v>
      </c>
      <c r="E114" s="983">
        <f t="shared" si="134"/>
        <v>430581.15657260217</v>
      </c>
      <c r="F114" s="983">
        <f t="shared" si="134"/>
        <v>-5283.9749737352358</v>
      </c>
      <c r="G114" s="983">
        <f t="shared" si="134"/>
        <v>-3317.1693</v>
      </c>
      <c r="H114" s="983">
        <f t="shared" si="134"/>
        <v>-160.34400000000002</v>
      </c>
      <c r="I114" s="983">
        <f t="shared" si="134"/>
        <v>94702.393688640703</v>
      </c>
      <c r="J114" s="1004">
        <f t="shared" si="134"/>
        <v>959061.36047706776</v>
      </c>
    </row>
    <row r="115" spans="2:10">
      <c r="B115" s="1003">
        <v>2016</v>
      </c>
      <c r="C115" s="983">
        <f>C63</f>
        <v>417918.8050250854</v>
      </c>
      <c r="D115" s="983">
        <f t="shared" ref="D115:J115" si="135">D63</f>
        <v>558051.00648063957</v>
      </c>
      <c r="E115" s="983">
        <f t="shared" si="135"/>
        <v>784805.9623109781</v>
      </c>
      <c r="F115" s="983">
        <f t="shared" si="135"/>
        <v>-5379.1380232657457</v>
      </c>
      <c r="G115" s="983">
        <f t="shared" si="135"/>
        <v>-3379.7574</v>
      </c>
      <c r="H115" s="983">
        <f t="shared" si="135"/>
        <v>-163.96</v>
      </c>
      <c r="I115" s="983">
        <f t="shared" si="135"/>
        <v>216227.79743441509</v>
      </c>
      <c r="J115" s="1004">
        <f t="shared" si="135"/>
        <v>1968080.7158278525</v>
      </c>
    </row>
    <row r="116" spans="2:10">
      <c r="B116" s="1009" t="s">
        <v>999</v>
      </c>
      <c r="C116" s="983">
        <f>C88</f>
        <v>28941.070606894751</v>
      </c>
      <c r="D116" s="983">
        <f t="shared" ref="D116:J116" si="136">D88</f>
        <v>13832.848071144459</v>
      </c>
      <c r="E116" s="983">
        <f t="shared" si="136"/>
        <v>-29698.808386848392</v>
      </c>
      <c r="F116" s="983">
        <f t="shared" si="136"/>
        <v>0</v>
      </c>
      <c r="G116" s="983">
        <f t="shared" si="136"/>
        <v>0</v>
      </c>
      <c r="H116" s="983">
        <f t="shared" si="136"/>
        <v>0</v>
      </c>
      <c r="I116" s="983">
        <f t="shared" si="136"/>
        <v>0</v>
      </c>
      <c r="J116" s="1004">
        <f t="shared" si="136"/>
        <v>13075.11029119082</v>
      </c>
    </row>
    <row r="117" spans="2:10">
      <c r="B117" s="1009" t="s">
        <v>996</v>
      </c>
      <c r="C117" s="983">
        <f>C98</f>
        <v>452314.30001644755</v>
      </c>
      <c r="D117" s="983">
        <f t="shared" ref="D117:J117" si="137">D98</f>
        <v>13017.573940109169</v>
      </c>
      <c r="E117" s="983">
        <f t="shared" si="137"/>
        <v>94573.8406840713</v>
      </c>
      <c r="F117" s="983">
        <f t="shared" si="137"/>
        <v>0</v>
      </c>
      <c r="G117" s="983">
        <f t="shared" si="137"/>
        <v>0</v>
      </c>
      <c r="H117" s="983">
        <f t="shared" si="137"/>
        <v>0</v>
      </c>
      <c r="I117" s="983">
        <f t="shared" si="137"/>
        <v>-34500</v>
      </c>
      <c r="J117" s="1004">
        <f t="shared" si="137"/>
        <v>525405.71464062808</v>
      </c>
    </row>
    <row r="118" spans="2:10">
      <c r="B118" s="1010"/>
      <c r="C118" s="1007"/>
      <c r="D118" s="1007"/>
      <c r="E118" s="1007"/>
      <c r="F118" s="1007"/>
      <c r="G118" s="1007"/>
      <c r="H118" s="1007"/>
      <c r="I118" s="1007"/>
      <c r="J118" s="1008"/>
    </row>
    <row r="119" spans="2:10" ht="15" thickBot="1">
      <c r="B119" s="1005" t="s">
        <v>26</v>
      </c>
      <c r="C119" s="941">
        <f>SUM(C113:C118)</f>
        <v>662260.64820707508</v>
      </c>
      <c r="D119" s="941">
        <f t="shared" ref="D119:J119" si="138">SUM(D113:D118)</f>
        <v>1319664.6699186971</v>
      </c>
      <c r="E119" s="941">
        <f t="shared" si="138"/>
        <v>1407800.5565515859</v>
      </c>
      <c r="F119" s="941">
        <f t="shared" si="138"/>
        <v>-15879.167676561501</v>
      </c>
      <c r="G119" s="941">
        <f t="shared" si="138"/>
        <v>-9972.3688277091023</v>
      </c>
      <c r="H119" s="941">
        <f t="shared" si="138"/>
        <v>-483.28446744893563</v>
      </c>
      <c r="I119" s="941">
        <f t="shared" si="138"/>
        <v>303373.14988660777</v>
      </c>
      <c r="J119" s="942">
        <f t="shared" si="138"/>
        <v>3666764.2035922464</v>
      </c>
    </row>
    <row r="120" spans="2:10" ht="15" thickBot="1"/>
    <row r="121" spans="2:10" ht="28.8" thickBot="1">
      <c r="B121" s="1002" t="s">
        <v>994</v>
      </c>
      <c r="C121" s="928" t="s">
        <v>29</v>
      </c>
      <c r="D121" s="928" t="s">
        <v>375</v>
      </c>
      <c r="E121" s="928" t="s">
        <v>859</v>
      </c>
      <c r="F121" s="928" t="s">
        <v>860</v>
      </c>
      <c r="G121" s="928" t="s">
        <v>32</v>
      </c>
      <c r="H121" s="928" t="s">
        <v>30</v>
      </c>
      <c r="I121" s="929" t="s">
        <v>31</v>
      </c>
      <c r="J121" s="958" t="s">
        <v>26</v>
      </c>
    </row>
    <row r="122" spans="2:10">
      <c r="B122" s="1003">
        <v>2014</v>
      </c>
      <c r="C122" s="983">
        <f>C106-C113</f>
        <v>230942.8257561152</v>
      </c>
      <c r="D122" s="983">
        <f t="shared" ref="D122:J122" si="139">D106-D113</f>
        <v>-286253.24125200626</v>
      </c>
      <c r="E122" s="983">
        <f t="shared" si="139"/>
        <v>-127538.40537078258</v>
      </c>
      <c r="F122" s="983">
        <f t="shared" si="139"/>
        <v>5216.0546795605196</v>
      </c>
      <c r="G122" s="983">
        <f t="shared" si="139"/>
        <v>3275.4421277091028</v>
      </c>
      <c r="H122" s="983">
        <f t="shared" si="139"/>
        <v>158.98046744893557</v>
      </c>
      <c r="I122" s="983">
        <f t="shared" si="139"/>
        <v>-26942.95876355196</v>
      </c>
      <c r="J122" s="1004">
        <f t="shared" si="139"/>
        <v>-201141.30235550704</v>
      </c>
    </row>
    <row r="123" spans="2:10">
      <c r="B123" s="1003">
        <v>2015</v>
      </c>
      <c r="C123" s="983">
        <f t="shared" ref="C123:J124" si="140">C107-C114</f>
        <v>5970.7016852374227</v>
      </c>
      <c r="D123" s="983">
        <f t="shared" si="140"/>
        <v>-448510.00017479755</v>
      </c>
      <c r="E123" s="983">
        <f t="shared" si="140"/>
        <v>-430581.15657260217</v>
      </c>
      <c r="F123" s="983">
        <f t="shared" si="140"/>
        <v>5283.9749737352358</v>
      </c>
      <c r="G123" s="983">
        <f t="shared" si="140"/>
        <v>3317.1693</v>
      </c>
      <c r="H123" s="983">
        <f t="shared" si="140"/>
        <v>160.34400000000002</v>
      </c>
      <c r="I123" s="983">
        <f t="shared" si="140"/>
        <v>-94702.393688640703</v>
      </c>
      <c r="J123" s="1004">
        <f t="shared" si="140"/>
        <v>-959061.36047706776</v>
      </c>
    </row>
    <row r="124" spans="2:10">
      <c r="B124" s="1003">
        <v>2016</v>
      </c>
      <c r="C124" s="983">
        <f t="shared" si="140"/>
        <v>224136.44408239081</v>
      </c>
      <c r="D124" s="983">
        <f t="shared" si="140"/>
        <v>71217.76309624454</v>
      </c>
      <c r="E124" s="983">
        <f t="shared" si="140"/>
        <v>232425.20395339362</v>
      </c>
      <c r="F124" s="983">
        <f t="shared" si="140"/>
        <v>0.37318842952936393</v>
      </c>
      <c r="G124" s="983">
        <f t="shared" si="140"/>
        <v>1.828733281854511E-3</v>
      </c>
      <c r="H124" s="983">
        <f t="shared" si="140"/>
        <v>6.2051733872777959E-2</v>
      </c>
      <c r="I124" s="983">
        <f t="shared" si="140"/>
        <v>-49495.625271741417</v>
      </c>
      <c r="J124" s="1004">
        <f t="shared" si="140"/>
        <v>478284.22292918433</v>
      </c>
    </row>
    <row r="125" spans="2:10">
      <c r="B125" s="1009" t="s">
        <v>998</v>
      </c>
      <c r="C125" s="983">
        <f>-C117</f>
        <v>-452314.30001644755</v>
      </c>
      <c r="D125" s="983">
        <f t="shared" ref="D125:I125" si="141">-D117</f>
        <v>-13017.573940109169</v>
      </c>
      <c r="E125" s="983">
        <f t="shared" si="141"/>
        <v>-94573.8406840713</v>
      </c>
      <c r="F125" s="983">
        <f t="shared" si="141"/>
        <v>0</v>
      </c>
      <c r="G125" s="983">
        <f t="shared" si="141"/>
        <v>0</v>
      </c>
      <c r="H125" s="983">
        <f t="shared" si="141"/>
        <v>0</v>
      </c>
      <c r="I125" s="983">
        <f t="shared" si="141"/>
        <v>34500</v>
      </c>
      <c r="J125" s="1004">
        <f>-J117</f>
        <v>-525405.71464062808</v>
      </c>
    </row>
    <row r="126" spans="2:10">
      <c r="B126" s="1010" t="s">
        <v>80</v>
      </c>
      <c r="C126" s="1007">
        <f>C109-C116-C117-C125</f>
        <v>-28941.070606894733</v>
      </c>
      <c r="D126" s="1007">
        <f t="shared" ref="D126:J126" si="142">D109-D116-D117-D125</f>
        <v>-13832.848071144459</v>
      </c>
      <c r="E126" s="1007">
        <f t="shared" si="142"/>
        <v>29698.808386848395</v>
      </c>
      <c r="F126" s="1007">
        <f t="shared" si="142"/>
        <v>0</v>
      </c>
      <c r="G126" s="1007">
        <f t="shared" si="142"/>
        <v>0</v>
      </c>
      <c r="H126" s="1007">
        <f t="shared" si="142"/>
        <v>0</v>
      </c>
      <c r="I126" s="1007">
        <f t="shared" si="142"/>
        <v>0</v>
      </c>
      <c r="J126" s="1008">
        <f t="shared" si="142"/>
        <v>-13075.110291190795</v>
      </c>
    </row>
    <row r="127" spans="2:10" ht="15" thickBot="1">
      <c r="B127" s="1005" t="s">
        <v>26</v>
      </c>
      <c r="C127" s="941">
        <f>SUM(C122:C126)</f>
        <v>-20205.399099598813</v>
      </c>
      <c r="D127" s="941">
        <f t="shared" ref="D127:J127" si="143">SUM(D122:D126)</f>
        <v>-690395.90034181287</v>
      </c>
      <c r="E127" s="941">
        <f t="shared" si="143"/>
        <v>-390569.39028721396</v>
      </c>
      <c r="F127" s="941">
        <f t="shared" si="143"/>
        <v>10500.402841725285</v>
      </c>
      <c r="G127" s="941">
        <f t="shared" si="143"/>
        <v>6592.6132564423842</v>
      </c>
      <c r="H127" s="941">
        <f t="shared" si="143"/>
        <v>319.38651918280834</v>
      </c>
      <c r="I127" s="941">
        <f t="shared" si="143"/>
        <v>-136640.97772393408</v>
      </c>
      <c r="J127" s="942">
        <f t="shared" si="143"/>
        <v>-1220399.2648352096</v>
      </c>
    </row>
    <row r="129" spans="2:10">
      <c r="B129" t="s">
        <v>995</v>
      </c>
      <c r="C129" s="936">
        <f>C119+C127</f>
        <v>642055.24910747632</v>
      </c>
      <c r="D129" s="936">
        <f t="shared" ref="D129:J129" si="144">D119+D127</f>
        <v>629268.76957688422</v>
      </c>
      <c r="E129" s="936">
        <f t="shared" si="144"/>
        <v>1017231.1662643719</v>
      </c>
      <c r="F129" s="936">
        <f t="shared" si="144"/>
        <v>-5378.7648348362163</v>
      </c>
      <c r="G129" s="936">
        <f t="shared" si="144"/>
        <v>-3379.7555712667181</v>
      </c>
      <c r="H129" s="936">
        <f t="shared" si="144"/>
        <v>-163.89794826612729</v>
      </c>
      <c r="I129" s="936">
        <f t="shared" si="144"/>
        <v>166732.1721626737</v>
      </c>
      <c r="J129" s="936">
        <f t="shared" si="144"/>
        <v>2446364.9387570368</v>
      </c>
    </row>
    <row r="130" spans="2:10">
      <c r="C130" s="936">
        <f>C129-C110</f>
        <v>0</v>
      </c>
      <c r="D130" s="936">
        <f t="shared" ref="D130:J130" si="145">D129-D110</f>
        <v>0</v>
      </c>
      <c r="E130" s="936">
        <f t="shared" si="145"/>
        <v>0</v>
      </c>
      <c r="F130" s="936">
        <f t="shared" si="145"/>
        <v>0</v>
      </c>
      <c r="G130" s="936">
        <f t="shared" si="145"/>
        <v>0</v>
      </c>
      <c r="H130" s="936">
        <f t="shared" si="145"/>
        <v>0</v>
      </c>
      <c r="I130" s="936">
        <f t="shared" si="145"/>
        <v>0</v>
      </c>
      <c r="J130" s="936">
        <f t="shared" si="145"/>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view="pageBreakPreview" topLeftCell="A58" zoomScale="55" zoomScaleNormal="55" zoomScaleSheetLayoutView="55" workbookViewId="0">
      <selection activeCell="A68" sqref="A68"/>
    </sheetView>
  </sheetViews>
  <sheetFormatPr defaultColWidth="9.109375" defaultRowHeight="15.6" outlineLevelRow="1"/>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88671875" style="9" bestFit="1" customWidth="1"/>
    <col min="19" max="19" width="22.44140625" style="9" customWidth="1"/>
    <col min="20" max="20" width="16.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817</v>
      </c>
      <c r="J15" s="127" t="s">
        <v>554</v>
      </c>
      <c r="L15" s="135">
        <f>H21</f>
        <v>89512.728911389029</v>
      </c>
      <c r="N15" s="105"/>
      <c r="Q15" s="101"/>
      <c r="R15" s="98"/>
    </row>
    <row r="16" spans="2:22" ht="26.25" customHeight="1" thickBot="1">
      <c r="B16" s="127" t="s">
        <v>429</v>
      </c>
      <c r="C16" s="108"/>
      <c r="D16" s="571" t="s">
        <v>733</v>
      </c>
      <c r="F16" s="127" t="s">
        <v>419</v>
      </c>
      <c r="G16" s="130"/>
      <c r="H16" s="571" t="s">
        <v>668</v>
      </c>
      <c r="I16" s="17"/>
      <c r="J16" s="127" t="s">
        <v>555</v>
      </c>
      <c r="L16" s="135">
        <f>G42</f>
        <v>89512.728911389029</v>
      </c>
      <c r="M16" s="105"/>
      <c r="Q16" s="110"/>
      <c r="R16" s="98"/>
    </row>
    <row r="17" spans="1:21" ht="28.5" customHeight="1" thickBot="1">
      <c r="B17" s="127" t="s">
        <v>460</v>
      </c>
      <c r="C17" s="108"/>
      <c r="D17" s="572" t="s">
        <v>744</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0</v>
      </c>
      <c r="I18" s="17"/>
      <c r="K18" s="208"/>
      <c r="L18" s="208"/>
      <c r="M18" s="208"/>
      <c r="N18" s="208"/>
      <c r="P18" s="101"/>
      <c r="Q18" s="101"/>
      <c r="R18" s="98"/>
    </row>
    <row r="19" spans="1:21" ht="27.75" customHeight="1" thickBot="1">
      <c r="E19" s="9"/>
      <c r="F19" s="127" t="s">
        <v>441</v>
      </c>
      <c r="G19" s="632" t="s">
        <v>367</v>
      </c>
      <c r="H19" s="134">
        <f>-SUM(R54,R57,R60,R63,R66)</f>
        <v>0</v>
      </c>
      <c r="I19" s="17"/>
      <c r="J19" s="117"/>
      <c r="K19" s="117"/>
      <c r="L19" s="117"/>
      <c r="M19" s="117"/>
      <c r="N19" s="117"/>
      <c r="P19" s="117"/>
      <c r="Q19" s="117"/>
      <c r="R19" s="98"/>
    </row>
    <row r="20" spans="1:21" ht="27.75" customHeight="1" thickBot="1">
      <c r="E20" s="9"/>
      <c r="F20" s="127" t="s">
        <v>413</v>
      </c>
      <c r="G20" s="632" t="s">
        <v>368</v>
      </c>
      <c r="H20" s="202">
        <f>R83</f>
        <v>89512.728911389029</v>
      </c>
      <c r="I20" s="17"/>
      <c r="J20" s="117"/>
      <c r="P20" s="117"/>
      <c r="Q20" s="117"/>
      <c r="R20" s="98"/>
    </row>
    <row r="21" spans="1:21" ht="27.75" customHeight="1">
      <c r="C21" s="32"/>
      <c r="D21" s="32"/>
      <c r="E21" s="32"/>
      <c r="F21" s="127" t="s">
        <v>547</v>
      </c>
      <c r="G21" s="632" t="s">
        <v>455</v>
      </c>
      <c r="H21" s="202">
        <f>H18-H19+H20</f>
        <v>89512.728911389029</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1195" t="s">
        <v>662</v>
      </c>
      <c r="C25" s="1195"/>
      <c r="D25" s="1195"/>
      <c r="E25" s="1195"/>
      <c r="F25" s="1195"/>
      <c r="G25" s="1195"/>
    </row>
    <row r="26" spans="1:21" ht="14.25" customHeight="1">
      <c r="A26" s="28"/>
      <c r="B26" s="577"/>
      <c r="C26" s="577"/>
      <c r="D26" s="566"/>
      <c r="E26" s="566"/>
      <c r="F26" s="566"/>
      <c r="G26" s="577"/>
    </row>
    <row r="27" spans="1:21" s="17" customFormat="1" ht="27" customHeight="1">
      <c r="B27" s="1198" t="s">
        <v>543</v>
      </c>
      <c r="C27" s="1199"/>
      <c r="D27" s="136" t="s">
        <v>41</v>
      </c>
      <c r="E27" s="137" t="s">
        <v>412</v>
      </c>
      <c r="F27" s="137" t="s">
        <v>413</v>
      </c>
      <c r="G27" s="138" t="s">
        <v>414</v>
      </c>
      <c r="T27" s="139"/>
      <c r="U27" s="139"/>
    </row>
    <row r="28" spans="1:21" ht="20.25" customHeight="1">
      <c r="B28" s="1190" t="s">
        <v>29</v>
      </c>
      <c r="C28" s="1191"/>
      <c r="D28" s="140" t="str">
        <f>IF(B28="","",VLOOKUP(B28,DropDownList!$A$1:$B$40,2,FALSE))</f>
        <v>kWh</v>
      </c>
      <c r="E28" s="145">
        <f>SUM(D53:D66)</f>
        <v>0</v>
      </c>
      <c r="F28" s="144">
        <f>D83</f>
        <v>22450.531877124758</v>
      </c>
      <c r="G28" s="143">
        <f>E28+F28</f>
        <v>22450.531877124758</v>
      </c>
      <c r="H28" s="9" t="s">
        <v>728</v>
      </c>
    </row>
    <row r="29" spans="1:21" ht="20.25" customHeight="1">
      <c r="B29" s="1190" t="s">
        <v>375</v>
      </c>
      <c r="C29" s="1191"/>
      <c r="D29" s="140" t="str">
        <f>IF(B29="","",VLOOKUP(B29,DropDownList!$A$1:$B$40,2,FALSE))</f>
        <v>kWh</v>
      </c>
      <c r="E29" s="145">
        <f>SUM(E53:E66)</f>
        <v>0</v>
      </c>
      <c r="F29" s="146">
        <f>E83</f>
        <v>22003.43130953837</v>
      </c>
      <c r="G29" s="145">
        <f>E29+F29</f>
        <v>22003.43130953837</v>
      </c>
      <c r="H29" s="9" t="s">
        <v>728</v>
      </c>
    </row>
    <row r="30" spans="1:21" ht="20.25" customHeight="1">
      <c r="B30" s="1190" t="s">
        <v>376</v>
      </c>
      <c r="C30" s="1191"/>
      <c r="D30" s="140" t="str">
        <f>IF(B30="","",VLOOKUP(B30,DropDownList!$A$1:$B$40,2,FALSE))</f>
        <v>kW</v>
      </c>
      <c r="E30" s="145">
        <f>SUM(F53:F66)</f>
        <v>0</v>
      </c>
      <c r="F30" s="146">
        <f>F83</f>
        <v>35569.183113710853</v>
      </c>
      <c r="G30" s="145">
        <f t="shared" ref="G30:G33" si="0">E30+F30</f>
        <v>35569.183113710853</v>
      </c>
      <c r="H30" s="9" t="s">
        <v>728</v>
      </c>
    </row>
    <row r="31" spans="1:21" ht="20.25" customHeight="1">
      <c r="B31" s="1190" t="s">
        <v>400</v>
      </c>
      <c r="C31" s="1191"/>
      <c r="D31" s="140" t="str">
        <f>IF(B31="","",VLOOKUP(B31,DropDownList!$A$1:$B$40,2,FALSE))</f>
        <v>kW</v>
      </c>
      <c r="E31" s="145">
        <f>SUM(G53:G66)</f>
        <v>0</v>
      </c>
      <c r="F31" s="146">
        <f>G83</f>
        <v>-188.07747705810638</v>
      </c>
      <c r="G31" s="145">
        <f t="shared" si="0"/>
        <v>-188.07747705810638</v>
      </c>
      <c r="H31" s="9" t="s">
        <v>816</v>
      </c>
    </row>
    <row r="32" spans="1:21" ht="20.25" customHeight="1">
      <c r="B32" s="1190" t="s">
        <v>32</v>
      </c>
      <c r="C32" s="1191"/>
      <c r="D32" s="140" t="str">
        <f>IF(B32="","",VLOOKUP(B32,DropDownList!$A$1:$B$40,2,FALSE))</f>
        <v>kWh</v>
      </c>
      <c r="E32" s="145">
        <f>SUM(H53:H66)</f>
        <v>0</v>
      </c>
      <c r="F32" s="146">
        <f>H83</f>
        <v>-118.1787864752929</v>
      </c>
      <c r="G32" s="145">
        <f>E32+F32</f>
        <v>-118.1787864752929</v>
      </c>
      <c r="H32" s="9" t="s">
        <v>816</v>
      </c>
    </row>
    <row r="33" spans="2:22" ht="20.25" customHeight="1">
      <c r="B33" s="1190" t="s">
        <v>30</v>
      </c>
      <c r="C33" s="1191"/>
      <c r="D33" s="140" t="str">
        <f>IF(B33="","",VLOOKUP(B33,DropDownList!$A$1:$B$40,2,FALSE))</f>
        <v>kW</v>
      </c>
      <c r="E33" s="145">
        <f>SUM(I53:I66)</f>
        <v>0</v>
      </c>
      <c r="F33" s="146">
        <f>I83</f>
        <v>-5.7309649243722465</v>
      </c>
      <c r="G33" s="145">
        <f t="shared" si="0"/>
        <v>-5.7309649243722465</v>
      </c>
      <c r="H33" s="9" t="s">
        <v>816</v>
      </c>
    </row>
    <row r="34" spans="2:22" ht="20.25" customHeight="1">
      <c r="B34" s="1190" t="s">
        <v>31</v>
      </c>
      <c r="C34" s="1191"/>
      <c r="D34" s="140" t="str">
        <f>IF(B34="","",VLOOKUP(B34,DropDownList!$A$1:$B$40,2,FALSE))</f>
        <v>kW</v>
      </c>
      <c r="E34" s="145">
        <f>SUM(J53:J66)</f>
        <v>0</v>
      </c>
      <c r="F34" s="146">
        <f>J83</f>
        <v>9801.5698394728206</v>
      </c>
      <c r="G34" s="145">
        <f>E34+F34</f>
        <v>9801.5698394728206</v>
      </c>
      <c r="H34" s="9" t="s">
        <v>728</v>
      </c>
    </row>
    <row r="35" spans="2:22" ht="20.25" customHeight="1">
      <c r="B35" s="1190"/>
      <c r="C35" s="1191"/>
      <c r="D35" s="140" t="str">
        <f>IF(B35="","",VLOOKUP(B35,DropDownList!$A$1:$B$40,2,FALSE))</f>
        <v/>
      </c>
      <c r="E35" s="145">
        <f>SUM(K53:K66)</f>
        <v>0</v>
      </c>
      <c r="F35" s="146">
        <f>K83</f>
        <v>0</v>
      </c>
      <c r="G35" s="145">
        <f t="shared" ref="G35:G41" si="1">E35+F35</f>
        <v>0</v>
      </c>
    </row>
    <row r="36" spans="2:22" ht="20.25" customHeight="1">
      <c r="B36" s="1190"/>
      <c r="C36" s="1191"/>
      <c r="D36" s="140" t="str">
        <f>IF(B36="","",VLOOKUP(B36,DropDownList!$A$1:$B$40,2,FALSE))</f>
        <v/>
      </c>
      <c r="E36" s="145">
        <f>SUM(L53:L66)</f>
        <v>0</v>
      </c>
      <c r="F36" s="146">
        <f>L83</f>
        <v>0</v>
      </c>
      <c r="G36" s="145">
        <f t="shared" si="1"/>
        <v>0</v>
      </c>
    </row>
    <row r="37" spans="2:22" ht="20.25" customHeight="1">
      <c r="B37" s="1190"/>
      <c r="C37" s="1191"/>
      <c r="D37" s="140" t="str">
        <f>IF(B37="","",VLOOKUP(B37,DropDownList!$A$1:$B$40,2,FALSE))</f>
        <v/>
      </c>
      <c r="E37" s="145">
        <f>SUM(M53:M82)</f>
        <v>0</v>
      </c>
      <c r="F37" s="146">
        <f>M83</f>
        <v>0</v>
      </c>
      <c r="G37" s="145">
        <f t="shared" si="1"/>
        <v>0</v>
      </c>
    </row>
    <row r="38" spans="2:22" ht="20.25" customHeight="1">
      <c r="B38" s="1190"/>
      <c r="C38" s="1191"/>
      <c r="D38" s="140" t="str">
        <f>IF(B38="","",VLOOKUP(B38,DropDownList!$A$1:$B$40,2,FALSE))</f>
        <v/>
      </c>
      <c r="E38" s="145">
        <f>SUM(N53:N82)</f>
        <v>0</v>
      </c>
      <c r="F38" s="146">
        <f>N83</f>
        <v>0</v>
      </c>
      <c r="G38" s="145">
        <f t="shared" si="1"/>
        <v>0</v>
      </c>
    </row>
    <row r="39" spans="2:22" ht="20.25" customHeight="1">
      <c r="B39" s="1190"/>
      <c r="C39" s="1191"/>
      <c r="D39" s="140" t="str">
        <f>IF(B39="","",VLOOKUP(B39,DropDownList!$A$1:$B$40,2,FALSE))</f>
        <v/>
      </c>
      <c r="E39" s="145">
        <f>SUM(O53:O82)</f>
        <v>0</v>
      </c>
      <c r="F39" s="146">
        <f>O83</f>
        <v>0</v>
      </c>
      <c r="G39" s="145">
        <f t="shared" si="1"/>
        <v>0</v>
      </c>
    </row>
    <row r="40" spans="2:22" ht="20.25" customHeight="1">
      <c r="B40" s="1190"/>
      <c r="C40" s="1191"/>
      <c r="D40" s="140" t="str">
        <f>IF(B40="","",VLOOKUP(B40,DropDownList!$A$1:$B$40,2,FALSE))</f>
        <v/>
      </c>
      <c r="E40" s="145">
        <f>SUM(P53:P82)</f>
        <v>0</v>
      </c>
      <c r="F40" s="146">
        <f>P83</f>
        <v>0</v>
      </c>
      <c r="G40" s="145">
        <f t="shared" si="1"/>
        <v>0</v>
      </c>
    </row>
    <row r="41" spans="2:22" ht="20.25" customHeight="1">
      <c r="B41" s="1190"/>
      <c r="C41" s="1191"/>
      <c r="D41" s="141" t="str">
        <f>IF(B41="","",VLOOKUP(B41,DropDownList!$A$1:$B$40,2,FALSE))</f>
        <v/>
      </c>
      <c r="E41" s="147">
        <f>SUM(Q53:Q82)</f>
        <v>0</v>
      </c>
      <c r="F41" s="148">
        <f>Q83</f>
        <v>0</v>
      </c>
      <c r="G41" s="147">
        <f t="shared" si="1"/>
        <v>0</v>
      </c>
    </row>
    <row r="42" spans="2:22" s="8" customFormat="1" ht="21" customHeight="1">
      <c r="B42" s="1196" t="s">
        <v>26</v>
      </c>
      <c r="C42" s="1197"/>
      <c r="D42" s="142"/>
      <c r="E42" s="149">
        <f>SUM(E28:E41)</f>
        <v>0</v>
      </c>
      <c r="F42" s="149">
        <f t="shared" ref="F42" si="2">SUM(F28:F41)</f>
        <v>89512.728911389029</v>
      </c>
      <c r="G42" s="149">
        <f>SUM(G28:G41)</f>
        <v>89512.728911389029</v>
      </c>
      <c r="H42" s="215" t="s">
        <v>729</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1195" t="s">
        <v>650</v>
      </c>
      <c r="C47" s="1195"/>
      <c r="D47" s="1195"/>
      <c r="E47" s="1195"/>
      <c r="F47" s="1195"/>
      <c r="G47" s="1195"/>
      <c r="H47" s="1195"/>
      <c r="I47" s="1195"/>
      <c r="J47" s="1195"/>
      <c r="K47" s="1195"/>
      <c r="L47" s="1195"/>
      <c r="M47" s="656"/>
      <c r="N47" s="107"/>
      <c r="O47" s="107"/>
      <c r="P47" s="107"/>
      <c r="Q47" s="107"/>
      <c r="R47" s="107"/>
      <c r="T47" s="37"/>
      <c r="U47" s="19"/>
      <c r="V47" s="38"/>
    </row>
    <row r="48" spans="2:22" s="28" customFormat="1" ht="38.25" customHeight="1">
      <c r="B48" s="1195" t="s">
        <v>663</v>
      </c>
      <c r="C48" s="1195"/>
      <c r="D48" s="1195"/>
      <c r="E48" s="1195"/>
      <c r="F48" s="1195"/>
      <c r="G48" s="1195"/>
      <c r="H48" s="1195"/>
      <c r="I48" s="1195"/>
      <c r="J48" s="1195"/>
      <c r="K48" s="1195"/>
      <c r="L48" s="1195"/>
      <c r="M48" s="656"/>
      <c r="N48" s="107"/>
      <c r="O48" s="107"/>
      <c r="P48" s="107"/>
      <c r="Q48" s="107"/>
      <c r="R48" s="107"/>
      <c r="T48" s="37"/>
      <c r="U48" s="19"/>
      <c r="V48" s="38"/>
    </row>
    <row r="49" spans="2:22" s="28" customFormat="1" ht="23.25" customHeight="1">
      <c r="B49" s="1195" t="s">
        <v>639</v>
      </c>
      <c r="C49" s="1195"/>
      <c r="D49" s="1195"/>
      <c r="E49" s="1195"/>
      <c r="F49" s="1195"/>
      <c r="G49" s="1195"/>
      <c r="H49" s="1195"/>
      <c r="I49" s="1195"/>
      <c r="J49" s="1195"/>
      <c r="K49" s="1195"/>
      <c r="L49" s="1195"/>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1192"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1193"/>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8"/>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9"/>
      <c r="U55" s="163"/>
      <c r="V55" s="157"/>
    </row>
    <row r="56" spans="2:22" s="17" customFormat="1">
      <c r="B56" s="158" t="s">
        <v>144</v>
      </c>
      <c r="C56" s="1194"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9"/>
      <c r="U56" s="156"/>
      <c r="V56" s="157"/>
    </row>
    <row r="57" spans="2:22" s="17" customFormat="1">
      <c r="B57" s="158" t="s">
        <v>36</v>
      </c>
      <c r="C57" s="1193"/>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9"/>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9"/>
      <c r="U58" s="163"/>
      <c r="V58" s="157"/>
    </row>
    <row r="59" spans="2:22" s="167" customFormat="1">
      <c r="B59" s="158" t="s">
        <v>38</v>
      </c>
      <c r="C59" s="1194"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9"/>
      <c r="U59" s="156"/>
      <c r="V59" s="157"/>
    </row>
    <row r="60" spans="2:22" s="167" customFormat="1">
      <c r="B60" s="158" t="s">
        <v>37</v>
      </c>
      <c r="C60" s="1193"/>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9"/>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S61" s="167"/>
      <c r="T61" s="749"/>
      <c r="U61" s="163"/>
      <c r="V61" s="157"/>
    </row>
    <row r="62" spans="2:22" s="167" customFormat="1">
      <c r="B62" s="158" t="s">
        <v>40</v>
      </c>
      <c r="C62" s="1188"/>
      <c r="D62" s="160">
        <f>'4.  2011-2014 LRAM'!Y521</f>
        <v>0</v>
      </c>
      <c r="E62" s="160">
        <f>'4.  2011-2014 LRAM'!Z521</f>
        <v>0</v>
      </c>
      <c r="F62" s="160">
        <f>'4.  2011-2014 LRAM'!AA521</f>
        <v>0</v>
      </c>
      <c r="G62" s="160">
        <f>'4.  2011-2014 LRAM'!AB521</f>
        <v>0</v>
      </c>
      <c r="H62" s="160">
        <f>'4.  2011-2014 LRAM'!AC521</f>
        <v>0</v>
      </c>
      <c r="I62" s="160">
        <f>'4.  2011-2014 LRAM'!AD521</f>
        <v>0</v>
      </c>
      <c r="J62" s="160"/>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0</v>
      </c>
      <c r="S62" s="876"/>
      <c r="T62" s="749"/>
      <c r="U62" s="156"/>
      <c r="V62" s="157"/>
    </row>
    <row r="63" spans="2:22" s="167" customFormat="1">
      <c r="B63" s="158" t="s">
        <v>39</v>
      </c>
      <c r="C63" s="1189"/>
      <c r="D63" s="160">
        <f>-'4.  2011-2014 LRAM'!Y522</f>
        <v>0</v>
      </c>
      <c r="E63" s="160">
        <f>-'4.  2011-2014 LRAM'!Z522</f>
        <v>0</v>
      </c>
      <c r="F63" s="160">
        <f>-'4.  2011-2014 LRAM'!AA522</f>
        <v>0</v>
      </c>
      <c r="G63" s="160">
        <f>-'4.  2011-2014 LRAM'!AB522</f>
        <v>0</v>
      </c>
      <c r="H63" s="160">
        <f>-'4.  2011-2014 LRAM'!AC522</f>
        <v>0</v>
      </c>
      <c r="I63" s="160">
        <f>-'4.  2011-2014 LRAM'!AD522</f>
        <v>0</v>
      </c>
      <c r="J63" s="160">
        <f>-'4.  2011-2014 LRAM'!AE522</f>
        <v>0</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0</v>
      </c>
      <c r="S63" s="877"/>
      <c r="T63" s="749"/>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S64" s="878"/>
      <c r="T64" s="749"/>
      <c r="U64" s="163"/>
      <c r="V64" s="157"/>
    </row>
    <row r="65" spans="2:22" s="167" customFormat="1">
      <c r="B65" s="158" t="s">
        <v>94</v>
      </c>
      <c r="C65" s="1188"/>
      <c r="D65" s="168">
        <f>'5.  2015-2020 LRAM'!Y204</f>
        <v>0</v>
      </c>
      <c r="E65" s="168">
        <f>'5.  2015-2020 LRAM'!Z204</f>
        <v>0</v>
      </c>
      <c r="F65" s="168">
        <f>'5.  2015-2020 LRAM'!AA204</f>
        <v>0</v>
      </c>
      <c r="G65" s="168">
        <f>'5.  2015-2020 LRAM'!AB204</f>
        <v>0</v>
      </c>
      <c r="H65" s="168">
        <f>'5.  2015-2020 LRAM'!AC204</f>
        <v>0</v>
      </c>
      <c r="I65" s="168">
        <f>'5.  2015-2020 LRAM'!AD204</f>
        <v>0</v>
      </c>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0</v>
      </c>
      <c r="S65" s="876"/>
      <c r="T65" s="749"/>
      <c r="U65" s="156"/>
      <c r="V65" s="157"/>
    </row>
    <row r="66" spans="2:22" s="167" customFormat="1">
      <c r="B66" s="158" t="s">
        <v>93</v>
      </c>
      <c r="C66" s="1189"/>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0</v>
      </c>
      <c r="S66" s="877"/>
      <c r="T66" s="749"/>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S67" s="878"/>
      <c r="T67" s="749"/>
      <c r="U67" s="163"/>
      <c r="V67" s="157"/>
    </row>
    <row r="68" spans="2:22" s="167" customFormat="1" outlineLevel="1">
      <c r="B68" s="158" t="s">
        <v>228</v>
      </c>
      <c r="C68" s="1188"/>
      <c r="D68" s="160">
        <f>'5.  2015-2020 LRAM'!Y397</f>
        <v>1265387.0936844898</v>
      </c>
      <c r="E68" s="160">
        <f>'5.  2015-2020 LRAM'!Z397</f>
        <v>870449.5698776861</v>
      </c>
      <c r="F68" s="160">
        <f>'5.  2015-2020 LRAM'!AA397</f>
        <v>1679587.0238285656</v>
      </c>
      <c r="G68" s="160">
        <f>'5.  2015-2020 LRAM'!AB397</f>
        <v>0</v>
      </c>
      <c r="H68" s="160">
        <f>'5.  2015-2020 LRAM'!AC397</f>
        <v>0</v>
      </c>
      <c r="I68" s="160">
        <f>'5.  2015-2020 LRAM'!AD397</f>
        <v>0</v>
      </c>
      <c r="J68" s="895">
        <f>'8. SL Adjustment'!B138</f>
        <v>186097.25564760985</v>
      </c>
      <c r="K68" s="160">
        <f>'5.  2015-2020 LRAM'!AF397</f>
        <v>0</v>
      </c>
      <c r="L68" s="160">
        <f>'5.  2015-2020 LRAM'!AG397</f>
        <v>0</v>
      </c>
      <c r="M68" s="160">
        <f>'5.  2015-2020 LRAM'!AH397</f>
        <v>0</v>
      </c>
      <c r="N68" s="160">
        <f>'5.  2015-2020 LRAM'!AI397</f>
        <v>0</v>
      </c>
      <c r="O68" s="160">
        <f>'5.  2015-2020 LRAM'!AJ397</f>
        <v>0</v>
      </c>
      <c r="P68" s="160">
        <f>'5.  2015-2020 LRAM'!AK397</f>
        <v>0</v>
      </c>
      <c r="Q68" s="160">
        <f>'5.  2015-2020 LRAM'!AL397</f>
        <v>0</v>
      </c>
      <c r="R68" s="161">
        <f>SUM(D68:Q68)</f>
        <v>4001520.9430383514</v>
      </c>
      <c r="S68" s="876"/>
      <c r="T68" s="749"/>
      <c r="U68" s="156"/>
      <c r="V68" s="157"/>
    </row>
    <row r="69" spans="2:22" s="167" customFormat="1" outlineLevel="1">
      <c r="B69" s="158" t="s">
        <v>227</v>
      </c>
      <c r="C69" s="1189"/>
      <c r="D69" s="160">
        <f>-'5.  2015-2020 LRAM'!Y398</f>
        <v>-623331.84457701363</v>
      </c>
      <c r="E69" s="160">
        <f>-'5.  2015-2020 LRAM'!Z398</f>
        <v>-241180.80030080199</v>
      </c>
      <c r="F69" s="160">
        <f>-'5.  2015-2020 LRAM'!AA398</f>
        <v>-662355.8575641939</v>
      </c>
      <c r="G69" s="160">
        <f>-'5.  2015-2020 LRAM'!AB398</f>
        <v>-5378.7648348362163</v>
      </c>
      <c r="H69" s="160">
        <f>-'5.  2015-2020 LRAM'!AC398</f>
        <v>-3379.7555712667181</v>
      </c>
      <c r="I69" s="160">
        <f>-'5.  2015-2020 LRAM'!AD398</f>
        <v>-163.89794826612723</v>
      </c>
      <c r="J69" s="160">
        <f>-'5.  2015-2020 LRAM'!AE398</f>
        <v>-19365.083484936178</v>
      </c>
      <c r="K69" s="160">
        <f>-'5.  2015-2020 LRAM'!AF398</f>
        <v>0</v>
      </c>
      <c r="L69" s="160">
        <f>-'5.  2015-2020 LRAM'!AG398</f>
        <v>0</v>
      </c>
      <c r="M69" s="160">
        <f>-'5.  2015-2020 LRAM'!AH398</f>
        <v>0</v>
      </c>
      <c r="N69" s="160">
        <f>-'5.  2015-2020 LRAM'!AI398</f>
        <v>0</v>
      </c>
      <c r="O69" s="160">
        <f>-'5.  2015-2020 LRAM'!AJ398</f>
        <v>0</v>
      </c>
      <c r="P69" s="160">
        <f>-'5.  2015-2020 LRAM'!AK398</f>
        <v>0</v>
      </c>
      <c r="Q69" s="160">
        <f>-'5.  2015-2020 LRAM'!AL398</f>
        <v>0</v>
      </c>
      <c r="R69" s="161">
        <f>SUM(D69:Q69)</f>
        <v>-1555156.0042813148</v>
      </c>
      <c r="S69" s="877"/>
      <c r="T69" s="749"/>
      <c r="U69" s="156"/>
      <c r="V69" s="157"/>
    </row>
    <row r="70" spans="2:22" s="139" customFormat="1" outlineLevel="1">
      <c r="B70" s="665" t="s">
        <v>67</v>
      </c>
      <c r="C70" s="661"/>
      <c r="D70" s="164"/>
      <c r="E70" s="164"/>
      <c r="F70" s="164"/>
      <c r="G70" s="164"/>
      <c r="H70" s="164"/>
      <c r="I70" s="164"/>
      <c r="J70" s="164"/>
      <c r="K70" s="165"/>
      <c r="L70" s="165"/>
      <c r="M70" s="165"/>
      <c r="N70" s="165"/>
      <c r="O70" s="165"/>
      <c r="P70" s="165"/>
      <c r="Q70" s="165"/>
      <c r="R70" s="166"/>
      <c r="S70" s="878"/>
      <c r="T70" s="749"/>
      <c r="U70" s="163"/>
      <c r="V70" s="157"/>
    </row>
    <row r="71" spans="2:22" s="167" customFormat="1" outlineLevel="1">
      <c r="B71" s="158" t="s">
        <v>230</v>
      </c>
      <c r="C71" s="563"/>
      <c r="D71" s="160">
        <f>'5.  2015-2020 LRAM'!Y581</f>
        <v>0</v>
      </c>
      <c r="E71" s="160">
        <f>'5.  2015-2020 LRAM'!Z581</f>
        <v>0</v>
      </c>
      <c r="F71" s="160">
        <f>'5.  2015-2020 LRAM'!AA581</f>
        <v>0</v>
      </c>
      <c r="G71" s="160">
        <f>'5.  2015-2020 LRAM'!AB581</f>
        <v>0</v>
      </c>
      <c r="H71" s="160">
        <f>'5.  2015-2020 LRAM'!AC581</f>
        <v>0</v>
      </c>
      <c r="I71" s="160">
        <f>'5.  2015-2020 LRAM'!AD581</f>
        <v>0</v>
      </c>
      <c r="J71" s="895">
        <f>'8. SL Adjustment'!C138</f>
        <v>0</v>
      </c>
      <c r="K71" s="160">
        <f>'5.  2015-2020 LRAM'!AF581</f>
        <v>0</v>
      </c>
      <c r="L71" s="160">
        <f>'5.  2015-2020 LRAM'!AG581</f>
        <v>0</v>
      </c>
      <c r="M71" s="160">
        <f>'5.  2015-2020 LRAM'!AH581</f>
        <v>0</v>
      </c>
      <c r="N71" s="160">
        <f>'5.  2015-2020 LRAM'!AI581</f>
        <v>0</v>
      </c>
      <c r="O71" s="160">
        <f>'5.  2015-2020 LRAM'!AJ581</f>
        <v>0</v>
      </c>
      <c r="P71" s="160">
        <f>'5.  2015-2020 LRAM'!AK581</f>
        <v>0</v>
      </c>
      <c r="Q71" s="160">
        <f>'5.  2015-2020 LRAM'!AL581</f>
        <v>0</v>
      </c>
      <c r="R71" s="161">
        <f>SUM(D71:Q71)</f>
        <v>0</v>
      </c>
      <c r="S71" s="876"/>
      <c r="T71" s="749"/>
      <c r="U71" s="156"/>
      <c r="V71" s="157"/>
    </row>
    <row r="72" spans="2:22" s="167" customFormat="1" outlineLevel="1">
      <c r="B72" s="158" t="s">
        <v>229</v>
      </c>
      <c r="C72" s="159"/>
      <c r="D72" s="160">
        <f>-'5.  2015-2020 LRAM'!Y582</f>
        <v>0</v>
      </c>
      <c r="E72" s="160">
        <f>-'5.  2015-2020 LRAM'!Z582</f>
        <v>0</v>
      </c>
      <c r="F72" s="160">
        <f>-'5.  2015-2020 LRAM'!AA582</f>
        <v>0</v>
      </c>
      <c r="G72" s="160">
        <f>-'5.  2015-2020 LRAM'!AB582</f>
        <v>0</v>
      </c>
      <c r="H72" s="160">
        <f>-'5.  2015-2020 LRAM'!AC582</f>
        <v>0</v>
      </c>
      <c r="I72" s="160">
        <f>-'5.  2015-2020 LRAM'!AD582</f>
        <v>0</v>
      </c>
      <c r="J72" s="160">
        <f>-'5.  2015-2020 LRAM'!AE582</f>
        <v>0</v>
      </c>
      <c r="K72" s="160">
        <f>-'5.  2015-2020 LRAM'!AF582</f>
        <v>0</v>
      </c>
      <c r="L72" s="160">
        <f>-'5.  2015-2020 LRAM'!AG582</f>
        <v>0</v>
      </c>
      <c r="M72" s="160">
        <f>-'5.  2015-2020 LRAM'!AH582</f>
        <v>0</v>
      </c>
      <c r="N72" s="160">
        <f>-'5.  2015-2020 LRAM'!AI582</f>
        <v>0</v>
      </c>
      <c r="O72" s="160">
        <f>-'5.  2015-2020 LRAM'!AJ582</f>
        <v>0</v>
      </c>
      <c r="P72" s="160">
        <f>-'5.  2015-2020 LRAM'!AK582</f>
        <v>0</v>
      </c>
      <c r="Q72" s="160">
        <f>-'5.  2015-2020 LRAM'!AL582</f>
        <v>0</v>
      </c>
      <c r="R72" s="161">
        <f>SUM(D72:Q72)</f>
        <v>0</v>
      </c>
      <c r="S72" s="877"/>
      <c r="T72" s="749"/>
      <c r="U72" s="156"/>
      <c r="V72" s="157"/>
    </row>
    <row r="73" spans="2:22" s="139" customFormat="1" outlineLevel="1">
      <c r="B73" s="665" t="s">
        <v>67</v>
      </c>
      <c r="C73" s="661"/>
      <c r="D73" s="164"/>
      <c r="E73" s="164"/>
      <c r="F73" s="164"/>
      <c r="G73" s="164"/>
      <c r="H73" s="164"/>
      <c r="I73" s="164"/>
      <c r="J73" s="164"/>
      <c r="K73" s="165"/>
      <c r="L73" s="165"/>
      <c r="M73" s="165"/>
      <c r="N73" s="165"/>
      <c r="O73" s="165"/>
      <c r="P73" s="165"/>
      <c r="Q73" s="165"/>
      <c r="R73" s="166"/>
      <c r="S73" s="878"/>
      <c r="T73" s="749"/>
      <c r="U73" s="163"/>
      <c r="V73" s="157"/>
    </row>
    <row r="74" spans="2:22" s="167" customFormat="1" outlineLevel="1">
      <c r="B74" s="158" t="s">
        <v>232</v>
      </c>
      <c r="C74" s="563"/>
      <c r="D74" s="160">
        <f>'5.  2015-2020 LRAM'!Y765</f>
        <v>0</v>
      </c>
      <c r="E74" s="160">
        <f>'5.  2015-2020 LRAM'!Z765</f>
        <v>0</v>
      </c>
      <c r="F74" s="160">
        <f>'5.  2015-2020 LRAM'!AA765</f>
        <v>0</v>
      </c>
      <c r="G74" s="160">
        <f>'5.  2015-2020 LRAM'!AB765</f>
        <v>0</v>
      </c>
      <c r="H74" s="160">
        <f>'5.  2015-2020 LRAM'!AC765</f>
        <v>0</v>
      </c>
      <c r="I74" s="160">
        <f>'5.  2015-2020 LRAM'!AD765</f>
        <v>0</v>
      </c>
      <c r="J74" s="160">
        <f>'5.  2015-2020 LRAM'!AE765</f>
        <v>0</v>
      </c>
      <c r="K74" s="160">
        <f>'5.  2015-2020 LRAM'!AF765</f>
        <v>0</v>
      </c>
      <c r="L74" s="160">
        <f>'5.  2015-2020 LRAM'!AG765</f>
        <v>0</v>
      </c>
      <c r="M74" s="160">
        <f>'5.  2015-2020 LRAM'!AH765</f>
        <v>0</v>
      </c>
      <c r="N74" s="160">
        <f>'5.  2015-2020 LRAM'!AI765</f>
        <v>0</v>
      </c>
      <c r="O74" s="160">
        <f>'5.  2015-2020 LRAM'!AJ765</f>
        <v>0</v>
      </c>
      <c r="P74" s="160">
        <f>'5.  2015-2020 LRAM'!AK765</f>
        <v>0</v>
      </c>
      <c r="Q74" s="160">
        <f>'5.  2015-2020 LRAM'!AL765</f>
        <v>0</v>
      </c>
      <c r="R74" s="161">
        <f>SUM(D74:Q74)</f>
        <v>0</v>
      </c>
      <c r="S74" s="876"/>
      <c r="T74" s="749"/>
      <c r="U74" s="156"/>
      <c r="V74" s="157"/>
    </row>
    <row r="75" spans="2:22" s="167" customFormat="1" ht="16.5" customHeight="1" outlineLevel="1">
      <c r="B75" s="158" t="s">
        <v>231</v>
      </c>
      <c r="C75" s="159"/>
      <c r="D75" s="160">
        <f>-'5.  2015-2020 LRAM'!Y766</f>
        <v>0</v>
      </c>
      <c r="E75" s="160">
        <f>-'5.  2015-2020 LRAM'!Z766</f>
        <v>0</v>
      </c>
      <c r="F75" s="160">
        <f>-'5.  2015-2020 LRAM'!AA766</f>
        <v>0</v>
      </c>
      <c r="G75" s="160">
        <f>-'5.  2015-2020 LRAM'!AB766</f>
        <v>0</v>
      </c>
      <c r="H75" s="160">
        <f>-'5.  2015-2020 LRAM'!AC766</f>
        <v>0</v>
      </c>
      <c r="I75" s="160">
        <f>-'5.  2015-2020 LRAM'!AD766</f>
        <v>0</v>
      </c>
      <c r="J75" s="160">
        <f>-'5.  2015-2020 LRAM'!AE766</f>
        <v>0</v>
      </c>
      <c r="K75" s="160">
        <f>-'5.  2015-2020 LRAM'!AF766</f>
        <v>0</v>
      </c>
      <c r="L75" s="160">
        <f>-'5.  2015-2020 LRAM'!AG766</f>
        <v>0</v>
      </c>
      <c r="M75" s="160">
        <f>-'5.  2015-2020 LRAM'!AH766</f>
        <v>0</v>
      </c>
      <c r="N75" s="160">
        <f>-'5.  2015-2020 LRAM'!AI766</f>
        <v>0</v>
      </c>
      <c r="O75" s="160">
        <f>-'5.  2015-2020 LRAM'!AJ766</f>
        <v>0</v>
      </c>
      <c r="P75" s="160">
        <f>-'5.  2015-2020 LRAM'!AK766</f>
        <v>0</v>
      </c>
      <c r="Q75" s="160">
        <f>-'5.  2015-2020 LRAM'!AL766</f>
        <v>0</v>
      </c>
      <c r="R75" s="161">
        <f>SUM(D75:Q75)</f>
        <v>0</v>
      </c>
      <c r="S75" s="877"/>
      <c r="T75" s="749"/>
      <c r="U75" s="156"/>
      <c r="V75" s="157"/>
    </row>
    <row r="76" spans="2:22" s="139" customFormat="1" outlineLevel="1">
      <c r="B76" s="665" t="s">
        <v>67</v>
      </c>
      <c r="C76" s="661"/>
      <c r="D76" s="164"/>
      <c r="E76" s="164"/>
      <c r="F76" s="164"/>
      <c r="G76" s="164"/>
      <c r="H76" s="164"/>
      <c r="I76" s="164"/>
      <c r="J76" s="164"/>
      <c r="K76" s="165"/>
      <c r="L76" s="165"/>
      <c r="M76" s="165"/>
      <c r="N76" s="165"/>
      <c r="O76" s="165"/>
      <c r="P76" s="165"/>
      <c r="Q76" s="165"/>
      <c r="R76" s="166"/>
      <c r="S76" s="878"/>
      <c r="T76" s="749"/>
      <c r="U76" s="163"/>
      <c r="V76" s="157"/>
    </row>
    <row r="77" spans="2:22" s="167" customFormat="1" outlineLevel="1">
      <c r="B77" s="158" t="s">
        <v>234</v>
      </c>
      <c r="C77" s="159"/>
      <c r="D77" s="160">
        <f>'5.  2015-2020 LRAM'!Y949</f>
        <v>0</v>
      </c>
      <c r="E77" s="160">
        <f>'5.  2015-2020 LRAM'!Z949</f>
        <v>0</v>
      </c>
      <c r="F77" s="160">
        <f>'5.  2015-2020 LRAM'!AA949</f>
        <v>0</v>
      </c>
      <c r="G77" s="160">
        <f>'5.  2015-2020 LRAM'!AB949</f>
        <v>0</v>
      </c>
      <c r="H77" s="160">
        <f>'5.  2015-2020 LRAM'!AC949</f>
        <v>0</v>
      </c>
      <c r="I77" s="160">
        <f>'5.  2015-2020 LRAM'!AD949</f>
        <v>0</v>
      </c>
      <c r="J77" s="160">
        <f>'5.  2015-2020 LRAM'!AE949</f>
        <v>0</v>
      </c>
      <c r="K77" s="160">
        <f>'5.  2015-2020 LRAM'!AF949</f>
        <v>0</v>
      </c>
      <c r="L77" s="160">
        <f>'5.  2015-2020 LRAM'!AG949</f>
        <v>0</v>
      </c>
      <c r="M77" s="160">
        <f>'5.  2015-2020 LRAM'!AH949</f>
        <v>0</v>
      </c>
      <c r="N77" s="160">
        <f>'5.  2015-2020 LRAM'!AI949</f>
        <v>0</v>
      </c>
      <c r="O77" s="160">
        <f>'5.  2015-2020 LRAM'!AJ949</f>
        <v>0</v>
      </c>
      <c r="P77" s="160">
        <f>'5.  2015-2020 LRAM'!AK949</f>
        <v>0</v>
      </c>
      <c r="Q77" s="160">
        <f>'5.  2015-2020 LRAM'!AL949</f>
        <v>0</v>
      </c>
      <c r="R77" s="161">
        <f>SUM(D77:Q77)</f>
        <v>0</v>
      </c>
      <c r="S77" s="876"/>
      <c r="T77" s="749"/>
      <c r="U77" s="156"/>
      <c r="V77" s="157"/>
    </row>
    <row r="78" spans="2:22" s="167" customFormat="1" outlineLevel="1">
      <c r="B78" s="158" t="s">
        <v>233</v>
      </c>
      <c r="C78" s="159"/>
      <c r="D78" s="160">
        <f>-'5.  2015-2020 LRAM'!Y950</f>
        <v>0</v>
      </c>
      <c r="E78" s="160">
        <f>-'5.  2015-2020 LRAM'!Z950</f>
        <v>0</v>
      </c>
      <c r="F78" s="160">
        <f>-'5.  2015-2020 LRAM'!AA950</f>
        <v>0</v>
      </c>
      <c r="G78" s="160">
        <f>-'5.  2015-2020 LRAM'!AB950</f>
        <v>0</v>
      </c>
      <c r="H78" s="160">
        <f>-'5.  2015-2020 LRAM'!AC950</f>
        <v>0</v>
      </c>
      <c r="I78" s="160">
        <f>-'5.  2015-2020 LRAM'!AD950</f>
        <v>0</v>
      </c>
      <c r="J78" s="160">
        <f>-'5.  2015-2020 LRAM'!AE950</f>
        <v>0</v>
      </c>
      <c r="K78" s="160">
        <f>-'5.  2015-2020 LRAM'!AF950</f>
        <v>0</v>
      </c>
      <c r="L78" s="160">
        <f>-'5.  2015-2020 LRAM'!AG950</f>
        <v>0</v>
      </c>
      <c r="M78" s="160">
        <f>-'5.  2015-2020 LRAM'!AH950</f>
        <v>0</v>
      </c>
      <c r="N78" s="160">
        <f>-'5.  2015-2020 LRAM'!AI950</f>
        <v>0</v>
      </c>
      <c r="O78" s="160">
        <f>-'5.  2015-2020 LRAM'!AJ950</f>
        <v>0</v>
      </c>
      <c r="P78" s="160">
        <f>-'5.  2015-2020 LRAM'!AK950</f>
        <v>0</v>
      </c>
      <c r="Q78" s="160">
        <f>-'5.  2015-2020 LRAM'!AL950</f>
        <v>0</v>
      </c>
      <c r="R78" s="161">
        <f>SUM(D78:Q78)</f>
        <v>0</v>
      </c>
      <c r="S78" s="877"/>
      <c r="T78" s="749"/>
      <c r="U78" s="156"/>
      <c r="V78" s="157"/>
    </row>
    <row r="79" spans="2:22" s="139" customFormat="1" outlineLevel="1">
      <c r="B79" s="665" t="s">
        <v>67</v>
      </c>
      <c r="C79" s="661"/>
      <c r="D79" s="164"/>
      <c r="E79" s="164"/>
      <c r="F79" s="164"/>
      <c r="G79" s="164"/>
      <c r="H79" s="164"/>
      <c r="I79" s="164"/>
      <c r="J79" s="164"/>
      <c r="K79" s="165"/>
      <c r="L79" s="165"/>
      <c r="M79" s="165"/>
      <c r="N79" s="165"/>
      <c r="O79" s="165"/>
      <c r="P79" s="165"/>
      <c r="Q79" s="165"/>
      <c r="R79" s="166"/>
      <c r="S79" s="878"/>
      <c r="T79" s="749"/>
      <c r="U79" s="163"/>
      <c r="V79" s="157"/>
    </row>
    <row r="80" spans="2:22" s="167" customFormat="1" outlineLevel="1">
      <c r="B80" s="158" t="s">
        <v>236</v>
      </c>
      <c r="C80" s="563"/>
      <c r="D80" s="160">
        <f>'5.  2015-2020 LRAM'!Y1133</f>
        <v>0</v>
      </c>
      <c r="E80" s="160">
        <f>'5.  2015-2020 LRAM'!Z1133</f>
        <v>0</v>
      </c>
      <c r="F80" s="160">
        <f>'5.  2015-2020 LRAM'!AA1133</f>
        <v>0</v>
      </c>
      <c r="G80" s="160">
        <f>'5.  2015-2020 LRAM'!AB1133</f>
        <v>0</v>
      </c>
      <c r="H80" s="160">
        <f>'5.  2015-2020 LRAM'!AC1133</f>
        <v>0</v>
      </c>
      <c r="I80" s="160">
        <f>'5.  2015-2020 LRAM'!AD1133</f>
        <v>0</v>
      </c>
      <c r="J80" s="160">
        <f>'5.  2015-2020 LRAM'!AE1133</f>
        <v>0</v>
      </c>
      <c r="K80" s="160">
        <f>'5.  2015-2020 LRAM'!AF1133</f>
        <v>0</v>
      </c>
      <c r="L80" s="160">
        <f>'5.  2015-2020 LRAM'!AG1133</f>
        <v>0</v>
      </c>
      <c r="M80" s="160">
        <f>'5.  2015-2020 LRAM'!AH1133</f>
        <v>0</v>
      </c>
      <c r="N80" s="160">
        <f>'5.  2015-2020 LRAM'!AI1133</f>
        <v>0</v>
      </c>
      <c r="O80" s="160">
        <f>'5.  2015-2020 LRAM'!AJ1133</f>
        <v>0</v>
      </c>
      <c r="P80" s="160">
        <f>'5.  2015-2020 LRAM'!AK1133</f>
        <v>0</v>
      </c>
      <c r="Q80" s="160">
        <f>'5.  2015-2020 LRAM'!AL1133</f>
        <v>0</v>
      </c>
      <c r="R80" s="161">
        <f>SUM(D80:Q80)</f>
        <v>0</v>
      </c>
      <c r="S80" s="876"/>
      <c r="T80" s="749"/>
      <c r="U80" s="156"/>
      <c r="V80" s="157"/>
    </row>
    <row r="81" spans="2:22" s="167" customFormat="1" outlineLevel="1">
      <c r="B81" s="158" t="s">
        <v>235</v>
      </c>
      <c r="C81" s="159"/>
      <c r="D81" s="160">
        <f>-'5.  2015-2020 LRAM'!Y1134</f>
        <v>0</v>
      </c>
      <c r="E81" s="160">
        <f>-'5.  2015-2020 LRAM'!Z1134</f>
        <v>0</v>
      </c>
      <c r="F81" s="160">
        <f>-'5.  2015-2020 LRAM'!AA1134</f>
        <v>0</v>
      </c>
      <c r="G81" s="160">
        <f>-'5.  2015-2020 LRAM'!AB1134</f>
        <v>0</v>
      </c>
      <c r="H81" s="160">
        <f>-'5.  2015-2020 LRAM'!AC1134</f>
        <v>0</v>
      </c>
      <c r="I81" s="160">
        <f>-'5.  2015-2020 LRAM'!AD1134</f>
        <v>0</v>
      </c>
      <c r="J81" s="160">
        <f>-'5.  2015-2020 LRAM'!AE1134</f>
        <v>0</v>
      </c>
      <c r="K81" s="160">
        <f>-'5.  2015-2020 LRAM'!AF1134</f>
        <v>0</v>
      </c>
      <c r="L81" s="160">
        <f>-'5.  2015-2020 LRAM'!AG1134</f>
        <v>0</v>
      </c>
      <c r="M81" s="160">
        <f>-'5.  2015-2020 LRAM'!AH1134</f>
        <v>0</v>
      </c>
      <c r="N81" s="160">
        <f>-'5.  2015-2020 LRAM'!AI1134</f>
        <v>0</v>
      </c>
      <c r="O81" s="160">
        <f>-'5.  2015-2020 LRAM'!AJ1134</f>
        <v>0</v>
      </c>
      <c r="P81" s="160">
        <f>-'5.  2015-2020 LRAM'!AK1134</f>
        <v>0</v>
      </c>
      <c r="Q81" s="160">
        <f>-'5.  2015-2020 LRAM'!AL1134</f>
        <v>0</v>
      </c>
      <c r="R81" s="161">
        <f>SUM(D81:Q81)</f>
        <v>0</v>
      </c>
      <c r="S81" s="877"/>
      <c r="T81" s="749"/>
      <c r="U81" s="156"/>
      <c r="V81" s="157"/>
    </row>
    <row r="82" spans="2:22" s="139" customFormat="1" outlineLevel="1">
      <c r="B82" s="665" t="s">
        <v>67</v>
      </c>
      <c r="C82" s="661"/>
      <c r="D82" s="164"/>
      <c r="E82" s="164"/>
      <c r="F82" s="164"/>
      <c r="G82" s="164"/>
      <c r="H82" s="164"/>
      <c r="I82" s="164"/>
      <c r="J82" s="164"/>
      <c r="K82" s="165"/>
      <c r="L82" s="165"/>
      <c r="M82" s="165"/>
      <c r="N82" s="165"/>
      <c r="O82" s="165"/>
      <c r="P82" s="165"/>
      <c r="Q82" s="165"/>
      <c r="R82" s="166"/>
      <c r="S82" s="876"/>
      <c r="T82" s="749"/>
      <c r="U82" s="163"/>
      <c r="V82" s="157"/>
    </row>
    <row r="83" spans="2:22" s="17" customFormat="1" ht="20.25" customHeight="1">
      <c r="B83" s="662" t="s">
        <v>43</v>
      </c>
      <c r="C83" s="661"/>
      <c r="D83" s="169">
        <f>'6.  Carrying Charges'!I132</f>
        <v>22450.531877124758</v>
      </c>
      <c r="E83" s="169">
        <f>'6.  Carrying Charges'!J132</f>
        <v>22003.43130953837</v>
      </c>
      <c r="F83" s="169">
        <f>'6.  Carrying Charges'!K132</f>
        <v>35569.183113710853</v>
      </c>
      <c r="G83" s="169">
        <f>'6.  Carrying Charges'!L132</f>
        <v>-188.07747705810638</v>
      </c>
      <c r="H83" s="169">
        <f>'6.  Carrying Charges'!M132</f>
        <v>-118.1787864752929</v>
      </c>
      <c r="I83" s="169">
        <f>'6.  Carrying Charges'!N132</f>
        <v>-5.7309649243722465</v>
      </c>
      <c r="J83" s="169">
        <f>'6.  Carrying Charges'!O132</f>
        <v>9801.5698394728206</v>
      </c>
      <c r="K83" s="169">
        <f>'6.  Carrying Charges'!P132</f>
        <v>0</v>
      </c>
      <c r="L83" s="169">
        <f>'6.  Carrying Charges'!Q132</f>
        <v>0</v>
      </c>
      <c r="M83" s="169">
        <f>'6.  Carrying Charges'!R132</f>
        <v>0</v>
      </c>
      <c r="N83" s="169">
        <f>'6.  Carrying Charges'!S132</f>
        <v>0</v>
      </c>
      <c r="O83" s="169">
        <f>'6.  Carrying Charges'!T132</f>
        <v>0</v>
      </c>
      <c r="P83" s="169">
        <f>'6.  Carrying Charges'!U132</f>
        <v>0</v>
      </c>
      <c r="Q83" s="169">
        <f>'6.  Carrying Charges'!V132</f>
        <v>0</v>
      </c>
      <c r="R83" s="170">
        <f>SUM(D83:Q83)</f>
        <v>89512.728911389029</v>
      </c>
      <c r="S83" s="878"/>
      <c r="T83" s="749"/>
      <c r="U83" s="156"/>
      <c r="V83" s="157"/>
    </row>
    <row r="84" spans="2:22" s="167" customFormat="1" ht="21.75" customHeight="1">
      <c r="B84" s="663" t="s">
        <v>243</v>
      </c>
      <c r="C84" s="664"/>
      <c r="D84" s="657">
        <f t="shared" ref="D84:Q84" si="4">SUM(D53:D72)+D83</f>
        <v>664505.78098460101</v>
      </c>
      <c r="E84" s="657">
        <f t="shared" si="4"/>
        <v>651272.20088642254</v>
      </c>
      <c r="F84" s="657">
        <f t="shared" si="4"/>
        <v>1052800.3493780827</v>
      </c>
      <c r="G84" s="657">
        <f t="shared" si="4"/>
        <v>-5566.8423118943228</v>
      </c>
      <c r="H84" s="657">
        <f t="shared" si="4"/>
        <v>-3497.9343577420109</v>
      </c>
      <c r="I84" s="657">
        <f t="shared" si="4"/>
        <v>-169.62891319049947</v>
      </c>
      <c r="J84" s="657">
        <f t="shared" si="4"/>
        <v>176533.74200214649</v>
      </c>
      <c r="K84" s="657">
        <f t="shared" si="4"/>
        <v>0</v>
      </c>
      <c r="L84" s="657">
        <f t="shared" si="4"/>
        <v>0</v>
      </c>
      <c r="M84" s="657">
        <f t="shared" si="4"/>
        <v>0</v>
      </c>
      <c r="N84" s="657">
        <f t="shared" si="4"/>
        <v>0</v>
      </c>
      <c r="O84" s="657">
        <f t="shared" si="4"/>
        <v>0</v>
      </c>
      <c r="P84" s="657">
        <f t="shared" si="4"/>
        <v>0</v>
      </c>
      <c r="Q84" s="657">
        <f t="shared" si="4"/>
        <v>0</v>
      </c>
      <c r="R84" s="657">
        <f>SUM(R53:R72)+R83</f>
        <v>2535877.6676684259</v>
      </c>
      <c r="S84" s="879" t="s">
        <v>1113</v>
      </c>
      <c r="T84" s="749"/>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V85" s="13"/>
    </row>
    <row r="86" spans="2:22" ht="20.25" customHeight="1">
      <c r="B86" s="660"/>
      <c r="C86" s="68"/>
      <c r="E86" s="9"/>
      <c r="J86" s="882"/>
      <c r="K86" s="882"/>
      <c r="L86" s="882"/>
      <c r="V86" s="13"/>
    </row>
    <row r="87" spans="2:22" ht="14.4">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0</v>
      </c>
      <c r="D92" s="585">
        <f>SUM('4.  2011-2014 LRAM'!Y259:AL259)</f>
        <v>0</v>
      </c>
      <c r="E92" s="585">
        <f>SUM('4.  2011-2014 LRAM'!Y388:AL388)</f>
        <v>0</v>
      </c>
      <c r="F92" s="586">
        <f>SUM('4.  2011-2014 LRAM'!Y517:AL517)</f>
        <v>0</v>
      </c>
      <c r="G92" s="586">
        <f>SUM('5.  2015-2020 LRAM'!Y199:AL199)</f>
        <v>0</v>
      </c>
      <c r="H92" s="585">
        <f>SUM('5.  2015-2020 LRAM'!Y391:AL391)</f>
        <v>261163.58808345025</v>
      </c>
      <c r="I92" s="586">
        <f>SUM('5.  2015-2020 LRAM'!Y574:AL574)</f>
        <v>0</v>
      </c>
      <c r="J92" s="585">
        <f>SUM('5.  2015-2020 LRAM'!Y757:AL757)</f>
        <v>0</v>
      </c>
      <c r="K92" s="585">
        <f>SUM('5.  2015-2020 LRAM'!Y940:AL940)</f>
        <v>0</v>
      </c>
      <c r="L92" s="585">
        <f>SUM('5.  2015-2020 LRAM'!Y1123:AL1123)</f>
        <v>0</v>
      </c>
      <c r="M92" s="585">
        <f>SUM(C92:L92)</f>
        <v>261163.58808345025</v>
      </c>
      <c r="T92" s="212"/>
      <c r="U92" s="212"/>
    </row>
    <row r="93" spans="2:22" s="92" customFormat="1" ht="23.25" customHeight="1">
      <c r="B93" s="213">
        <v>2012</v>
      </c>
      <c r="C93" s="587"/>
      <c r="D93" s="586">
        <f>SUM('4.  2011-2014 LRAM'!Y260:AL260)</f>
        <v>0</v>
      </c>
      <c r="E93" s="585">
        <f>SUM('4.  2011-2014 LRAM'!Y389:AL389)</f>
        <v>0</v>
      </c>
      <c r="F93" s="586">
        <f>SUM('4.  2011-2014 LRAM'!Y518:AL518)</f>
        <v>0</v>
      </c>
      <c r="G93" s="586">
        <f>SUM('5.  2015-2020 LRAM'!Y200:AL200)</f>
        <v>0</v>
      </c>
      <c r="H93" s="585">
        <f>SUM('5.  2015-2020 LRAM'!Y392:AL392)</f>
        <v>406153.90778643871</v>
      </c>
      <c r="I93" s="586">
        <f>SUM('5.  2015-2020 LRAM'!Y575:AL575)</f>
        <v>0</v>
      </c>
      <c r="J93" s="585">
        <f>SUM('5.  2015-2020 LRAM'!Y758:AL758)</f>
        <v>0</v>
      </c>
      <c r="K93" s="585">
        <f>SUM('5.  2015-2020 LRAM'!Y941:AL941)</f>
        <v>0</v>
      </c>
      <c r="L93" s="585">
        <f>SUM('5.  2015-2020 LRAM'!Y1124:AL1124)</f>
        <v>0</v>
      </c>
      <c r="M93" s="585">
        <f>SUM(D93:L93)</f>
        <v>406153.90778643871</v>
      </c>
      <c r="T93" s="212"/>
      <c r="U93" s="212"/>
    </row>
    <row r="94" spans="2:22" s="92" customFormat="1" ht="23.25" customHeight="1">
      <c r="B94" s="213">
        <v>2013</v>
      </c>
      <c r="C94" s="588"/>
      <c r="D94" s="588"/>
      <c r="E94" s="586">
        <f>SUM('4.  2011-2014 LRAM'!Y390:AL390)</f>
        <v>0</v>
      </c>
      <c r="F94" s="586">
        <f>SUM('4.  2011-2014 LRAM'!Y519:AL519)</f>
        <v>0</v>
      </c>
      <c r="G94" s="586">
        <f>SUM('5.  2015-2020 LRAM'!Y201:AL201)</f>
        <v>0</v>
      </c>
      <c r="H94" s="585">
        <f>SUM('5.  2015-2020 LRAM'!Y393:AL393)</f>
        <v>471518.58330596681</v>
      </c>
      <c r="I94" s="586">
        <f>SUM('5.  2015-2020 LRAM'!Y576:AL576)</f>
        <v>0</v>
      </c>
      <c r="J94" s="585">
        <f>SUM('5.  2015-2020 LRAM'!Y759:AL759)</f>
        <v>0</v>
      </c>
      <c r="K94" s="585">
        <f>SUM('5.  2015-2020 LRAM'!Y942:AL942)</f>
        <v>0</v>
      </c>
      <c r="L94" s="585">
        <f>SUM('5.  2015-2020 LRAM'!Y1125:AL1125)</f>
        <v>0</v>
      </c>
      <c r="M94" s="585">
        <f>SUM(C94:L94)</f>
        <v>471518.58330596681</v>
      </c>
      <c r="T94" s="212"/>
      <c r="U94" s="212"/>
    </row>
    <row r="95" spans="2:22" s="92" customFormat="1" ht="23.25" customHeight="1">
      <c r="B95" s="213">
        <v>2014</v>
      </c>
      <c r="C95" s="588"/>
      <c r="D95" s="588"/>
      <c r="E95" s="588"/>
      <c r="F95" s="586">
        <f>SUM('4.  2011-2014 LRAM'!Y520:AL520)</f>
        <v>0</v>
      </c>
      <c r="G95" s="586">
        <f>SUM('5.  2015-2020 LRAM'!Y202:AL202)</f>
        <v>0</v>
      </c>
      <c r="H95" s="585">
        <f>SUM('5.  2015-2020 LRAM'!Y394:AL394)</f>
        <v>811245.63134522992</v>
      </c>
      <c r="I95" s="586">
        <f>SUM('5.  2015-2020 LRAM'!Y577:AL577)</f>
        <v>0</v>
      </c>
      <c r="J95" s="585">
        <f>SUM('5.  2015-2020 LRAM'!Y760:AL760)</f>
        <v>0</v>
      </c>
      <c r="K95" s="585">
        <f>SUM('5.  2015-2020 LRAM'!Y943:AL943)</f>
        <v>0</v>
      </c>
      <c r="L95" s="585">
        <f>SUM('5.  2015-2020 LRAM'!Y1126:AL1126)</f>
        <v>0</v>
      </c>
      <c r="M95" s="585">
        <f>SUM(F95:L95)</f>
        <v>811245.63134522992</v>
      </c>
      <c r="T95" s="212"/>
      <c r="U95" s="212"/>
    </row>
    <row r="96" spans="2:22" s="92" customFormat="1" ht="23.25" customHeight="1">
      <c r="B96" s="213">
        <v>2015</v>
      </c>
      <c r="C96" s="588"/>
      <c r="D96" s="588"/>
      <c r="E96" s="588"/>
      <c r="F96" s="588"/>
      <c r="G96" s="586">
        <f>SUM('5.  2015-2020 LRAM'!Y203:AL203)</f>
        <v>0</v>
      </c>
      <c r="H96" s="585">
        <f>SUM('5.  2015-2020 LRAM'!Y395:AL395)</f>
        <v>803201.7216296558</v>
      </c>
      <c r="I96" s="586">
        <f>SUM('5.  2015-2020 LRAM'!Y578:AL578)</f>
        <v>0</v>
      </c>
      <c r="J96" s="585">
        <f>SUM('5.  2015-2020 LRAM'!Y761:AL761)</f>
        <v>0</v>
      </c>
      <c r="K96" s="585">
        <f>SUM('5.  2015-2020 LRAM'!Y944:AL944)</f>
        <v>0</v>
      </c>
      <c r="L96" s="585">
        <f>SUM('5.  2015-2020 LRAM'!Y1127:AL1127)</f>
        <v>0</v>
      </c>
      <c r="M96" s="585">
        <f>SUM(G96:L96)</f>
        <v>803201.7216296558</v>
      </c>
      <c r="T96" s="212"/>
      <c r="U96" s="212"/>
    </row>
    <row r="97" spans="2:21" s="92" customFormat="1" ht="23.25" customHeight="1">
      <c r="B97" s="213">
        <v>2016</v>
      </c>
      <c r="C97" s="588"/>
      <c r="D97" s="588"/>
      <c r="E97" s="588"/>
      <c r="F97" s="588"/>
      <c r="G97" s="588"/>
      <c r="H97" s="585">
        <f>SUM('5.  2015-2020 LRAM'!Y396:AL396)</f>
        <v>1062140.2552400001</v>
      </c>
      <c r="I97" s="586">
        <f>SUM('5.  2015-2020 LRAM'!Y579:AL579)</f>
        <v>0</v>
      </c>
      <c r="J97" s="585">
        <f>SUM('5.  2015-2020 LRAM'!Y762:AL762)</f>
        <v>0</v>
      </c>
      <c r="K97" s="585">
        <f>SUM('5.  2015-2020 LRAM'!Y945:AL945)</f>
        <v>0</v>
      </c>
      <c r="L97" s="585">
        <f>SUM('5.  2015-2020 LRAM'!Y1128:AL1128)</f>
        <v>0</v>
      </c>
      <c r="M97" s="585">
        <f>SUM(H97:L97)</f>
        <v>1062140.2552400001</v>
      </c>
      <c r="T97" s="212"/>
      <c r="U97" s="212"/>
    </row>
    <row r="98" spans="2:21" s="92" customFormat="1" ht="23.25" customHeight="1">
      <c r="B98" s="213">
        <v>2017</v>
      </c>
      <c r="C98" s="588"/>
      <c r="D98" s="588"/>
      <c r="E98" s="588"/>
      <c r="F98" s="588"/>
      <c r="G98" s="588"/>
      <c r="H98" s="588"/>
      <c r="I98" s="585">
        <f>SUM('5.  2015-2020 LRAM'!Y580:AL580)</f>
        <v>0</v>
      </c>
      <c r="J98" s="585">
        <f>SUM('5.  2015-2020 LRAM'!Y763:AL763)</f>
        <v>0</v>
      </c>
      <c r="K98" s="585">
        <f>SUM('5.  2015-2020 LRAM'!Y946:AL946)</f>
        <v>0</v>
      </c>
      <c r="L98" s="585">
        <f>SUM('5.  2015-2020 LRAM'!Y1129:AL1129)</f>
        <v>0</v>
      </c>
      <c r="M98" s="585">
        <f>SUM(I98:L98)</f>
        <v>0</v>
      </c>
      <c r="T98" s="212"/>
      <c r="U98" s="212"/>
    </row>
    <row r="99" spans="2:21" s="92" customFormat="1" ht="23.25" customHeight="1">
      <c r="B99" s="213">
        <v>2018</v>
      </c>
      <c r="C99" s="588"/>
      <c r="D99" s="588"/>
      <c r="E99" s="588"/>
      <c r="F99" s="588"/>
      <c r="G99" s="588"/>
      <c r="H99" s="588"/>
      <c r="I99" s="588"/>
      <c r="J99" s="585">
        <f>SUM('5.  2015-2020 LRAM'!Y764:AL764)</f>
        <v>0</v>
      </c>
      <c r="K99" s="585">
        <f>SUM('5.  2015-2020 LRAM'!Y947:AL947)</f>
        <v>0</v>
      </c>
      <c r="L99" s="585">
        <f>SUM('5.  2015-2020 LRAM'!Y1130:AL1130)</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LRAM'!Y948:AL948)</f>
        <v>0</v>
      </c>
      <c r="L100" s="585">
        <f>SUM('5.  2015-2020 LRAM'!Y1131:AL1131)</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LRAM'!Y1132:AL1132)</f>
        <v>0</v>
      </c>
      <c r="M101" s="587">
        <f>L101</f>
        <v>0</v>
      </c>
      <c r="T101" s="212"/>
      <c r="U101" s="212"/>
    </row>
    <row r="102" spans="2:21" s="211" customFormat="1" ht="24" customHeight="1">
      <c r="B102" s="600" t="s">
        <v>558</v>
      </c>
      <c r="C102" s="584">
        <f>C92</f>
        <v>0</v>
      </c>
      <c r="D102" s="585">
        <f>D92+D93</f>
        <v>0</v>
      </c>
      <c r="E102" s="585">
        <f>E92+E93+E94</f>
        <v>0</v>
      </c>
      <c r="F102" s="585">
        <f>F92+F93+F94+F95</f>
        <v>0</v>
      </c>
      <c r="G102" s="585">
        <f>G92+G93+G94+G95+G96</f>
        <v>0</v>
      </c>
      <c r="H102" s="585">
        <f>H92+H93+H94+H95+H96+H97</f>
        <v>3815423.6873907419</v>
      </c>
      <c r="I102" s="585">
        <f>I92+I93+I94+I95+I96+I97+I98</f>
        <v>0</v>
      </c>
      <c r="J102" s="585">
        <f>J92+J93+J94+J95+J96+J97+J98+J99</f>
        <v>0</v>
      </c>
      <c r="K102" s="585">
        <f>K92+K93+K94+K95+K96+K97+K98+K99+K100</f>
        <v>0</v>
      </c>
      <c r="L102" s="585">
        <f>SUM(L92:L101)</f>
        <v>0</v>
      </c>
      <c r="M102" s="585">
        <f>SUM(M92:M101)</f>
        <v>3815423.6873907419</v>
      </c>
      <c r="T102" s="214"/>
      <c r="U102" s="214"/>
    </row>
    <row r="103" spans="2:21" s="27" customFormat="1" ht="24.75" customHeight="1">
      <c r="B103" s="601" t="s">
        <v>557</v>
      </c>
      <c r="C103" s="583">
        <f>'4.  2011-2014 LRAM'!AM132</f>
        <v>0</v>
      </c>
      <c r="D103" s="583">
        <f>'4.  2011-2014 LRAM'!AM262</f>
        <v>0</v>
      </c>
      <c r="E103" s="583">
        <f>'4.  2011-2014 LRAM'!AM392</f>
        <v>0</v>
      </c>
      <c r="F103" s="583">
        <f>'4.  2011-2014 LRAM'!AM522</f>
        <v>0</v>
      </c>
      <c r="G103" s="583">
        <f>'5.  2015-2020 LRAM'!AM205</f>
        <v>0</v>
      </c>
      <c r="H103" s="583">
        <f>'5.  2015-2020 LRAM'!AM398</f>
        <v>1555156.0042813148</v>
      </c>
      <c r="I103" s="583">
        <f>'5.  2015-2020 LRAM'!AM582</f>
        <v>0</v>
      </c>
      <c r="J103" s="583">
        <f>'5.  2015-2020 LRAM'!AM766</f>
        <v>0</v>
      </c>
      <c r="K103" s="583">
        <f>'5.  2015-2020 LRAM'!AM950</f>
        <v>0</v>
      </c>
      <c r="L103" s="583">
        <f>'5.  2015-2020 LRAM'!AM1134</f>
        <v>0</v>
      </c>
      <c r="M103" s="585">
        <f>SUM(C103:L103)</f>
        <v>1555156.0042813148</v>
      </c>
      <c r="T103" s="91"/>
      <c r="U103" s="91"/>
    </row>
    <row r="104" spans="2:21" ht="24.75" customHeight="1">
      <c r="B104" s="601" t="s">
        <v>43</v>
      </c>
      <c r="C104" s="583">
        <f>'6.  Carrying Charges'!W27</f>
        <v>0</v>
      </c>
      <c r="D104" s="583">
        <f>'6.  Carrying Charges'!W42</f>
        <v>0</v>
      </c>
      <c r="E104" s="583">
        <f>'6.  Carrying Charges'!W57</f>
        <v>0</v>
      </c>
      <c r="F104" s="583">
        <f>'6.  Carrying Charges'!W72</f>
        <v>160.86005959567268</v>
      </c>
      <c r="G104" s="583">
        <f>'6.  Carrying Charges'!W87</f>
        <v>904.01375510839875</v>
      </c>
      <c r="H104" s="583">
        <f>'6.  Carrying Charges'!W102</f>
        <v>14616.640800724792</v>
      </c>
      <c r="I104" s="583">
        <f>'6.  Carrying Charges'!W117</f>
        <v>45661.63738416916</v>
      </c>
      <c r="J104" s="583">
        <f>'6.  Carrying Charges'!W132</f>
        <v>89512.728911389015</v>
      </c>
      <c r="K104" s="583">
        <f>'6.  Carrying Charges'!W147</f>
        <v>89512.728911389015</v>
      </c>
      <c r="L104" s="583">
        <f>'6.  Carrying Charges'!W162</f>
        <v>89512.728911389015</v>
      </c>
      <c r="M104" s="585">
        <f>SUM(C104:L104)</f>
        <v>329881.33873376506</v>
      </c>
    </row>
    <row r="105" spans="2:21" ht="23.25" customHeight="1">
      <c r="B105" s="600" t="s">
        <v>26</v>
      </c>
      <c r="C105" s="583">
        <f>C102-C103+C104</f>
        <v>0</v>
      </c>
      <c r="D105" s="583">
        <f t="shared" ref="D105:J105" si="5">D102-D103+D104</f>
        <v>0</v>
      </c>
      <c r="E105" s="583">
        <f t="shared" si="5"/>
        <v>0</v>
      </c>
      <c r="F105" s="583">
        <f t="shared" si="5"/>
        <v>160.86005959567268</v>
      </c>
      <c r="G105" s="583">
        <f t="shared" si="5"/>
        <v>904.01375510839875</v>
      </c>
      <c r="H105" s="583">
        <f t="shared" si="5"/>
        <v>2274884.3239101516</v>
      </c>
      <c r="I105" s="583">
        <f t="shared" si="5"/>
        <v>45661.63738416916</v>
      </c>
      <c r="J105" s="583">
        <f t="shared" si="5"/>
        <v>89512.728911389015</v>
      </c>
      <c r="K105" s="583">
        <f>K102-K103+K104</f>
        <v>89512.728911389015</v>
      </c>
      <c r="L105" s="583">
        <f>L102-L103+L104</f>
        <v>89512.728911389015</v>
      </c>
      <c r="M105" s="583">
        <f>M102-M103+M104</f>
        <v>2590149.0218431922</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B25:G25"/>
    <mergeCell ref="B27:C27"/>
    <mergeCell ref="B28:C28"/>
    <mergeCell ref="B29:C29"/>
    <mergeCell ref="B30:C30"/>
    <mergeCell ref="B31:C31"/>
    <mergeCell ref="B32:C32"/>
    <mergeCell ref="B33:C33"/>
    <mergeCell ref="B34:C34"/>
    <mergeCell ref="B35:C35"/>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441960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zoomScale="60" zoomScaleNormal="70" workbookViewId="0">
      <selection activeCell="C28" sqref="C28"/>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65" t="s">
        <v>172</v>
      </c>
      <c r="C14" s="129" t="s">
        <v>176</v>
      </c>
    </row>
    <row r="15" spans="2:3" ht="26.25" customHeight="1" thickBot="1">
      <c r="C15" s="131" t="s">
        <v>410</v>
      </c>
    </row>
    <row r="16" spans="2:3" ht="27" customHeight="1" thickBot="1">
      <c r="C16" s="598" t="s">
        <v>624</v>
      </c>
    </row>
    <row r="19" spans="2:8" ht="15.6">
      <c r="B19" s="565" t="s">
        <v>661</v>
      </c>
    </row>
    <row r="20" spans="2:8" ht="13.5" customHeight="1"/>
    <row r="21" spans="2:8" ht="50.25" customHeight="1">
      <c r="B21" s="1195" t="s">
        <v>641</v>
      </c>
      <c r="C21" s="1195"/>
      <c r="D21" s="1195"/>
      <c r="E21" s="1195"/>
      <c r="F21" s="1195"/>
      <c r="G21" s="1195"/>
      <c r="H21" s="1195"/>
    </row>
    <row r="23" spans="2:8" s="647" customFormat="1" ht="15.6">
      <c r="B23" s="659" t="s">
        <v>619</v>
      </c>
      <c r="C23" s="659" t="s">
        <v>643</v>
      </c>
      <c r="D23" s="659" t="s">
        <v>618</v>
      </c>
      <c r="E23" s="1202" t="s">
        <v>34</v>
      </c>
      <c r="F23" s="1203"/>
      <c r="G23" s="1202" t="s">
        <v>617</v>
      </c>
      <c r="H23" s="1203"/>
    </row>
    <row r="24" spans="2:8">
      <c r="B24" s="646">
        <v>1</v>
      </c>
      <c r="C24" s="644" t="s">
        <v>372</v>
      </c>
      <c r="D24" s="645" t="s">
        <v>673</v>
      </c>
      <c r="E24" s="1200" t="s">
        <v>678</v>
      </c>
      <c r="F24" s="1201"/>
      <c r="G24" s="1204" t="s">
        <v>679</v>
      </c>
      <c r="H24" s="1205"/>
    </row>
    <row r="25" spans="2:8">
      <c r="B25" s="646">
        <v>2</v>
      </c>
      <c r="C25" s="644" t="s">
        <v>372</v>
      </c>
      <c r="D25" s="645" t="s">
        <v>674</v>
      </c>
      <c r="E25" s="1200" t="s">
        <v>678</v>
      </c>
      <c r="F25" s="1201"/>
      <c r="G25" s="1204" t="s">
        <v>679</v>
      </c>
      <c r="H25" s="1205"/>
    </row>
    <row r="26" spans="2:8">
      <c r="B26" s="646">
        <v>3</v>
      </c>
      <c r="C26" s="644"/>
      <c r="D26" s="645"/>
      <c r="E26" s="1200"/>
      <c r="F26" s="1201"/>
      <c r="G26" s="1204"/>
      <c r="H26" s="1205"/>
    </row>
    <row r="27" spans="2:8">
      <c r="B27" s="646">
        <v>4</v>
      </c>
      <c r="C27" s="644" t="s">
        <v>372</v>
      </c>
      <c r="D27" s="645" t="s">
        <v>677</v>
      </c>
      <c r="E27" s="1200" t="s">
        <v>675</v>
      </c>
      <c r="F27" s="1201"/>
      <c r="G27" s="1204" t="s">
        <v>676</v>
      </c>
      <c r="H27" s="1205"/>
    </row>
    <row r="28" spans="2:8">
      <c r="B28" s="646">
        <v>5</v>
      </c>
      <c r="C28" s="644" t="s">
        <v>171</v>
      </c>
      <c r="D28" s="645"/>
      <c r="E28" s="1200"/>
      <c r="F28" s="1201"/>
      <c r="G28" s="1204"/>
      <c r="H28" s="1205"/>
    </row>
    <row r="29" spans="2:8">
      <c r="B29" s="646">
        <v>6</v>
      </c>
      <c r="C29" s="644"/>
      <c r="D29" s="645" t="s">
        <v>813</v>
      </c>
      <c r="E29" s="1200" t="s">
        <v>814</v>
      </c>
      <c r="F29" s="1201"/>
      <c r="G29" s="1204" t="s">
        <v>815</v>
      </c>
      <c r="H29" s="1205"/>
    </row>
    <row r="30" spans="2:8">
      <c r="B30" s="646">
        <v>7</v>
      </c>
      <c r="C30" s="644" t="s">
        <v>171</v>
      </c>
      <c r="D30" s="645" t="s">
        <v>818</v>
      </c>
      <c r="E30" s="1200" t="s">
        <v>819</v>
      </c>
      <c r="F30" s="1201"/>
      <c r="G30" s="1204" t="s">
        <v>815</v>
      </c>
      <c r="H30" s="1205"/>
    </row>
    <row r="31" spans="2:8">
      <c r="B31" s="646">
        <v>8</v>
      </c>
      <c r="C31" s="644"/>
      <c r="D31" s="645"/>
      <c r="E31" s="1200"/>
      <c r="F31" s="1201"/>
      <c r="G31" s="1204"/>
      <c r="H31" s="1205"/>
    </row>
    <row r="32" spans="2:8">
      <c r="B32" s="646">
        <v>9</v>
      </c>
      <c r="C32" s="644"/>
      <c r="D32" s="645"/>
      <c r="E32" s="1200"/>
      <c r="F32" s="1201"/>
      <c r="G32" s="1204"/>
      <c r="H32" s="1205"/>
    </row>
    <row r="33" spans="2:8">
      <c r="B33" s="646">
        <v>10</v>
      </c>
      <c r="C33" s="644"/>
      <c r="D33" s="645"/>
      <c r="E33" s="1200"/>
      <c r="F33" s="1201"/>
      <c r="G33" s="1204"/>
      <c r="H33" s="1205"/>
    </row>
    <row r="34" spans="2:8">
      <c r="B34" s="646">
        <v>11</v>
      </c>
      <c r="C34" s="644"/>
      <c r="D34" s="645"/>
      <c r="E34" s="1200"/>
      <c r="F34" s="1201"/>
      <c r="G34" s="1204"/>
      <c r="H34" s="1205"/>
    </row>
    <row r="35" spans="2:8">
      <c r="B35" s="646">
        <v>12</v>
      </c>
      <c r="C35" s="644"/>
      <c r="D35" s="645"/>
      <c r="E35" s="1200"/>
      <c r="F35" s="1201"/>
      <c r="G35" s="1204"/>
      <c r="H35" s="1205"/>
    </row>
    <row r="36" spans="2:8">
      <c r="B36" s="646">
        <v>13</v>
      </c>
      <c r="C36" s="644"/>
      <c r="D36" s="645"/>
      <c r="E36" s="1200"/>
      <c r="F36" s="1201"/>
      <c r="G36" s="1204"/>
      <c r="H36" s="1205"/>
    </row>
    <row r="37" spans="2:8">
      <c r="B37" s="646">
        <v>14</v>
      </c>
      <c r="C37" s="644"/>
      <c r="D37" s="645"/>
      <c r="E37" s="1200"/>
      <c r="F37" s="1201"/>
      <c r="G37" s="1204"/>
      <c r="H37" s="1205"/>
    </row>
    <row r="38" spans="2:8">
      <c r="B38" s="646" t="s">
        <v>494</v>
      </c>
      <c r="C38" s="644"/>
      <c r="D38" s="645"/>
      <c r="E38" s="1200"/>
      <c r="F38" s="1201"/>
      <c r="G38" s="1204"/>
      <c r="H38" s="1205"/>
    </row>
    <row r="40" spans="2:8" ht="30.75" customHeight="1">
      <c r="B40" s="565" t="s">
        <v>642</v>
      </c>
    </row>
    <row r="41" spans="2:8" ht="23.25" customHeight="1">
      <c r="B41" s="597" t="s">
        <v>640</v>
      </c>
      <c r="C41" s="642"/>
      <c r="D41" s="642"/>
      <c r="E41" s="642"/>
      <c r="F41" s="642"/>
      <c r="G41" s="642"/>
      <c r="H41" s="642"/>
    </row>
    <row r="43" spans="2:8" s="92" customFormat="1" ht="15.6">
      <c r="B43" s="659" t="s">
        <v>619</v>
      </c>
      <c r="C43" s="659" t="s">
        <v>643</v>
      </c>
      <c r="D43" s="659" t="s">
        <v>618</v>
      </c>
      <c r="E43" s="1202" t="s">
        <v>34</v>
      </c>
      <c r="F43" s="1203"/>
      <c r="G43" s="1202" t="s">
        <v>617</v>
      </c>
      <c r="H43" s="1203"/>
    </row>
    <row r="44" spans="2:8">
      <c r="B44" s="646">
        <v>1</v>
      </c>
      <c r="C44" s="644"/>
      <c r="D44" s="645"/>
      <c r="E44" s="1200"/>
      <c r="F44" s="1201"/>
      <c r="G44" s="1204"/>
      <c r="H44" s="1205"/>
    </row>
    <row r="45" spans="2:8">
      <c r="B45" s="646">
        <v>2</v>
      </c>
      <c r="C45" s="644"/>
      <c r="D45" s="645"/>
      <c r="E45" s="1200"/>
      <c r="F45" s="1201"/>
      <c r="G45" s="1204"/>
      <c r="H45" s="1205"/>
    </row>
    <row r="46" spans="2:8">
      <c r="B46" s="646">
        <v>3</v>
      </c>
      <c r="C46" s="644"/>
      <c r="D46" s="645"/>
      <c r="E46" s="1200"/>
      <c r="F46" s="1201"/>
      <c r="G46" s="1204"/>
      <c r="H46" s="1205"/>
    </row>
    <row r="47" spans="2:8">
      <c r="B47" s="646">
        <v>4</v>
      </c>
      <c r="C47" s="644"/>
      <c r="D47" s="645"/>
      <c r="E47" s="1200"/>
      <c r="F47" s="1201"/>
      <c r="G47" s="1204"/>
      <c r="H47" s="1205"/>
    </row>
    <row r="48" spans="2:8">
      <c r="B48" s="646">
        <v>5</v>
      </c>
      <c r="C48" s="644"/>
      <c r="D48" s="645"/>
      <c r="E48" s="1200"/>
      <c r="F48" s="1201"/>
      <c r="G48" s="1204"/>
      <c r="H48" s="1205"/>
    </row>
    <row r="49" spans="2:8">
      <c r="B49" s="646">
        <v>6</v>
      </c>
      <c r="C49" s="644"/>
      <c r="D49" s="645"/>
      <c r="E49" s="1200"/>
      <c r="F49" s="1201"/>
      <c r="G49" s="1204"/>
      <c r="H49" s="1205"/>
    </row>
    <row r="50" spans="2:8">
      <c r="B50" s="646">
        <v>7</v>
      </c>
      <c r="C50" s="644"/>
      <c r="D50" s="645"/>
      <c r="E50" s="1200"/>
      <c r="F50" s="1201"/>
      <c r="G50" s="1204"/>
      <c r="H50" s="1205"/>
    </row>
    <row r="51" spans="2:8">
      <c r="B51" s="646">
        <v>8</v>
      </c>
      <c r="C51" s="644"/>
      <c r="D51" s="645"/>
      <c r="E51" s="1200"/>
      <c r="F51" s="1201"/>
      <c r="G51" s="1204"/>
      <c r="H51" s="1205"/>
    </row>
    <row r="52" spans="2:8">
      <c r="B52" s="646">
        <v>9</v>
      </c>
      <c r="C52" s="644"/>
      <c r="D52" s="645"/>
      <c r="E52" s="1200"/>
      <c r="F52" s="1201"/>
      <c r="G52" s="1204"/>
      <c r="H52" s="1205"/>
    </row>
    <row r="53" spans="2:8">
      <c r="B53" s="646">
        <v>10</v>
      </c>
      <c r="C53" s="644"/>
      <c r="D53" s="645"/>
      <c r="E53" s="1200"/>
      <c r="F53" s="1201"/>
      <c r="G53" s="1204"/>
      <c r="H53" s="1205"/>
    </row>
    <row r="54" spans="2:8">
      <c r="B54" s="646">
        <v>11</v>
      </c>
      <c r="C54" s="644"/>
      <c r="D54" s="645"/>
      <c r="E54" s="1200"/>
      <c r="F54" s="1201"/>
      <c r="G54" s="1204"/>
      <c r="H54" s="1205"/>
    </row>
    <row r="55" spans="2:8">
      <c r="B55" s="646">
        <v>12</v>
      </c>
      <c r="C55" s="644"/>
      <c r="D55" s="645"/>
      <c r="E55" s="1200"/>
      <c r="F55" s="1201"/>
      <c r="G55" s="1204"/>
      <c r="H55" s="1205"/>
    </row>
    <row r="56" spans="2:8">
      <c r="B56" s="646">
        <v>13</v>
      </c>
      <c r="C56" s="644"/>
      <c r="D56" s="645"/>
      <c r="E56" s="1200"/>
      <c r="F56" s="1201"/>
      <c r="G56" s="1204"/>
      <c r="H56" s="1205"/>
    </row>
    <row r="57" spans="2:8">
      <c r="B57" s="646">
        <v>14</v>
      </c>
      <c r="C57" s="644"/>
      <c r="D57" s="645"/>
      <c r="E57" s="1200"/>
      <c r="F57" s="1201"/>
      <c r="G57" s="1204"/>
      <c r="H57" s="1205"/>
    </row>
    <row r="58" spans="2:8">
      <c r="B58" s="646" t="s">
        <v>494</v>
      </c>
      <c r="C58" s="644"/>
      <c r="D58" s="645"/>
      <c r="E58" s="1200"/>
      <c r="F58" s="1201"/>
      <c r="G58" s="1204"/>
      <c r="H58" s="1205"/>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view="pageBreakPreview" topLeftCell="A20" zoomScale="80" zoomScaleNormal="55" zoomScaleSheetLayoutView="80" workbookViewId="0">
      <selection activeCell="D30" sqref="D30:F31"/>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1206" t="s">
        <v>645</v>
      </c>
      <c r="C11" s="1206"/>
      <c r="D11" s="1206"/>
      <c r="E11" s="1206"/>
      <c r="F11" s="1206"/>
      <c r="G11" s="1206"/>
      <c r="H11" s="1206"/>
      <c r="I11" s="1206"/>
      <c r="J11" s="1206"/>
      <c r="K11" s="1206"/>
      <c r="L11" s="1206"/>
      <c r="M11" s="1206"/>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v>44207932.239504516</v>
      </c>
      <c r="E15" s="471">
        <v>16984563.401464928</v>
      </c>
      <c r="F15" s="471">
        <v>73463176.108820319</v>
      </c>
      <c r="G15" s="471">
        <v>1251683.9383634317</v>
      </c>
      <c r="H15" s="471">
        <v>208626.88711522953</v>
      </c>
      <c r="I15" s="471">
        <v>7673.6323475481149</v>
      </c>
      <c r="J15" s="471">
        <v>976097.44009659451</v>
      </c>
      <c r="K15" s="471"/>
      <c r="L15" s="471"/>
      <c r="M15" s="471"/>
      <c r="N15" s="471"/>
      <c r="O15" s="471"/>
      <c r="P15" s="472"/>
      <c r="Q15" s="472"/>
    </row>
    <row r="16" spans="2:17" s="476" customFormat="1" ht="15.75" customHeight="1">
      <c r="B16" s="481" t="s">
        <v>28</v>
      </c>
      <c r="C16" s="671">
        <f>SUM(D16:Q16)</f>
        <v>202051.0968764881</v>
      </c>
      <c r="D16" s="672"/>
      <c r="E16" s="672"/>
      <c r="F16" s="672">
        <v>195431.32820848396</v>
      </c>
      <c r="G16" s="672">
        <v>3731.8842953141025</v>
      </c>
      <c r="H16" s="672"/>
      <c r="I16" s="672">
        <v>20.087748436240176</v>
      </c>
      <c r="J16" s="672">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v>2017</v>
      </c>
    </row>
    <row r="25" spans="2:17" s="2" customFormat="1" ht="15.75" customHeight="1">
      <c r="D25" s="20"/>
    </row>
    <row r="26" spans="2:17" s="2" customFormat="1" ht="42" customHeight="1">
      <c r="B26" s="1206" t="s">
        <v>644</v>
      </c>
      <c r="C26" s="1206"/>
      <c r="D26" s="1206"/>
      <c r="E26" s="1206"/>
      <c r="F26" s="1206"/>
      <c r="G26" s="1206"/>
      <c r="H26" s="1206"/>
      <c r="I26" s="1206"/>
      <c r="J26" s="1206"/>
      <c r="K26" s="1206"/>
      <c r="L26" s="1206"/>
      <c r="M26" s="1206"/>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80983843</v>
      </c>
      <c r="D30" s="482">
        <v>48703932</v>
      </c>
      <c r="E30" s="482">
        <v>32279911</v>
      </c>
      <c r="F30" s="482"/>
      <c r="G30" s="482"/>
      <c r="H30" s="482"/>
      <c r="I30" s="482"/>
      <c r="J30" s="482"/>
      <c r="K30" s="482"/>
      <c r="L30" s="482"/>
      <c r="M30" s="482"/>
      <c r="N30" s="482"/>
      <c r="O30" s="482"/>
      <c r="P30" s="482"/>
      <c r="Q30" s="472"/>
    </row>
    <row r="31" spans="2:17" s="483" customFormat="1" ht="15" customHeight="1">
      <c r="B31" s="481" t="s">
        <v>28</v>
      </c>
      <c r="C31" s="666">
        <f>SUM(D31:Q31)</f>
        <v>321969</v>
      </c>
      <c r="D31" s="470"/>
      <c r="E31" s="470"/>
      <c r="F31" s="672">
        <v>321969</v>
      </c>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674">
        <f>IF(D29="kw",HLOOKUP(D29,D29:D31,3,FALSE),HLOOKUP(D29,D29:D31,2,FALSE))</f>
        <v>48703932</v>
      </c>
      <c r="E33" s="674">
        <f>IF(E29="kw",HLOOKUP(E29,E29:E31,3,FALSE),HLOOKUP(E29,E29:E31,2,FALSE))</f>
        <v>32279911</v>
      </c>
      <c r="F33" s="674">
        <f>IF(F29="kw",HLOOKUP(F29,F29:F31,3,FALSE),HLOOKUP(F29,F29:F31,2,FALSE))</f>
        <v>321969</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459</v>
      </c>
      <c r="C39" s="35"/>
      <c r="D39" s="34"/>
      <c r="E39" s="39"/>
      <c r="F39" s="40"/>
    </row>
    <row r="40" spans="2:32" s="72" customFormat="1" ht="39" customHeight="1">
      <c r="B40" s="1206" t="s">
        <v>646</v>
      </c>
      <c r="C40" s="1206"/>
      <c r="D40" s="1206"/>
      <c r="E40" s="1206"/>
      <c r="F40" s="1206"/>
      <c r="G40" s="1206"/>
      <c r="H40" s="1206"/>
      <c r="I40" s="1206"/>
      <c r="J40" s="1206"/>
      <c r="K40" s="1206"/>
      <c r="L40" s="1206"/>
      <c r="M40" s="1206"/>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6">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6">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6">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6">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6">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6">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6">
      <c r="B50" s="177">
        <v>2017</v>
      </c>
      <c r="C50" s="562">
        <v>2017</v>
      </c>
      <c r="D50" s="916">
        <f t="shared" ref="D50:Q50" si="9">IF(ISBLANK($C$50),0,IF($C$50=$D$9,HLOOKUP(D43,D14:D18,5,FALSE),HLOOKUP(D43,D29:D33,5,FALSE)))</f>
        <v>48703932</v>
      </c>
      <c r="E50" s="916">
        <f t="shared" si="9"/>
        <v>32279911</v>
      </c>
      <c r="F50" s="916">
        <f t="shared" si="9"/>
        <v>321969</v>
      </c>
      <c r="G50" s="916">
        <f t="shared" si="9"/>
        <v>0</v>
      </c>
      <c r="H50" s="916">
        <f t="shared" si="9"/>
        <v>0</v>
      </c>
      <c r="I50" s="916">
        <f t="shared" si="9"/>
        <v>0</v>
      </c>
      <c r="J50" s="916">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6">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6">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6">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view="pageBreakPreview" topLeftCell="C22" zoomScaleNormal="55" zoomScaleSheetLayoutView="100" workbookViewId="0">
      <selection activeCell="K18" sqref="K18"/>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1207" t="s">
        <v>172</v>
      </c>
      <c r="C4" s="87" t="s">
        <v>176</v>
      </c>
      <c r="D4" s="87"/>
      <c r="E4" s="50"/>
    </row>
    <row r="5" spans="1:26" s="18" customFormat="1" ht="26.25" customHeight="1" thickBot="1">
      <c r="A5" s="4"/>
      <c r="B5" s="1207"/>
      <c r="C5" s="88" t="s">
        <v>173</v>
      </c>
      <c r="D5" s="88"/>
      <c r="E5" s="50"/>
    </row>
    <row r="6" spans="1:26" ht="26.25" customHeight="1" thickBot="1">
      <c r="B6" s="1207"/>
      <c r="C6" s="1213" t="s">
        <v>624</v>
      </c>
      <c r="D6" s="1214"/>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1215" t="s">
        <v>664</v>
      </c>
      <c r="C12" s="1215"/>
      <c r="D12" s="1215"/>
      <c r="E12" s="1215"/>
      <c r="F12" s="1215"/>
      <c r="G12" s="1215"/>
      <c r="H12" s="1215"/>
      <c r="I12" s="1215"/>
      <c r="J12" s="1215"/>
      <c r="K12" s="1215"/>
      <c r="L12" s="1215"/>
      <c r="M12" s="1215"/>
      <c r="N12" s="1215"/>
      <c r="O12" s="121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734</v>
      </c>
      <c r="E14" s="492" t="s">
        <v>735</v>
      </c>
      <c r="F14" s="492" t="s">
        <v>736</v>
      </c>
      <c r="G14" s="492" t="s">
        <v>737</v>
      </c>
      <c r="H14" s="492" t="s">
        <v>738</v>
      </c>
      <c r="I14" s="492" t="s">
        <v>739</v>
      </c>
      <c r="J14" s="492" t="s">
        <v>740</v>
      </c>
      <c r="K14" s="492" t="s">
        <v>741</v>
      </c>
      <c r="L14" s="492" t="s">
        <v>208</v>
      </c>
      <c r="M14" s="492" t="s">
        <v>208</v>
      </c>
      <c r="N14" s="492" t="s">
        <v>208</v>
      </c>
      <c r="O14" s="492" t="s">
        <v>208</v>
      </c>
      <c r="P14" s="7"/>
    </row>
    <row r="15" spans="1:26" s="7" customFormat="1" ht="18.75" customHeight="1">
      <c r="B15" s="493" t="s">
        <v>189</v>
      </c>
      <c r="C15" s="1208"/>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1209"/>
      <c r="D16" s="497">
        <v>4</v>
      </c>
      <c r="E16" s="497">
        <v>4</v>
      </c>
      <c r="F16" s="497">
        <v>4</v>
      </c>
      <c r="G16" s="497">
        <v>1</v>
      </c>
      <c r="H16" s="497">
        <v>2</v>
      </c>
      <c r="I16" s="497">
        <v>12</v>
      </c>
      <c r="J16" s="497">
        <v>9</v>
      </c>
      <c r="K16" s="913">
        <v>0</v>
      </c>
      <c r="L16" s="497"/>
      <c r="M16" s="497"/>
      <c r="N16" s="497"/>
      <c r="O16" s="498"/>
    </row>
    <row r="17" spans="1:15" s="113" customFormat="1" ht="17.25" customHeight="1">
      <c r="B17" s="499" t="s">
        <v>634</v>
      </c>
      <c r="C17" s="1210"/>
      <c r="D17" s="114">
        <f>12-D16</f>
        <v>8</v>
      </c>
      <c r="E17" s="114">
        <f>12-E16</f>
        <v>8</v>
      </c>
      <c r="F17" s="114">
        <v>5</v>
      </c>
      <c r="G17" s="114">
        <v>11</v>
      </c>
      <c r="H17" s="114">
        <v>10</v>
      </c>
      <c r="I17" s="114">
        <f t="shared" ref="I17:K17" si="0">12-I16</f>
        <v>0</v>
      </c>
      <c r="J17" s="114">
        <v>3</v>
      </c>
      <c r="K17" s="914">
        <f t="shared" si="0"/>
        <v>12</v>
      </c>
      <c r="L17" s="114">
        <f t="shared" ref="L17:O17" si="1">12-L16</f>
        <v>12</v>
      </c>
      <c r="M17" s="114">
        <f t="shared" si="1"/>
        <v>12</v>
      </c>
      <c r="N17" s="114">
        <f t="shared" si="1"/>
        <v>12</v>
      </c>
      <c r="O17" s="115">
        <f t="shared" si="1"/>
        <v>12</v>
      </c>
    </row>
    <row r="18" spans="1:15" s="7" customFormat="1" ht="17.25" customHeight="1">
      <c r="B18" s="500" t="str">
        <f>'1.  LRAMVA Summary'!B28</f>
        <v>Residential</v>
      </c>
      <c r="C18" s="1211" t="str">
        <f>'2. LRAMVA Threshold'!D43</f>
        <v>kWh</v>
      </c>
      <c r="D18" s="47"/>
      <c r="E18" s="47"/>
      <c r="F18" s="47"/>
      <c r="G18" s="47"/>
      <c r="H18" s="47"/>
      <c r="I18" s="47"/>
      <c r="J18" s="47">
        <v>1.43E-2</v>
      </c>
      <c r="K18" s="47"/>
      <c r="L18" s="47"/>
      <c r="M18" s="47"/>
      <c r="N18" s="47"/>
      <c r="O18" s="71"/>
    </row>
    <row r="19" spans="1:15" s="7" customFormat="1" ht="15" customHeight="1" outlineLevel="1">
      <c r="B19" s="564" t="s">
        <v>548</v>
      </c>
      <c r="C19" s="1209"/>
      <c r="D19" s="47"/>
      <c r="E19" s="47"/>
      <c r="F19" s="47"/>
      <c r="G19" s="47"/>
      <c r="H19" s="47"/>
      <c r="I19" s="47"/>
      <c r="J19" s="47"/>
      <c r="K19" s="47"/>
      <c r="L19" s="47"/>
      <c r="M19" s="47"/>
      <c r="N19" s="47"/>
      <c r="O19" s="71"/>
    </row>
    <row r="20" spans="1:15" s="7" customFormat="1" ht="15" customHeight="1" outlineLevel="1">
      <c r="B20" s="564" t="s">
        <v>549</v>
      </c>
      <c r="C20" s="1209"/>
      <c r="D20" s="47"/>
      <c r="E20" s="47"/>
      <c r="F20" s="47"/>
      <c r="G20" s="47"/>
      <c r="H20" s="47"/>
      <c r="I20" s="47"/>
      <c r="J20" s="47"/>
      <c r="K20" s="47"/>
      <c r="L20" s="47"/>
      <c r="M20" s="47"/>
      <c r="N20" s="47"/>
      <c r="O20" s="71"/>
    </row>
    <row r="21" spans="1:15" s="7" customFormat="1" ht="15" customHeight="1" outlineLevel="1">
      <c r="B21" s="564" t="s">
        <v>550</v>
      </c>
      <c r="C21" s="1209"/>
      <c r="D21" s="47"/>
      <c r="E21" s="47"/>
      <c r="F21" s="47"/>
      <c r="G21" s="47"/>
      <c r="H21" s="47"/>
      <c r="I21" s="47"/>
      <c r="J21" s="47"/>
      <c r="K21" s="47"/>
      <c r="L21" s="47"/>
      <c r="M21" s="47"/>
      <c r="N21" s="47"/>
      <c r="O21" s="71"/>
    </row>
    <row r="22" spans="1:15" s="7" customFormat="1" ht="14.25" customHeight="1">
      <c r="B22" s="564" t="s">
        <v>551</v>
      </c>
      <c r="C22" s="1212"/>
      <c r="D22" s="67"/>
      <c r="E22" s="67"/>
      <c r="F22" s="67"/>
      <c r="G22" s="67"/>
      <c r="H22" s="67"/>
      <c r="I22" s="67"/>
      <c r="J22" s="67">
        <v>1.43E-2</v>
      </c>
      <c r="K22" s="67"/>
      <c r="L22" s="67">
        <f t="shared" ref="L22:N22" si="2">SUM(L18:L21)</f>
        <v>0</v>
      </c>
      <c r="M22" s="67">
        <f t="shared" si="2"/>
        <v>0</v>
      </c>
      <c r="N22" s="67">
        <f t="shared" si="2"/>
        <v>0</v>
      </c>
      <c r="O22" s="78"/>
    </row>
    <row r="23" spans="1:15" s="65" customFormat="1">
      <c r="A23" s="64"/>
      <c r="B23" s="512" t="s">
        <v>552</v>
      </c>
      <c r="C23" s="502"/>
      <c r="D23" s="503"/>
      <c r="E23" s="504"/>
      <c r="F23" s="504"/>
      <c r="G23" s="504"/>
      <c r="H23" s="504"/>
      <c r="I23" s="504"/>
      <c r="J23" s="504">
        <v>1.41E-2</v>
      </c>
      <c r="K23" s="504"/>
      <c r="L23" s="504">
        <f t="shared" ref="L23" si="3">ROUND(SUM(K22*L16+L22*L17)/12,4)</f>
        <v>0</v>
      </c>
      <c r="M23" s="504">
        <f t="shared" ref="M23:N23" si="4">ROUND(SUM(L22*M16+M22*M17)/12,4)</f>
        <v>0</v>
      </c>
      <c r="N23" s="504">
        <f t="shared" si="4"/>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1211" t="str">
        <f>'2. LRAMVA Threshold'!E43</f>
        <v>kWh</v>
      </c>
      <c r="D25" s="47"/>
      <c r="E25" s="47"/>
      <c r="F25" s="47"/>
      <c r="G25" s="47"/>
      <c r="H25" s="47"/>
      <c r="I25" s="47"/>
      <c r="J25" s="47">
        <v>1.4200000000000001E-2</v>
      </c>
      <c r="K25" s="47"/>
      <c r="L25" s="47"/>
      <c r="M25" s="47"/>
      <c r="N25" s="47"/>
      <c r="O25" s="71"/>
    </row>
    <row r="26" spans="1:15" s="18" customFormat="1" outlineLevel="1">
      <c r="A26" s="4"/>
      <c r="B26" s="564" t="s">
        <v>548</v>
      </c>
      <c r="C26" s="1209"/>
      <c r="D26" s="47"/>
      <c r="E26" s="47"/>
      <c r="F26" s="47"/>
      <c r="G26" s="47"/>
      <c r="H26" s="47"/>
      <c r="I26" s="47"/>
      <c r="J26" s="47"/>
      <c r="K26" s="47"/>
      <c r="L26" s="47"/>
      <c r="M26" s="47"/>
      <c r="N26" s="47"/>
      <c r="O26" s="71"/>
    </row>
    <row r="27" spans="1:15" s="18" customFormat="1" outlineLevel="1">
      <c r="A27" s="4"/>
      <c r="B27" s="564" t="s">
        <v>549</v>
      </c>
      <c r="C27" s="1209"/>
      <c r="D27" s="47"/>
      <c r="E27" s="47"/>
      <c r="F27" s="47"/>
      <c r="G27" s="47"/>
      <c r="H27" s="47"/>
      <c r="I27" s="47"/>
      <c r="J27" s="47">
        <v>8.9999999999999998E-4</v>
      </c>
      <c r="K27" s="47"/>
      <c r="L27" s="47"/>
      <c r="M27" s="47"/>
      <c r="N27" s="47"/>
      <c r="O27" s="71"/>
    </row>
    <row r="28" spans="1:15" s="18" customFormat="1" outlineLevel="1">
      <c r="A28" s="4"/>
      <c r="B28" s="564" t="s">
        <v>550</v>
      </c>
      <c r="C28" s="1209"/>
      <c r="D28" s="47"/>
      <c r="E28" s="47"/>
      <c r="F28" s="47"/>
      <c r="G28" s="47"/>
      <c r="H28" s="47"/>
      <c r="I28" s="47"/>
      <c r="J28" s="47"/>
      <c r="K28" s="47"/>
      <c r="L28" s="47"/>
      <c r="M28" s="47"/>
      <c r="N28" s="47"/>
      <c r="O28" s="71"/>
    </row>
    <row r="29" spans="1:15" s="18" customFormat="1">
      <c r="A29" s="4"/>
      <c r="B29" s="564" t="s">
        <v>551</v>
      </c>
      <c r="C29" s="1212"/>
      <c r="D29" s="67"/>
      <c r="E29" s="67"/>
      <c r="F29" s="67"/>
      <c r="G29" s="67"/>
      <c r="H29" s="67"/>
      <c r="I29" s="67"/>
      <c r="J29" s="67">
        <v>1.5100000000000001E-2</v>
      </c>
      <c r="K29" s="67"/>
      <c r="L29" s="67">
        <f t="shared" ref="L29:N29" si="5">SUM(L25:L28)</f>
        <v>0</v>
      </c>
      <c r="M29" s="67">
        <f t="shared" si="5"/>
        <v>0</v>
      </c>
      <c r="N29" s="67">
        <f t="shared" si="5"/>
        <v>0</v>
      </c>
      <c r="O29" s="78"/>
    </row>
    <row r="30" spans="1:15" s="18" customFormat="1">
      <c r="A30" s="4"/>
      <c r="B30" s="512" t="s">
        <v>552</v>
      </c>
      <c r="C30" s="508"/>
      <c r="D30" s="73"/>
      <c r="E30" s="504"/>
      <c r="F30" s="504"/>
      <c r="G30" s="504"/>
      <c r="H30" s="504"/>
      <c r="I30" s="504"/>
      <c r="J30" s="504">
        <v>1.4200000000000001E-2</v>
      </c>
      <c r="K30" s="504"/>
      <c r="L30" s="504">
        <f>ROUND(SUM(K29*L16+L29*L17)/12,4)</f>
        <v>0</v>
      </c>
      <c r="M30" s="504">
        <f t="shared" ref="M30:N30" si="6">ROUND(SUM(L29*M16+M29*M17)/12,4)</f>
        <v>0</v>
      </c>
      <c r="N30" s="504">
        <f t="shared" si="6"/>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1211" t="str">
        <f>'2. LRAMVA Threshold'!F43</f>
        <v>kW</v>
      </c>
      <c r="D32" s="47"/>
      <c r="E32" s="47"/>
      <c r="F32" s="47"/>
      <c r="G32" s="47"/>
      <c r="H32" s="47"/>
      <c r="I32" s="47"/>
      <c r="J32" s="47">
        <v>3.3877000000000002</v>
      </c>
      <c r="K32" s="47"/>
      <c r="L32" s="47"/>
      <c r="M32" s="47"/>
      <c r="N32" s="47"/>
      <c r="O32" s="71"/>
    </row>
    <row r="33" spans="1:15" s="18" customFormat="1" outlineLevel="1">
      <c r="A33" s="4"/>
      <c r="B33" s="564" t="s">
        <v>548</v>
      </c>
      <c r="C33" s="1209"/>
      <c r="D33" s="47"/>
      <c r="E33" s="47"/>
      <c r="F33" s="47"/>
      <c r="G33" s="47"/>
      <c r="H33" s="47"/>
      <c r="I33" s="47"/>
      <c r="J33" s="47"/>
      <c r="K33" s="47"/>
      <c r="L33" s="47"/>
      <c r="M33" s="47"/>
      <c r="N33" s="47"/>
      <c r="O33" s="71"/>
    </row>
    <row r="34" spans="1:15" s="18" customFormat="1" outlineLevel="1">
      <c r="A34" s="4"/>
      <c r="B34" s="564" t="s">
        <v>549</v>
      </c>
      <c r="C34" s="1209"/>
      <c r="D34" s="47"/>
      <c r="E34" s="47"/>
      <c r="F34" s="47"/>
      <c r="G34" s="47"/>
      <c r="H34" s="47"/>
      <c r="I34" s="47"/>
      <c r="J34" s="47">
        <v>0.1857</v>
      </c>
      <c r="K34" s="47"/>
      <c r="L34" s="47"/>
      <c r="M34" s="47"/>
      <c r="N34" s="47"/>
      <c r="O34" s="71"/>
    </row>
    <row r="35" spans="1:15" s="18" customFormat="1" outlineLevel="1">
      <c r="A35" s="4"/>
      <c r="B35" s="564" t="s">
        <v>550</v>
      </c>
      <c r="C35" s="1209"/>
      <c r="D35" s="47"/>
      <c r="E35" s="47"/>
      <c r="F35" s="47"/>
      <c r="G35" s="47"/>
      <c r="H35" s="47"/>
      <c r="I35" s="47"/>
      <c r="J35" s="47"/>
      <c r="K35" s="47"/>
      <c r="L35" s="47"/>
      <c r="M35" s="47"/>
      <c r="N35" s="47"/>
      <c r="O35" s="71"/>
    </row>
    <row r="36" spans="1:15" s="18" customFormat="1">
      <c r="A36" s="4"/>
      <c r="B36" s="564" t="s">
        <v>551</v>
      </c>
      <c r="C36" s="1212"/>
      <c r="D36" s="67"/>
      <c r="E36" s="67"/>
      <c r="F36" s="67"/>
      <c r="G36" s="67"/>
      <c r="H36" s="67"/>
      <c r="I36" s="67"/>
      <c r="J36" s="67">
        <v>3.5734000000000004</v>
      </c>
      <c r="K36" s="67"/>
      <c r="L36" s="67">
        <f t="shared" ref="L36:M36" si="7">SUM(L32:L35)</f>
        <v>0</v>
      </c>
      <c r="M36" s="67">
        <f t="shared" si="7"/>
        <v>0</v>
      </c>
      <c r="N36" s="67">
        <f>SUM(N32:N35)</f>
        <v>0</v>
      </c>
      <c r="O36" s="78"/>
    </row>
    <row r="37" spans="1:15" s="18" customFormat="1">
      <c r="A37" s="4"/>
      <c r="B37" s="512" t="s">
        <v>552</v>
      </c>
      <c r="C37" s="508"/>
      <c r="D37" s="73"/>
      <c r="E37" s="504"/>
      <c r="F37" s="504"/>
      <c r="G37" s="504"/>
      <c r="H37" s="504"/>
      <c r="I37" s="504"/>
      <c r="J37" s="504">
        <v>3.3892000000000002</v>
      </c>
      <c r="K37" s="504"/>
      <c r="L37" s="504">
        <f t="shared" ref="L37:N37" si="8">ROUND(SUM(K36*L16+L36*L17)/12,4)</f>
        <v>0</v>
      </c>
      <c r="M37" s="504">
        <f t="shared" si="8"/>
        <v>0</v>
      </c>
      <c r="N37" s="504">
        <f t="shared" si="8"/>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1211" t="str">
        <f>'2. LRAMVA Threshold'!G43</f>
        <v>kW</v>
      </c>
      <c r="D39" s="47"/>
      <c r="E39" s="47"/>
      <c r="F39" s="47"/>
      <c r="G39" s="47"/>
      <c r="H39" s="47"/>
      <c r="I39" s="47"/>
      <c r="J39" s="47">
        <v>1.4414</v>
      </c>
      <c r="K39" s="47"/>
      <c r="L39" s="47"/>
      <c r="M39" s="47"/>
      <c r="N39" s="47"/>
      <c r="O39" s="71"/>
    </row>
    <row r="40" spans="1:15" s="18" customFormat="1" outlineLevel="1">
      <c r="A40" s="4"/>
      <c r="B40" s="564" t="s">
        <v>548</v>
      </c>
      <c r="C40" s="1209"/>
      <c r="D40" s="47"/>
      <c r="E40" s="47"/>
      <c r="F40" s="47"/>
      <c r="G40" s="47"/>
      <c r="H40" s="47"/>
      <c r="I40" s="47"/>
      <c r="J40" s="47"/>
      <c r="K40" s="47"/>
      <c r="L40" s="47"/>
      <c r="M40" s="47"/>
      <c r="N40" s="47"/>
      <c r="O40" s="71"/>
    </row>
    <row r="41" spans="1:15" s="18" customFormat="1" outlineLevel="1">
      <c r="A41" s="4"/>
      <c r="B41" s="564" t="s">
        <v>549</v>
      </c>
      <c r="C41" s="1209"/>
      <c r="D41" s="47"/>
      <c r="E41" s="47"/>
      <c r="F41" s="47"/>
      <c r="G41" s="47"/>
      <c r="H41" s="47"/>
      <c r="I41" s="47"/>
      <c r="J41" s="47">
        <v>7.5899999999999995E-2</v>
      </c>
      <c r="K41" s="47"/>
      <c r="L41" s="47"/>
      <c r="M41" s="47"/>
      <c r="N41" s="47"/>
      <c r="O41" s="71"/>
    </row>
    <row r="42" spans="1:15" s="18" customFormat="1" outlineLevel="1">
      <c r="A42" s="4"/>
      <c r="B42" s="564" t="s">
        <v>550</v>
      </c>
      <c r="C42" s="1209"/>
      <c r="D42" s="47"/>
      <c r="E42" s="47"/>
      <c r="F42" s="47"/>
      <c r="G42" s="47"/>
      <c r="H42" s="47"/>
      <c r="I42" s="47"/>
      <c r="J42" s="47"/>
      <c r="K42" s="47"/>
      <c r="L42" s="47"/>
      <c r="M42" s="47"/>
      <c r="N42" s="47"/>
      <c r="O42" s="71"/>
    </row>
    <row r="43" spans="1:15" s="18" customFormat="1">
      <c r="A43" s="4"/>
      <c r="B43" s="564" t="s">
        <v>551</v>
      </c>
      <c r="C43" s="1212"/>
      <c r="D43" s="67"/>
      <c r="E43" s="67"/>
      <c r="F43" s="67"/>
      <c r="G43" s="67"/>
      <c r="H43" s="67"/>
      <c r="I43" s="67"/>
      <c r="J43" s="67">
        <v>1.5173000000000001</v>
      </c>
      <c r="K43" s="67"/>
      <c r="L43" s="67">
        <f t="shared" ref="L43:N43" si="9">SUM(L39:L42)</f>
        <v>0</v>
      </c>
      <c r="M43" s="67">
        <f t="shared" si="9"/>
        <v>0</v>
      </c>
      <c r="N43" s="67">
        <f t="shared" si="9"/>
        <v>0</v>
      </c>
      <c r="O43" s="78"/>
    </row>
    <row r="44" spans="1:15" s="14" customFormat="1">
      <c r="A44" s="74"/>
      <c r="B44" s="512" t="s">
        <v>552</v>
      </c>
      <c r="C44" s="508"/>
      <c r="D44" s="73"/>
      <c r="E44" s="504"/>
      <c r="F44" s="504"/>
      <c r="G44" s="504"/>
      <c r="H44" s="504"/>
      <c r="I44" s="504"/>
      <c r="J44" s="504">
        <v>1.4413</v>
      </c>
      <c r="K44" s="504"/>
      <c r="L44" s="504">
        <f t="shared" ref="L44:N44" si="10">ROUND(SUM(K43*L16+L43*L17)/12,4)</f>
        <v>0</v>
      </c>
      <c r="M44" s="504">
        <f t="shared" si="10"/>
        <v>0</v>
      </c>
      <c r="N44" s="504">
        <f t="shared" si="10"/>
        <v>0</v>
      </c>
      <c r="O44" s="509"/>
    </row>
    <row r="45" spans="1:15" s="72" customFormat="1">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1211" t="str">
        <f>'2. LRAMVA Threshold'!H43</f>
        <v>kWh</v>
      </c>
      <c r="D46" s="47"/>
      <c r="E46" s="47"/>
      <c r="F46" s="47"/>
      <c r="G46" s="47"/>
      <c r="H46" s="47"/>
      <c r="I46" s="47"/>
      <c r="J46" s="47">
        <v>1.6199999999999999E-2</v>
      </c>
      <c r="K46" s="47"/>
      <c r="L46" s="47"/>
      <c r="M46" s="47"/>
      <c r="N46" s="47"/>
      <c r="O46" s="71"/>
    </row>
    <row r="47" spans="1:15" s="18" customFormat="1" outlineLevel="1">
      <c r="A47" s="4"/>
      <c r="B47" s="564" t="s">
        <v>548</v>
      </c>
      <c r="C47" s="1209"/>
      <c r="D47" s="47"/>
      <c r="E47" s="47"/>
      <c r="F47" s="47"/>
      <c r="G47" s="47"/>
      <c r="H47" s="47"/>
      <c r="I47" s="47"/>
      <c r="J47" s="47"/>
      <c r="K47" s="47"/>
      <c r="L47" s="47"/>
      <c r="M47" s="47"/>
      <c r="N47" s="47"/>
      <c r="O47" s="71"/>
    </row>
    <row r="48" spans="1:15" s="18" customFormat="1" outlineLevel="1">
      <c r="A48" s="4"/>
      <c r="B48" s="564" t="s">
        <v>549</v>
      </c>
      <c r="C48" s="1209"/>
      <c r="D48" s="47"/>
      <c r="E48" s="47"/>
      <c r="F48" s="47"/>
      <c r="G48" s="47"/>
      <c r="H48" s="47"/>
      <c r="I48" s="47"/>
      <c r="J48" s="47">
        <v>8.9999999999999998E-4</v>
      </c>
      <c r="K48" s="47"/>
      <c r="L48" s="47"/>
      <c r="M48" s="47"/>
      <c r="N48" s="47"/>
      <c r="O48" s="71"/>
    </row>
    <row r="49" spans="1:16" s="18" customFormat="1" outlineLevel="1">
      <c r="A49" s="4"/>
      <c r="B49" s="564" t="s">
        <v>550</v>
      </c>
      <c r="C49" s="1209"/>
      <c r="D49" s="47"/>
      <c r="E49" s="47"/>
      <c r="F49" s="47"/>
      <c r="G49" s="47"/>
      <c r="H49" s="47"/>
      <c r="I49" s="47"/>
      <c r="J49" s="47"/>
      <c r="K49" s="47"/>
      <c r="L49" s="47"/>
      <c r="M49" s="47"/>
      <c r="N49" s="47"/>
      <c r="O49" s="71"/>
    </row>
    <row r="50" spans="1:16" s="18" customFormat="1">
      <c r="A50" s="4"/>
      <c r="B50" s="564" t="s">
        <v>551</v>
      </c>
      <c r="C50" s="1212"/>
      <c r="D50" s="67"/>
      <c r="E50" s="67"/>
      <c r="F50" s="67"/>
      <c r="G50" s="67"/>
      <c r="H50" s="67"/>
      <c r="I50" s="67"/>
      <c r="J50" s="67">
        <v>1.7100000000000001E-2</v>
      </c>
      <c r="K50" s="67"/>
      <c r="L50" s="67">
        <f t="shared" ref="L50:N50" si="11">SUM(L46:L49)</f>
        <v>0</v>
      </c>
      <c r="M50" s="67">
        <f t="shared" si="11"/>
        <v>0</v>
      </c>
      <c r="N50" s="67">
        <f t="shared" si="11"/>
        <v>0</v>
      </c>
      <c r="O50" s="78"/>
      <c r="P50" s="890"/>
    </row>
    <row r="51" spans="1:16" s="14" customFormat="1">
      <c r="A51" s="74"/>
      <c r="B51" s="512" t="s">
        <v>552</v>
      </c>
      <c r="C51" s="508"/>
      <c r="D51" s="73"/>
      <c r="E51" s="504"/>
      <c r="F51" s="504"/>
      <c r="G51" s="504"/>
      <c r="H51" s="504"/>
      <c r="I51" s="504"/>
      <c r="J51" s="504">
        <v>1.6199999999999999E-2</v>
      </c>
      <c r="K51" s="504"/>
      <c r="L51" s="504">
        <f t="shared" ref="L51:N51" si="12">ROUND(SUM(K50*L16+L50*L17)/12,4)</f>
        <v>0</v>
      </c>
      <c r="M51" s="504">
        <f t="shared" si="12"/>
        <v>0</v>
      </c>
      <c r="N51" s="504">
        <f t="shared" si="12"/>
        <v>0</v>
      </c>
      <c r="O51" s="509"/>
    </row>
    <row r="52" spans="1:16" s="72" customFormat="1">
      <c r="A52" s="74"/>
      <c r="B52" s="512"/>
      <c r="C52" s="508"/>
      <c r="D52" s="73"/>
      <c r="E52" s="73"/>
      <c r="F52" s="73"/>
      <c r="G52" s="73"/>
      <c r="H52" s="73"/>
      <c r="I52" s="73"/>
      <c r="J52" s="73"/>
      <c r="K52" s="73"/>
      <c r="L52" s="514"/>
      <c r="M52" s="514"/>
      <c r="N52" s="514"/>
      <c r="O52" s="513"/>
    </row>
    <row r="53" spans="1:16" s="66" customFormat="1">
      <c r="A53" s="64"/>
      <c r="B53" s="641" t="str">
        <f>'1.  LRAMVA Summary'!B33</f>
        <v>Sentinel Lighting</v>
      </c>
      <c r="C53" s="1211" t="str">
        <f>'2. LRAMVA Threshold'!I43</f>
        <v>kW</v>
      </c>
      <c r="D53" s="47"/>
      <c r="E53" s="47"/>
      <c r="F53" s="47"/>
      <c r="G53" s="47"/>
      <c r="H53" s="47"/>
      <c r="I53" s="47"/>
      <c r="J53" s="917">
        <v>8.1615000000000002</v>
      </c>
      <c r="K53" s="917"/>
      <c r="L53" s="47"/>
      <c r="M53" s="47"/>
      <c r="N53" s="47"/>
      <c r="O53" s="71"/>
      <c r="P53" s="890" t="s">
        <v>831</v>
      </c>
    </row>
    <row r="54" spans="1:16" s="18" customFormat="1" outlineLevel="1">
      <c r="A54" s="4"/>
      <c r="B54" s="564" t="s">
        <v>548</v>
      </c>
      <c r="C54" s="1209"/>
      <c r="D54" s="47"/>
      <c r="E54" s="47"/>
      <c r="F54" s="47"/>
      <c r="G54" s="47"/>
      <c r="H54" s="47"/>
      <c r="I54" s="47"/>
      <c r="J54" s="47"/>
      <c r="K54" s="47"/>
      <c r="L54" s="47"/>
      <c r="M54" s="47"/>
      <c r="N54" s="47"/>
      <c r="O54" s="71"/>
    </row>
    <row r="55" spans="1:16" s="18" customFormat="1" outlineLevel="1">
      <c r="A55" s="4"/>
      <c r="B55" s="564" t="s">
        <v>549</v>
      </c>
      <c r="C55" s="1209"/>
      <c r="D55" s="47"/>
      <c r="E55" s="47"/>
      <c r="F55" s="47"/>
      <c r="G55" s="47"/>
      <c r="H55" s="47"/>
      <c r="I55" s="47"/>
      <c r="J55" s="47">
        <v>0.42320000000000002</v>
      </c>
      <c r="K55" s="47"/>
      <c r="L55" s="47"/>
      <c r="M55" s="47"/>
      <c r="N55" s="47"/>
      <c r="O55" s="71"/>
    </row>
    <row r="56" spans="1:16" s="18" customFormat="1" outlineLevel="1">
      <c r="A56" s="4"/>
      <c r="B56" s="564" t="s">
        <v>550</v>
      </c>
      <c r="C56" s="1209"/>
      <c r="D56" s="47"/>
      <c r="E56" s="47"/>
      <c r="F56" s="47"/>
      <c r="G56" s="47"/>
      <c r="H56" s="47"/>
      <c r="I56" s="47"/>
      <c r="J56" s="47"/>
      <c r="K56" s="47"/>
      <c r="L56" s="47"/>
      <c r="M56" s="47"/>
      <c r="N56" s="47"/>
      <c r="O56" s="71"/>
    </row>
    <row r="57" spans="1:16" s="18" customFormat="1">
      <c r="A57" s="4"/>
      <c r="B57" s="564" t="s">
        <v>551</v>
      </c>
      <c r="C57" s="1212"/>
      <c r="D57" s="67"/>
      <c r="E57" s="67"/>
      <c r="F57" s="67"/>
      <c r="G57" s="67"/>
      <c r="H57" s="67"/>
      <c r="I57" s="67"/>
      <c r="J57" s="67">
        <v>8.5846999999999998</v>
      </c>
      <c r="K57" s="67"/>
      <c r="L57" s="67">
        <f t="shared" ref="L57:N57" si="13">SUM(L53:L56)</f>
        <v>0</v>
      </c>
      <c r="M57" s="67">
        <f t="shared" si="13"/>
        <v>0</v>
      </c>
      <c r="N57" s="67">
        <f t="shared" si="13"/>
        <v>0</v>
      </c>
      <c r="O57" s="79"/>
    </row>
    <row r="58" spans="1:16" s="14" customFormat="1">
      <c r="A58" s="74"/>
      <c r="B58" s="512" t="s">
        <v>552</v>
      </c>
      <c r="C58" s="508"/>
      <c r="D58" s="73"/>
      <c r="E58" s="504"/>
      <c r="F58" s="504"/>
      <c r="G58" s="504"/>
      <c r="H58" s="504"/>
      <c r="I58" s="504"/>
      <c r="J58" s="504">
        <v>8.1591000000000005</v>
      </c>
      <c r="K58" s="504"/>
      <c r="L58" s="504">
        <f t="shared" ref="L58:N58" si="14">ROUND(SUM(K57*L16+L57*L17)/12,4)</f>
        <v>0</v>
      </c>
      <c r="M58" s="504">
        <f t="shared" si="14"/>
        <v>0</v>
      </c>
      <c r="N58" s="504">
        <f t="shared" si="14"/>
        <v>0</v>
      </c>
      <c r="O58" s="509"/>
    </row>
    <row r="59" spans="1:16" s="72" customFormat="1">
      <c r="A59" s="74"/>
      <c r="B59" s="512"/>
      <c r="C59" s="508"/>
      <c r="D59" s="73"/>
      <c r="E59" s="73"/>
      <c r="F59" s="73"/>
      <c r="G59" s="73"/>
      <c r="H59" s="73"/>
      <c r="I59" s="73"/>
      <c r="J59" s="73"/>
      <c r="K59" s="73"/>
      <c r="L59" s="514"/>
      <c r="M59" s="514"/>
      <c r="N59" s="514"/>
      <c r="O59" s="513"/>
    </row>
    <row r="60" spans="1:16" s="66" customFormat="1">
      <c r="A60" s="64"/>
      <c r="B60" s="641" t="str">
        <f>'1.  LRAMVA Summary'!B34</f>
        <v>Street Lighting</v>
      </c>
      <c r="C60" s="1211" t="str">
        <f>'2. LRAMVA Threshold'!J43</f>
        <v>kW</v>
      </c>
      <c r="D60" s="47"/>
      <c r="E60" s="47"/>
      <c r="F60" s="47"/>
      <c r="G60" s="47"/>
      <c r="H60" s="47"/>
      <c r="I60" s="47"/>
      <c r="J60" s="917">
        <v>6.7744</v>
      </c>
      <c r="K60" s="917"/>
      <c r="L60" s="47"/>
      <c r="M60" s="47"/>
      <c r="N60" s="47"/>
      <c r="O60" s="71"/>
      <c r="P60" s="890" t="s">
        <v>831</v>
      </c>
    </row>
    <row r="61" spans="1:16" s="18" customFormat="1" outlineLevel="1">
      <c r="A61" s="4"/>
      <c r="B61" s="564" t="s">
        <v>548</v>
      </c>
      <c r="C61" s="1209"/>
      <c r="D61" s="47"/>
      <c r="E61" s="47"/>
      <c r="F61" s="47"/>
      <c r="G61" s="47"/>
      <c r="H61" s="47"/>
      <c r="I61" s="47"/>
      <c r="J61" s="47"/>
      <c r="K61" s="47"/>
      <c r="L61" s="47"/>
      <c r="M61" s="47"/>
      <c r="N61" s="47"/>
      <c r="O61" s="71"/>
    </row>
    <row r="62" spans="1:16" s="18" customFormat="1" outlineLevel="1">
      <c r="A62" s="4"/>
      <c r="B62" s="564" t="s">
        <v>549</v>
      </c>
      <c r="C62" s="1209"/>
      <c r="D62" s="47"/>
      <c r="E62" s="47"/>
      <c r="F62" s="47"/>
      <c r="G62" s="47"/>
      <c r="H62" s="47"/>
      <c r="I62" s="47"/>
      <c r="J62" s="47">
        <v>0.27210000000000001</v>
      </c>
      <c r="K62" s="47"/>
      <c r="L62" s="47"/>
      <c r="M62" s="47"/>
      <c r="N62" s="47"/>
      <c r="O62" s="71"/>
    </row>
    <row r="63" spans="1:16" s="18" customFormat="1" outlineLevel="1">
      <c r="A63" s="4"/>
      <c r="B63" s="564" t="s">
        <v>550</v>
      </c>
      <c r="C63" s="1209"/>
      <c r="D63" s="47"/>
      <c r="E63" s="47"/>
      <c r="F63" s="47"/>
      <c r="G63" s="47"/>
      <c r="H63" s="47"/>
      <c r="I63" s="47"/>
      <c r="J63" s="47"/>
      <c r="K63" s="47"/>
      <c r="L63" s="47"/>
      <c r="M63" s="47"/>
      <c r="N63" s="47"/>
      <c r="O63" s="71"/>
    </row>
    <row r="64" spans="1:16" s="18" customFormat="1">
      <c r="A64" s="4"/>
      <c r="B64" s="564" t="s">
        <v>551</v>
      </c>
      <c r="C64" s="1212"/>
      <c r="D64" s="67"/>
      <c r="E64" s="67"/>
      <c r="F64" s="67"/>
      <c r="G64" s="67"/>
      <c r="H64" s="67"/>
      <c r="I64" s="67"/>
      <c r="J64" s="67">
        <v>7.0465</v>
      </c>
      <c r="K64" s="67"/>
      <c r="L64" s="67">
        <f t="shared" ref="L64:N64" si="15">SUM(L60:L63)</f>
        <v>0</v>
      </c>
      <c r="M64" s="67">
        <f t="shared" si="15"/>
        <v>0</v>
      </c>
      <c r="N64" s="67">
        <f t="shared" si="15"/>
        <v>0</v>
      </c>
      <c r="O64" s="79"/>
    </row>
    <row r="65" spans="1:15" s="14" customFormat="1">
      <c r="A65" s="74"/>
      <c r="B65" s="512" t="s">
        <v>552</v>
      </c>
      <c r="C65" s="508"/>
      <c r="D65" s="73"/>
      <c r="E65" s="504"/>
      <c r="F65" s="504"/>
      <c r="G65" s="504"/>
      <c r="H65" s="504"/>
      <c r="I65" s="504"/>
      <c r="J65" s="504">
        <v>6.7526000000000002</v>
      </c>
      <c r="K65" s="504"/>
      <c r="L65" s="504">
        <f t="shared" ref="L65:N65" si="16">ROUND(SUM(K64*L16+L64*L17)/12,4)</f>
        <v>0</v>
      </c>
      <c r="M65" s="504">
        <f t="shared" si="16"/>
        <v>0</v>
      </c>
      <c r="N65" s="504">
        <f t="shared" si="16"/>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1211" t="str">
        <f>'2. LRAMVA Threshold'!K43</f>
        <v/>
      </c>
      <c r="D67" s="47"/>
      <c r="E67" s="47"/>
      <c r="F67" s="47"/>
      <c r="G67" s="47"/>
      <c r="H67" s="47"/>
      <c r="I67" s="47"/>
      <c r="J67" s="47"/>
      <c r="K67" s="47"/>
      <c r="L67" s="47"/>
      <c r="M67" s="47"/>
      <c r="N67" s="47"/>
      <c r="O67" s="71"/>
    </row>
    <row r="68" spans="1:15" s="18" customFormat="1" outlineLevel="1">
      <c r="A68" s="4"/>
      <c r="B68" s="564" t="s">
        <v>548</v>
      </c>
      <c r="C68" s="1209"/>
      <c r="D68" s="47"/>
      <c r="E68" s="47"/>
      <c r="F68" s="47"/>
      <c r="G68" s="47"/>
      <c r="H68" s="47"/>
      <c r="I68" s="47"/>
      <c r="J68" s="47"/>
      <c r="K68" s="47"/>
      <c r="L68" s="47"/>
      <c r="M68" s="47"/>
      <c r="N68" s="47"/>
      <c r="O68" s="71"/>
    </row>
    <row r="69" spans="1:15" s="18" customFormat="1" outlineLevel="1">
      <c r="A69" s="4"/>
      <c r="B69" s="564" t="s">
        <v>549</v>
      </c>
      <c r="C69" s="1209"/>
      <c r="D69" s="47"/>
      <c r="E69" s="47"/>
      <c r="F69" s="47"/>
      <c r="G69" s="47"/>
      <c r="H69" s="47"/>
      <c r="I69" s="47"/>
      <c r="J69" s="47"/>
      <c r="K69" s="47"/>
      <c r="L69" s="47"/>
      <c r="M69" s="47"/>
      <c r="N69" s="47"/>
      <c r="O69" s="71"/>
    </row>
    <row r="70" spans="1:15" s="18" customFormat="1" outlineLevel="1">
      <c r="A70" s="4"/>
      <c r="B70" s="564" t="s">
        <v>550</v>
      </c>
      <c r="C70" s="1209"/>
      <c r="D70" s="47"/>
      <c r="E70" s="47"/>
      <c r="F70" s="47"/>
      <c r="G70" s="47"/>
      <c r="H70" s="47"/>
      <c r="I70" s="47"/>
      <c r="J70" s="47"/>
      <c r="K70" s="47"/>
      <c r="L70" s="47"/>
      <c r="M70" s="47"/>
      <c r="N70" s="47"/>
      <c r="O70" s="71"/>
    </row>
    <row r="71" spans="1:15" s="18" customFormat="1">
      <c r="A71" s="4"/>
      <c r="B71" s="564" t="s">
        <v>551</v>
      </c>
      <c r="C71" s="1212"/>
      <c r="D71" s="67">
        <f>SUM(D67:D70)</f>
        <v>0</v>
      </c>
      <c r="E71" s="67">
        <f t="shared" ref="E71:N71" si="17">SUM(E67:E70)</f>
        <v>0</v>
      </c>
      <c r="F71" s="67">
        <f>SUM(F67:F70)</f>
        <v>0</v>
      </c>
      <c r="G71" s="67">
        <f t="shared" si="17"/>
        <v>0</v>
      </c>
      <c r="H71" s="67">
        <f t="shared" si="17"/>
        <v>0</v>
      </c>
      <c r="I71" s="67">
        <f t="shared" si="17"/>
        <v>0</v>
      </c>
      <c r="J71" s="67">
        <f t="shared" si="17"/>
        <v>0</v>
      </c>
      <c r="K71" s="67">
        <f t="shared" si="17"/>
        <v>0</v>
      </c>
      <c r="L71" s="67">
        <f t="shared" si="17"/>
        <v>0</v>
      </c>
      <c r="M71" s="67">
        <f t="shared" si="17"/>
        <v>0</v>
      </c>
      <c r="N71" s="67">
        <f t="shared" si="17"/>
        <v>0</v>
      </c>
      <c r="O71" s="79"/>
    </row>
    <row r="72" spans="1:15" s="14" customFormat="1">
      <c r="A72" s="74"/>
      <c r="B72" s="512" t="s">
        <v>552</v>
      </c>
      <c r="C72" s="508"/>
      <c r="D72" s="73"/>
      <c r="E72" s="504">
        <f t="shared" ref="E72:N72" si="18">ROUND(SUM(D71*E16+E71*E17)/12,4)</f>
        <v>0</v>
      </c>
      <c r="F72" s="504">
        <f t="shared" si="18"/>
        <v>0</v>
      </c>
      <c r="G72" s="504">
        <f t="shared" si="18"/>
        <v>0</v>
      </c>
      <c r="H72" s="504">
        <f t="shared" si="18"/>
        <v>0</v>
      </c>
      <c r="I72" s="504">
        <f t="shared" si="18"/>
        <v>0</v>
      </c>
      <c r="J72" s="504">
        <f t="shared" si="18"/>
        <v>0</v>
      </c>
      <c r="K72" s="504">
        <f t="shared" si="18"/>
        <v>0</v>
      </c>
      <c r="L72" s="504">
        <f t="shared" si="18"/>
        <v>0</v>
      </c>
      <c r="M72" s="504">
        <f t="shared" si="18"/>
        <v>0</v>
      </c>
      <c r="N72" s="504">
        <f t="shared" si="18"/>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1211" t="str">
        <f>'2. LRAMVA Threshold'!L43</f>
        <v/>
      </c>
      <c r="D74" s="47"/>
      <c r="E74" s="47"/>
      <c r="F74" s="47"/>
      <c r="G74" s="47"/>
      <c r="H74" s="47"/>
      <c r="I74" s="47"/>
      <c r="J74" s="47"/>
      <c r="K74" s="47"/>
      <c r="L74" s="47"/>
      <c r="M74" s="47"/>
      <c r="N74" s="47"/>
      <c r="O74" s="71"/>
    </row>
    <row r="75" spans="1:15" s="18" customFormat="1" outlineLevel="1">
      <c r="A75" s="4"/>
      <c r="B75" s="564" t="s">
        <v>548</v>
      </c>
      <c r="C75" s="1209"/>
      <c r="D75" s="47"/>
      <c r="E75" s="47"/>
      <c r="F75" s="47"/>
      <c r="G75" s="47"/>
      <c r="H75" s="47"/>
      <c r="I75" s="47"/>
      <c r="J75" s="47"/>
      <c r="K75" s="47"/>
      <c r="L75" s="47"/>
      <c r="M75" s="47"/>
      <c r="N75" s="47"/>
      <c r="O75" s="71"/>
    </row>
    <row r="76" spans="1:15" s="18" customFormat="1" outlineLevel="1">
      <c r="A76" s="4"/>
      <c r="B76" s="564" t="s">
        <v>549</v>
      </c>
      <c r="C76" s="1209"/>
      <c r="D76" s="47"/>
      <c r="E76" s="47"/>
      <c r="F76" s="47"/>
      <c r="G76" s="47"/>
      <c r="H76" s="47"/>
      <c r="I76" s="47"/>
      <c r="J76" s="47"/>
      <c r="K76" s="47"/>
      <c r="L76" s="47"/>
      <c r="M76" s="47"/>
      <c r="N76" s="47"/>
      <c r="O76" s="71"/>
    </row>
    <row r="77" spans="1:15" s="18" customFormat="1" outlineLevel="1">
      <c r="A77" s="4"/>
      <c r="B77" s="564" t="s">
        <v>550</v>
      </c>
      <c r="C77" s="1209"/>
      <c r="D77" s="47"/>
      <c r="E77" s="47"/>
      <c r="F77" s="47"/>
      <c r="G77" s="47"/>
      <c r="H77" s="47"/>
      <c r="I77" s="47"/>
      <c r="J77" s="47"/>
      <c r="K77" s="47"/>
      <c r="L77" s="47"/>
      <c r="M77" s="47"/>
      <c r="N77" s="47"/>
      <c r="O77" s="71"/>
    </row>
    <row r="78" spans="1:15" s="18" customFormat="1">
      <c r="A78" s="4"/>
      <c r="B78" s="564" t="s">
        <v>551</v>
      </c>
      <c r="C78" s="1212"/>
      <c r="D78" s="67">
        <f>SUM(D74:D77)</f>
        <v>0</v>
      </c>
      <c r="E78" s="67">
        <f>SUM(E74:E77)</f>
        <v>0</v>
      </c>
      <c r="F78" s="67">
        <f t="shared" ref="F78:N78" si="19">SUM(F74:F77)</f>
        <v>0</v>
      </c>
      <c r="G78" s="67">
        <f t="shared" si="19"/>
        <v>0</v>
      </c>
      <c r="H78" s="67">
        <f t="shared" si="19"/>
        <v>0</v>
      </c>
      <c r="I78" s="67">
        <f t="shared" si="19"/>
        <v>0</v>
      </c>
      <c r="J78" s="67">
        <f t="shared" si="19"/>
        <v>0</v>
      </c>
      <c r="K78" s="67">
        <f t="shared" si="19"/>
        <v>0</v>
      </c>
      <c r="L78" s="67">
        <f t="shared" si="19"/>
        <v>0</v>
      </c>
      <c r="M78" s="67">
        <f t="shared" si="19"/>
        <v>0</v>
      </c>
      <c r="N78" s="67">
        <f t="shared" si="19"/>
        <v>0</v>
      </c>
      <c r="O78" s="79"/>
    </row>
    <row r="79" spans="1:15" s="14" customFormat="1">
      <c r="A79" s="74"/>
      <c r="B79" s="512" t="s">
        <v>552</v>
      </c>
      <c r="C79" s="508"/>
      <c r="D79" s="73"/>
      <c r="E79" s="504">
        <f t="shared" ref="E79:N79" si="20">ROUND(SUM(D78*E16+E78*E17)/12,4)</f>
        <v>0</v>
      </c>
      <c r="F79" s="504">
        <f t="shared" si="20"/>
        <v>0</v>
      </c>
      <c r="G79" s="504">
        <f t="shared" si="20"/>
        <v>0</v>
      </c>
      <c r="H79" s="504">
        <f t="shared" si="20"/>
        <v>0</v>
      </c>
      <c r="I79" s="504">
        <f t="shared" si="20"/>
        <v>0</v>
      </c>
      <c r="J79" s="504">
        <f t="shared" si="20"/>
        <v>0</v>
      </c>
      <c r="K79" s="504">
        <f t="shared" si="20"/>
        <v>0</v>
      </c>
      <c r="L79" s="504">
        <f t="shared" si="20"/>
        <v>0</v>
      </c>
      <c r="M79" s="504">
        <f t="shared" si="20"/>
        <v>0</v>
      </c>
      <c r="N79" s="504">
        <f t="shared" si="20"/>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1211" t="str">
        <f>'2. LRAMVA Threshold'!M43</f>
        <v/>
      </c>
      <c r="D81" s="47"/>
      <c r="E81" s="47"/>
      <c r="F81" s="47"/>
      <c r="G81" s="47"/>
      <c r="H81" s="47"/>
      <c r="I81" s="47"/>
      <c r="J81" s="47"/>
      <c r="K81" s="47"/>
      <c r="L81" s="47"/>
      <c r="M81" s="47"/>
      <c r="N81" s="47"/>
      <c r="O81" s="71"/>
    </row>
    <row r="82" spans="1:15" s="18" customFormat="1" outlineLevel="1">
      <c r="A82" s="4"/>
      <c r="B82" s="564" t="s">
        <v>548</v>
      </c>
      <c r="C82" s="1209"/>
      <c r="D82" s="47"/>
      <c r="E82" s="47"/>
      <c r="F82" s="47"/>
      <c r="G82" s="47"/>
      <c r="H82" s="47"/>
      <c r="I82" s="47"/>
      <c r="J82" s="47"/>
      <c r="K82" s="47"/>
      <c r="L82" s="47"/>
      <c r="M82" s="47"/>
      <c r="N82" s="47"/>
      <c r="O82" s="71"/>
    </row>
    <row r="83" spans="1:15" s="18" customFormat="1" outlineLevel="1">
      <c r="A83" s="4"/>
      <c r="B83" s="564" t="s">
        <v>549</v>
      </c>
      <c r="C83" s="1209"/>
      <c r="D83" s="47"/>
      <c r="E83" s="47"/>
      <c r="F83" s="47"/>
      <c r="G83" s="47"/>
      <c r="H83" s="47"/>
      <c r="I83" s="47"/>
      <c r="J83" s="47"/>
      <c r="K83" s="47"/>
      <c r="L83" s="47"/>
      <c r="M83" s="47"/>
      <c r="N83" s="47"/>
      <c r="O83" s="71"/>
    </row>
    <row r="84" spans="1:15" s="18" customFormat="1" outlineLevel="1">
      <c r="A84" s="4"/>
      <c r="B84" s="564" t="s">
        <v>550</v>
      </c>
      <c r="C84" s="1209"/>
      <c r="D84" s="47"/>
      <c r="E84" s="47"/>
      <c r="F84" s="47"/>
      <c r="G84" s="47"/>
      <c r="H84" s="47"/>
      <c r="I84" s="47"/>
      <c r="J84" s="47"/>
      <c r="K84" s="47"/>
      <c r="L84" s="47"/>
      <c r="M84" s="47"/>
      <c r="N84" s="47"/>
      <c r="O84" s="71"/>
    </row>
    <row r="85" spans="1:15" s="18" customFormat="1">
      <c r="A85" s="4"/>
      <c r="B85" s="564" t="s">
        <v>551</v>
      </c>
      <c r="C85" s="1212"/>
      <c r="D85" s="67">
        <f>SUM(D81:D84)</f>
        <v>0</v>
      </c>
      <c r="E85" s="67">
        <f>SUM(E81:E84)</f>
        <v>0</v>
      </c>
      <c r="F85" s="67">
        <f t="shared" ref="F85:N85" si="21">SUM(F81:F84)</f>
        <v>0</v>
      </c>
      <c r="G85" s="67">
        <f t="shared" si="21"/>
        <v>0</v>
      </c>
      <c r="H85" s="67">
        <f t="shared" si="21"/>
        <v>0</v>
      </c>
      <c r="I85" s="67">
        <f t="shared" si="21"/>
        <v>0</v>
      </c>
      <c r="J85" s="67">
        <f t="shared" si="21"/>
        <v>0</v>
      </c>
      <c r="K85" s="67">
        <f t="shared" si="21"/>
        <v>0</v>
      </c>
      <c r="L85" s="67">
        <f t="shared" si="21"/>
        <v>0</v>
      </c>
      <c r="M85" s="67">
        <f t="shared" si="21"/>
        <v>0</v>
      </c>
      <c r="N85" s="67">
        <f t="shared" si="21"/>
        <v>0</v>
      </c>
      <c r="O85" s="79"/>
    </row>
    <row r="86" spans="1:15" s="14" customFormat="1">
      <c r="A86" s="74"/>
      <c r="B86" s="512" t="s">
        <v>552</v>
      </c>
      <c r="C86" s="508"/>
      <c r="D86" s="73"/>
      <c r="E86" s="504">
        <f t="shared" ref="E86:N86" si="22">ROUND(SUM(D85*E16+E85*E17)/12,4)</f>
        <v>0</v>
      </c>
      <c r="F86" s="504">
        <f t="shared" si="22"/>
        <v>0</v>
      </c>
      <c r="G86" s="504">
        <f t="shared" si="22"/>
        <v>0</v>
      </c>
      <c r="H86" s="504">
        <f t="shared" si="22"/>
        <v>0</v>
      </c>
      <c r="I86" s="504">
        <f t="shared" si="22"/>
        <v>0</v>
      </c>
      <c r="J86" s="504">
        <f t="shared" si="22"/>
        <v>0</v>
      </c>
      <c r="K86" s="504">
        <f t="shared" si="22"/>
        <v>0</v>
      </c>
      <c r="L86" s="504">
        <f t="shared" si="22"/>
        <v>0</v>
      </c>
      <c r="M86" s="504">
        <f t="shared" si="22"/>
        <v>0</v>
      </c>
      <c r="N86" s="504">
        <f t="shared" si="22"/>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1211" t="str">
        <f>'2. LRAMVA Threshold'!N43</f>
        <v/>
      </c>
      <c r="D88" s="47"/>
      <c r="E88" s="47"/>
      <c r="F88" s="47"/>
      <c r="G88" s="47"/>
      <c r="H88" s="47"/>
      <c r="I88" s="47"/>
      <c r="J88" s="47"/>
      <c r="K88" s="47"/>
      <c r="L88" s="47"/>
      <c r="M88" s="47"/>
      <c r="N88" s="47"/>
      <c r="O88" s="71"/>
    </row>
    <row r="89" spans="1:15" s="18" customFormat="1" outlineLevel="1">
      <c r="A89" s="4"/>
      <c r="B89" s="564" t="s">
        <v>548</v>
      </c>
      <c r="C89" s="1209"/>
      <c r="D89" s="47"/>
      <c r="E89" s="47"/>
      <c r="F89" s="47"/>
      <c r="G89" s="47"/>
      <c r="H89" s="47"/>
      <c r="I89" s="47"/>
      <c r="J89" s="47"/>
      <c r="K89" s="47"/>
      <c r="L89" s="47"/>
      <c r="M89" s="47"/>
      <c r="N89" s="47"/>
      <c r="O89" s="71"/>
    </row>
    <row r="90" spans="1:15" s="18" customFormat="1" outlineLevel="1">
      <c r="A90" s="4"/>
      <c r="B90" s="564" t="s">
        <v>549</v>
      </c>
      <c r="C90" s="1209"/>
      <c r="D90" s="47"/>
      <c r="E90" s="47"/>
      <c r="F90" s="47"/>
      <c r="G90" s="47"/>
      <c r="H90" s="47"/>
      <c r="I90" s="47"/>
      <c r="J90" s="47"/>
      <c r="K90" s="47"/>
      <c r="L90" s="47"/>
      <c r="M90" s="47"/>
      <c r="N90" s="47"/>
      <c r="O90" s="71"/>
    </row>
    <row r="91" spans="1:15" s="18" customFormat="1" outlineLevel="1">
      <c r="A91" s="4"/>
      <c r="B91" s="564" t="s">
        <v>550</v>
      </c>
      <c r="C91" s="1209"/>
      <c r="D91" s="47"/>
      <c r="E91" s="47"/>
      <c r="F91" s="47"/>
      <c r="G91" s="47"/>
      <c r="H91" s="47"/>
      <c r="I91" s="47"/>
      <c r="J91" s="47"/>
      <c r="K91" s="47"/>
      <c r="L91" s="47"/>
      <c r="M91" s="47"/>
      <c r="N91" s="47"/>
      <c r="O91" s="71"/>
    </row>
    <row r="92" spans="1:15" s="18" customFormat="1">
      <c r="A92" s="4"/>
      <c r="B92" s="564" t="s">
        <v>551</v>
      </c>
      <c r="C92" s="1212"/>
      <c r="D92" s="67">
        <f>SUM(D88:D91)</f>
        <v>0</v>
      </c>
      <c r="E92" s="67">
        <f>SUM(E88:E91)</f>
        <v>0</v>
      </c>
      <c r="F92" s="67">
        <f t="shared" ref="F92:N92" si="23">SUM(F88:F91)</f>
        <v>0</v>
      </c>
      <c r="G92" s="67">
        <f t="shared" si="23"/>
        <v>0</v>
      </c>
      <c r="H92" s="67">
        <f t="shared" si="23"/>
        <v>0</v>
      </c>
      <c r="I92" s="67">
        <f t="shared" si="23"/>
        <v>0</v>
      </c>
      <c r="J92" s="67">
        <f t="shared" si="23"/>
        <v>0</v>
      </c>
      <c r="K92" s="67">
        <f t="shared" si="23"/>
        <v>0</v>
      </c>
      <c r="L92" s="67">
        <f t="shared" si="23"/>
        <v>0</v>
      </c>
      <c r="M92" s="67">
        <f t="shared" si="23"/>
        <v>0</v>
      </c>
      <c r="N92" s="67">
        <f t="shared" si="23"/>
        <v>0</v>
      </c>
      <c r="O92" s="79"/>
    </row>
    <row r="93" spans="1:15" s="14" customFormat="1">
      <c r="A93" s="74"/>
      <c r="B93" s="512" t="s">
        <v>552</v>
      </c>
      <c r="C93" s="508"/>
      <c r="D93" s="73"/>
      <c r="E93" s="504">
        <f t="shared" ref="E93:N93" si="24">ROUND(SUM(D92*E16+E92*E17)/12,4)</f>
        <v>0</v>
      </c>
      <c r="F93" s="504">
        <f t="shared" si="24"/>
        <v>0</v>
      </c>
      <c r="G93" s="504">
        <f t="shared" si="24"/>
        <v>0</v>
      </c>
      <c r="H93" s="504">
        <f t="shared" si="24"/>
        <v>0</v>
      </c>
      <c r="I93" s="504">
        <f t="shared" si="24"/>
        <v>0</v>
      </c>
      <c r="J93" s="504">
        <f t="shared" si="24"/>
        <v>0</v>
      </c>
      <c r="K93" s="504">
        <f t="shared" si="24"/>
        <v>0</v>
      </c>
      <c r="L93" s="504">
        <f t="shared" si="24"/>
        <v>0</v>
      </c>
      <c r="M93" s="504">
        <f t="shared" si="24"/>
        <v>0</v>
      </c>
      <c r="N93" s="504">
        <f t="shared" si="24"/>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1211" t="str">
        <f>'2. LRAMVA Threshold'!O43</f>
        <v/>
      </c>
      <c r="D95" s="47"/>
      <c r="E95" s="47"/>
      <c r="F95" s="47"/>
      <c r="G95" s="47"/>
      <c r="H95" s="47"/>
      <c r="I95" s="47"/>
      <c r="J95" s="47"/>
      <c r="K95" s="47"/>
      <c r="L95" s="47"/>
      <c r="M95" s="47"/>
      <c r="N95" s="47"/>
      <c r="O95" s="71"/>
    </row>
    <row r="96" spans="1:15" s="18" customFormat="1" outlineLevel="1">
      <c r="A96" s="4"/>
      <c r="B96" s="564" t="s">
        <v>548</v>
      </c>
      <c r="C96" s="1209"/>
      <c r="D96" s="47"/>
      <c r="E96" s="47"/>
      <c r="F96" s="47"/>
      <c r="G96" s="47"/>
      <c r="H96" s="47"/>
      <c r="I96" s="47"/>
      <c r="J96" s="47"/>
      <c r="K96" s="47"/>
      <c r="L96" s="47"/>
      <c r="M96" s="47"/>
      <c r="N96" s="47"/>
      <c r="O96" s="71"/>
    </row>
    <row r="97" spans="1:15" s="18" customFormat="1" outlineLevel="1">
      <c r="A97" s="4"/>
      <c r="B97" s="564" t="s">
        <v>549</v>
      </c>
      <c r="C97" s="1209"/>
      <c r="D97" s="47"/>
      <c r="E97" s="47"/>
      <c r="F97" s="47"/>
      <c r="G97" s="47"/>
      <c r="H97" s="47"/>
      <c r="I97" s="47"/>
      <c r="J97" s="47"/>
      <c r="K97" s="47"/>
      <c r="L97" s="47"/>
      <c r="M97" s="47"/>
      <c r="N97" s="47"/>
      <c r="O97" s="71"/>
    </row>
    <row r="98" spans="1:15" s="18" customFormat="1" outlineLevel="1">
      <c r="A98" s="4"/>
      <c r="B98" s="564" t="s">
        <v>550</v>
      </c>
      <c r="C98" s="1209"/>
      <c r="D98" s="47"/>
      <c r="E98" s="47"/>
      <c r="F98" s="47"/>
      <c r="G98" s="47"/>
      <c r="H98" s="47"/>
      <c r="I98" s="47"/>
      <c r="J98" s="47"/>
      <c r="K98" s="47"/>
      <c r="L98" s="47"/>
      <c r="M98" s="47"/>
      <c r="N98" s="47"/>
      <c r="O98" s="71"/>
    </row>
    <row r="99" spans="1:15" s="18" customFormat="1">
      <c r="A99" s="4"/>
      <c r="B99" s="564" t="s">
        <v>551</v>
      </c>
      <c r="C99" s="1212"/>
      <c r="D99" s="67">
        <f>SUM(D95:D98)</f>
        <v>0</v>
      </c>
      <c r="E99" s="67">
        <f>SUM(E95:E98)</f>
        <v>0</v>
      </c>
      <c r="F99" s="67">
        <f t="shared" ref="F99:N99" si="25">SUM(F95:F98)</f>
        <v>0</v>
      </c>
      <c r="G99" s="67">
        <f t="shared" si="25"/>
        <v>0</v>
      </c>
      <c r="H99" s="67">
        <f t="shared" si="25"/>
        <v>0</v>
      </c>
      <c r="I99" s="67">
        <f t="shared" si="25"/>
        <v>0</v>
      </c>
      <c r="J99" s="67">
        <f t="shared" si="25"/>
        <v>0</v>
      </c>
      <c r="K99" s="67">
        <f t="shared" si="25"/>
        <v>0</v>
      </c>
      <c r="L99" s="67">
        <f t="shared" si="25"/>
        <v>0</v>
      </c>
      <c r="M99" s="67">
        <f t="shared" si="25"/>
        <v>0</v>
      </c>
      <c r="N99" s="67">
        <f t="shared" si="25"/>
        <v>0</v>
      </c>
      <c r="O99" s="79"/>
    </row>
    <row r="100" spans="1:15" s="14" customFormat="1">
      <c r="A100" s="74"/>
      <c r="B100" s="512" t="s">
        <v>552</v>
      </c>
      <c r="C100" s="508"/>
      <c r="D100" s="73"/>
      <c r="E100" s="504">
        <f t="shared" ref="E100:N100" si="26">ROUND(SUM(D99*E16+E99*E17)/12,4)</f>
        <v>0</v>
      </c>
      <c r="F100" s="504">
        <f t="shared" si="26"/>
        <v>0</v>
      </c>
      <c r="G100" s="504">
        <f t="shared" si="26"/>
        <v>0</v>
      </c>
      <c r="H100" s="504">
        <f t="shared" si="26"/>
        <v>0</v>
      </c>
      <c r="I100" s="504">
        <f t="shared" si="26"/>
        <v>0</v>
      </c>
      <c r="J100" s="504">
        <f t="shared" si="26"/>
        <v>0</v>
      </c>
      <c r="K100" s="504">
        <f t="shared" si="26"/>
        <v>0</v>
      </c>
      <c r="L100" s="504">
        <f t="shared" si="26"/>
        <v>0</v>
      </c>
      <c r="M100" s="504">
        <f t="shared" si="26"/>
        <v>0</v>
      </c>
      <c r="N100" s="504">
        <f t="shared" si="26"/>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1211" t="str">
        <f>'2. LRAMVA Threshold'!P43</f>
        <v/>
      </c>
      <c r="D102" s="47"/>
      <c r="E102" s="47"/>
      <c r="F102" s="47"/>
      <c r="G102" s="47"/>
      <c r="H102" s="47"/>
      <c r="I102" s="47"/>
      <c r="J102" s="47"/>
      <c r="K102" s="47"/>
      <c r="L102" s="47"/>
      <c r="M102" s="47"/>
      <c r="N102" s="47"/>
      <c r="O102" s="71"/>
    </row>
    <row r="103" spans="1:15" s="18" customFormat="1" outlineLevel="1">
      <c r="A103" s="4"/>
      <c r="B103" s="564" t="s">
        <v>548</v>
      </c>
      <c r="C103" s="1209"/>
      <c r="D103" s="47"/>
      <c r="E103" s="47"/>
      <c r="F103" s="47"/>
      <c r="G103" s="47"/>
      <c r="H103" s="47"/>
      <c r="I103" s="47"/>
      <c r="J103" s="47"/>
      <c r="K103" s="47"/>
      <c r="L103" s="47"/>
      <c r="M103" s="47"/>
      <c r="N103" s="47"/>
      <c r="O103" s="71"/>
    </row>
    <row r="104" spans="1:15" s="18" customFormat="1" outlineLevel="1">
      <c r="A104" s="4"/>
      <c r="B104" s="564" t="s">
        <v>549</v>
      </c>
      <c r="C104" s="1209"/>
      <c r="D104" s="47"/>
      <c r="E104" s="47"/>
      <c r="F104" s="47"/>
      <c r="G104" s="47"/>
      <c r="H104" s="47"/>
      <c r="I104" s="47"/>
      <c r="J104" s="47"/>
      <c r="K104" s="47"/>
      <c r="L104" s="47"/>
      <c r="M104" s="47"/>
      <c r="N104" s="47"/>
      <c r="O104" s="71"/>
    </row>
    <row r="105" spans="1:15" s="18" customFormat="1" outlineLevel="1">
      <c r="A105" s="4"/>
      <c r="B105" s="564" t="s">
        <v>550</v>
      </c>
      <c r="C105" s="1209"/>
      <c r="D105" s="47"/>
      <c r="E105" s="47"/>
      <c r="F105" s="47"/>
      <c r="G105" s="47"/>
      <c r="H105" s="47"/>
      <c r="I105" s="47"/>
      <c r="J105" s="47"/>
      <c r="K105" s="47"/>
      <c r="L105" s="47"/>
      <c r="M105" s="47"/>
      <c r="N105" s="47"/>
      <c r="O105" s="71"/>
    </row>
    <row r="106" spans="1:15" s="18" customFormat="1">
      <c r="A106" s="4"/>
      <c r="B106" s="564" t="s">
        <v>551</v>
      </c>
      <c r="C106" s="1212"/>
      <c r="D106" s="67">
        <f>SUM(D102:D105)</f>
        <v>0</v>
      </c>
      <c r="E106" s="67">
        <f>SUM(E102:E105)</f>
        <v>0</v>
      </c>
      <c r="F106" s="67">
        <f>SUM(F102:F105)</f>
        <v>0</v>
      </c>
      <c r="G106" s="67">
        <f t="shared" ref="G106:N106" si="27">SUM(G102:G105)</f>
        <v>0</v>
      </c>
      <c r="H106" s="67">
        <f t="shared" si="27"/>
        <v>0</v>
      </c>
      <c r="I106" s="67">
        <f t="shared" si="27"/>
        <v>0</v>
      </c>
      <c r="J106" s="67">
        <f t="shared" si="27"/>
        <v>0</v>
      </c>
      <c r="K106" s="67">
        <f t="shared" si="27"/>
        <v>0</v>
      </c>
      <c r="L106" s="67">
        <f t="shared" si="27"/>
        <v>0</v>
      </c>
      <c r="M106" s="67">
        <f t="shared" si="27"/>
        <v>0</v>
      </c>
      <c r="N106" s="67">
        <f t="shared" si="27"/>
        <v>0</v>
      </c>
      <c r="O106" s="79"/>
    </row>
    <row r="107" spans="1:15" s="14" customFormat="1">
      <c r="A107" s="74"/>
      <c r="B107" s="512" t="s">
        <v>552</v>
      </c>
      <c r="C107" s="508"/>
      <c r="D107" s="73"/>
      <c r="E107" s="504">
        <f t="shared" ref="E107:N107" si="28">ROUND(SUM(D106*E16+E106*E17)/12,4)</f>
        <v>0</v>
      </c>
      <c r="F107" s="504">
        <f t="shared" si="28"/>
        <v>0</v>
      </c>
      <c r="G107" s="504">
        <f t="shared" si="28"/>
        <v>0</v>
      </c>
      <c r="H107" s="504">
        <f t="shared" si="28"/>
        <v>0</v>
      </c>
      <c r="I107" s="504">
        <f t="shared" si="28"/>
        <v>0</v>
      </c>
      <c r="J107" s="504">
        <f t="shared" si="28"/>
        <v>0</v>
      </c>
      <c r="K107" s="504">
        <f t="shared" si="28"/>
        <v>0</v>
      </c>
      <c r="L107" s="504">
        <f t="shared" si="28"/>
        <v>0</v>
      </c>
      <c r="M107" s="504">
        <f t="shared" si="28"/>
        <v>0</v>
      </c>
      <c r="N107" s="504">
        <f t="shared" si="28"/>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1211" t="str">
        <f>'2. LRAMVA Threshold'!Q43</f>
        <v/>
      </c>
      <c r="D109" s="47"/>
      <c r="E109" s="47"/>
      <c r="F109" s="47"/>
      <c r="G109" s="47"/>
      <c r="H109" s="47"/>
      <c r="I109" s="47"/>
      <c r="J109" s="47"/>
      <c r="K109" s="47"/>
      <c r="L109" s="47"/>
      <c r="M109" s="47"/>
      <c r="N109" s="47"/>
      <c r="O109" s="71"/>
    </row>
    <row r="110" spans="1:15" s="18" customFormat="1" outlineLevel="1">
      <c r="A110" s="4"/>
      <c r="B110" s="564" t="s">
        <v>548</v>
      </c>
      <c r="C110" s="1209"/>
      <c r="D110" s="47"/>
      <c r="E110" s="47"/>
      <c r="F110" s="47"/>
      <c r="G110" s="47"/>
      <c r="H110" s="47"/>
      <c r="I110" s="47"/>
      <c r="J110" s="47"/>
      <c r="K110" s="47"/>
      <c r="L110" s="47"/>
      <c r="M110" s="47"/>
      <c r="N110" s="47"/>
      <c r="O110" s="71"/>
    </row>
    <row r="111" spans="1:15" s="18" customFormat="1" outlineLevel="1">
      <c r="A111" s="4"/>
      <c r="B111" s="564" t="s">
        <v>549</v>
      </c>
      <c r="C111" s="1209"/>
      <c r="D111" s="47"/>
      <c r="E111" s="47"/>
      <c r="F111" s="47"/>
      <c r="G111" s="47"/>
      <c r="H111" s="47"/>
      <c r="I111" s="47"/>
      <c r="J111" s="47"/>
      <c r="K111" s="47"/>
      <c r="L111" s="47"/>
      <c r="M111" s="47"/>
      <c r="N111" s="47"/>
      <c r="O111" s="71"/>
    </row>
    <row r="112" spans="1:15" s="18" customFormat="1" outlineLevel="1">
      <c r="A112" s="4"/>
      <c r="B112" s="564" t="s">
        <v>550</v>
      </c>
      <c r="C112" s="1209"/>
      <c r="D112" s="47"/>
      <c r="E112" s="47"/>
      <c r="F112" s="47"/>
      <c r="G112" s="47"/>
      <c r="H112" s="47"/>
      <c r="I112" s="47"/>
      <c r="J112" s="47"/>
      <c r="K112" s="47"/>
      <c r="L112" s="47"/>
      <c r="M112" s="47"/>
      <c r="N112" s="47"/>
      <c r="O112" s="71"/>
    </row>
    <row r="113" spans="1:17" s="18" customFormat="1">
      <c r="A113" s="4"/>
      <c r="B113" s="564" t="s">
        <v>551</v>
      </c>
      <c r="C113" s="1212"/>
      <c r="D113" s="67">
        <f>SUM(D109:D112)</f>
        <v>0</v>
      </c>
      <c r="E113" s="67">
        <f>SUM(E109:E112)</f>
        <v>0</v>
      </c>
      <c r="F113" s="67">
        <f>SUM(F109:F112)</f>
        <v>0</v>
      </c>
      <c r="G113" s="67">
        <f>SUM(G109:G112)</f>
        <v>0</v>
      </c>
      <c r="H113" s="67">
        <f t="shared" ref="H113:N113" si="29">SUM(H109:H112)</f>
        <v>0</v>
      </c>
      <c r="I113" s="67">
        <f t="shared" si="29"/>
        <v>0</v>
      </c>
      <c r="J113" s="67">
        <f t="shared" si="29"/>
        <v>0</v>
      </c>
      <c r="K113" s="67">
        <f t="shared" si="29"/>
        <v>0</v>
      </c>
      <c r="L113" s="67">
        <f t="shared" si="29"/>
        <v>0</v>
      </c>
      <c r="M113" s="67">
        <f t="shared" si="29"/>
        <v>0</v>
      </c>
      <c r="N113" s="67">
        <f t="shared" si="29"/>
        <v>0</v>
      </c>
      <c r="O113" s="79"/>
    </row>
    <row r="114" spans="1:17" s="14" customFormat="1">
      <c r="A114" s="74"/>
      <c r="B114" s="512" t="s">
        <v>552</v>
      </c>
      <c r="C114" s="508"/>
      <c r="D114" s="73"/>
      <c r="E114" s="504">
        <f t="shared" ref="E114:N114" si="30">ROUND(SUM(D113*E16+E113*E17)/12,4)</f>
        <v>0</v>
      </c>
      <c r="F114" s="504">
        <f t="shared" si="30"/>
        <v>0</v>
      </c>
      <c r="G114" s="504">
        <f t="shared" si="30"/>
        <v>0</v>
      </c>
      <c r="H114" s="504">
        <f t="shared" si="30"/>
        <v>0</v>
      </c>
      <c r="I114" s="504">
        <f t="shared" si="30"/>
        <v>0</v>
      </c>
      <c r="J114" s="504">
        <f t="shared" si="30"/>
        <v>0</v>
      </c>
      <c r="K114" s="504">
        <f t="shared" si="30"/>
        <v>0</v>
      </c>
      <c r="L114" s="504">
        <f t="shared" si="30"/>
        <v>0</v>
      </c>
      <c r="M114" s="504">
        <f t="shared" si="30"/>
        <v>0</v>
      </c>
      <c r="N114" s="504">
        <f t="shared" si="30"/>
        <v>0</v>
      </c>
      <c r="O114" s="509"/>
    </row>
    <row r="115" spans="1:17" s="72" customFormat="1">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6">
      <c r="B119" s="120" t="s">
        <v>498</v>
      </c>
      <c r="J119" s="18"/>
    </row>
    <row r="120" spans="1:17" s="14" customFormat="1" ht="42.75" customHeight="1">
      <c r="A120" s="74"/>
      <c r="B120" s="1216" t="s">
        <v>647</v>
      </c>
      <c r="C120" s="1216"/>
      <c r="D120" s="1216"/>
      <c r="E120" s="1216"/>
      <c r="F120" s="1216"/>
      <c r="G120" s="1216"/>
      <c r="H120" s="1216"/>
      <c r="I120" s="1216"/>
      <c r="J120" s="1216"/>
      <c r="K120" s="1216"/>
      <c r="L120" s="1216"/>
      <c r="M120" s="1216"/>
      <c r="N120" s="1216"/>
      <c r="O120" s="1216"/>
      <c r="P120" s="1216"/>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1">HLOOKUP(B124,$E$15:$O$114,9,FALSE)</f>
        <v>0</v>
      </c>
      <c r="D124" s="521">
        <f>HLOOKUP(B124,$E$15:$O$114,16,FALSE)</f>
        <v>0</v>
      </c>
      <c r="E124" s="522">
        <f>HLOOKUP(B124,$E$15:$O$114,23,FALSE)</f>
        <v>0</v>
      </c>
      <c r="F124" s="521">
        <f>HLOOKUP(B124,$E$15:$O$114,30,FALSE)</f>
        <v>0</v>
      </c>
      <c r="G124" s="522">
        <f>HLOOKUP(B124,$E$15:$O$114,37,FALSE)</f>
        <v>0</v>
      </c>
      <c r="H124" s="521">
        <f>HLOOKUP(B124,$E$15:$O$114,44,FALSE)</f>
        <v>0</v>
      </c>
      <c r="I124" s="522">
        <f>HLOOKUP(B124,$E$15:$O$114,51,FALSE)</f>
        <v>0</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1"/>
        <v>0</v>
      </c>
      <c r="D125" s="524">
        <f>HLOOKUP(B125,$E$15:$O$114,16,FALSE)</f>
        <v>0</v>
      </c>
      <c r="E125" s="525">
        <f>HLOOKUP(B125,$E$15:$O$114,23,FALSE)</f>
        <v>0</v>
      </c>
      <c r="F125" s="524">
        <f>HLOOKUP(B125,$E$15:$O$114,30,FALSE)</f>
        <v>0</v>
      </c>
      <c r="G125" s="525">
        <f>HLOOKUP(B125,$E$15:$O$114,37,FALSE)</f>
        <v>0</v>
      </c>
      <c r="H125" s="524">
        <f>HLOOKUP(B125,$E$15:$O$114,44,FALSE)</f>
        <v>0</v>
      </c>
      <c r="I125" s="525">
        <f>HLOOKUP(B125,$E$15:$O$114,51,FALSE)</f>
        <v>0</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2">HLOOKUP(B125,$E$15:$O$114,100,FALSE)</f>
        <v>0</v>
      </c>
    </row>
    <row r="126" spans="1:17">
      <c r="B126" s="530">
        <v>2013</v>
      </c>
      <c r="C126" s="523">
        <f t="shared" si="31"/>
        <v>0</v>
      </c>
      <c r="D126" s="524">
        <f t="shared" ref="D126:D133" si="33">HLOOKUP(B126,$E$15:$O$114,16,FALSE)</f>
        <v>0</v>
      </c>
      <c r="E126" s="525">
        <f t="shared" ref="E126:E133" si="34">HLOOKUP(B126,$E$15:$O$114,23,FALSE)</f>
        <v>0</v>
      </c>
      <c r="F126" s="524">
        <f t="shared" ref="F126:F133" si="35">HLOOKUP(B126,$E$15:$O$114,30,FALSE)</f>
        <v>0</v>
      </c>
      <c r="G126" s="525">
        <f t="shared" ref="G126:G132" si="36">HLOOKUP(B126,$E$15:$O$114,37,FALSE)</f>
        <v>0</v>
      </c>
      <c r="H126" s="524">
        <f t="shared" ref="H126:H133" si="37">HLOOKUP(B126,$E$15:$O$114,44,FALSE)</f>
        <v>0</v>
      </c>
      <c r="I126" s="525">
        <f t="shared" ref="I126:I133" si="38">HLOOKUP(B126,$E$15:$O$114,51,FALSE)</f>
        <v>0</v>
      </c>
      <c r="J126" s="525">
        <f t="shared" ref="J126:J133" si="39">HLOOKUP(B126,$E$15:$O$114,58,FALSE)</f>
        <v>0</v>
      </c>
      <c r="K126" s="525">
        <f t="shared" ref="K126:K133" si="40">HLOOKUP(B126,$E$15:$O$114,65,FALSE)</f>
        <v>0</v>
      </c>
      <c r="L126" s="525">
        <f t="shared" ref="L126:L133" si="41">HLOOKUP(B126,$E$15:$O$114,72,FALSE)</f>
        <v>0</v>
      </c>
      <c r="M126" s="525">
        <f t="shared" ref="M126:M133" si="42">HLOOKUP(B126,$E$15:$O$114,79,FALSE)</f>
        <v>0</v>
      </c>
      <c r="N126" s="525">
        <f t="shared" ref="N126:N133" si="43">HLOOKUP(B126,$E$15:$O$114,86,FALSE)</f>
        <v>0</v>
      </c>
      <c r="O126" s="525">
        <f t="shared" ref="O126:O133" si="44">HLOOKUP(B126,$E$15:$O$114,93,FALSE)</f>
        <v>0</v>
      </c>
      <c r="P126" s="525">
        <f t="shared" si="32"/>
        <v>0</v>
      </c>
    </row>
    <row r="127" spans="1:17">
      <c r="B127" s="530">
        <v>2014</v>
      </c>
      <c r="C127" s="523">
        <f t="shared" si="31"/>
        <v>0</v>
      </c>
      <c r="D127" s="524">
        <f>HLOOKUP(B127,$E$15:$O$114,16,FALSE)</f>
        <v>0</v>
      </c>
      <c r="E127" s="525">
        <f>HLOOKUP(B127,$E$15:$O$114,23,FALSE)</f>
        <v>0</v>
      </c>
      <c r="F127" s="524">
        <f>HLOOKUP(B127,$E$15:$O$114,30,FALSE)</f>
        <v>0</v>
      </c>
      <c r="G127" s="525">
        <f>HLOOKUP(B127,$E$15:$O$114,37,FALSE)</f>
        <v>0</v>
      </c>
      <c r="H127" s="524">
        <f>HLOOKUP(B127,$E$15:$O$114,44,FALSE)</f>
        <v>0</v>
      </c>
      <c r="I127" s="525">
        <f>HLOOKUP(B127,$E$15:$O$114,51,FALSE)</f>
        <v>0</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1"/>
        <v>0</v>
      </c>
      <c r="D128" s="524">
        <f t="shared" si="33"/>
        <v>0</v>
      </c>
      <c r="E128" s="525">
        <f t="shared" si="34"/>
        <v>0</v>
      </c>
      <c r="F128" s="524">
        <f t="shared" si="35"/>
        <v>0</v>
      </c>
      <c r="G128" s="525">
        <f t="shared" si="36"/>
        <v>0</v>
      </c>
      <c r="H128" s="524">
        <f t="shared" si="37"/>
        <v>0</v>
      </c>
      <c r="I128" s="525">
        <f t="shared" si="38"/>
        <v>0</v>
      </c>
      <c r="J128" s="525">
        <f t="shared" si="39"/>
        <v>0</v>
      </c>
      <c r="K128" s="525">
        <f t="shared" si="40"/>
        <v>0</v>
      </c>
      <c r="L128" s="525">
        <f t="shared" si="41"/>
        <v>0</v>
      </c>
      <c r="M128" s="525">
        <f t="shared" si="42"/>
        <v>0</v>
      </c>
      <c r="N128" s="525">
        <f t="shared" si="43"/>
        <v>0</v>
      </c>
      <c r="O128" s="525">
        <f t="shared" si="44"/>
        <v>0</v>
      </c>
      <c r="P128" s="525">
        <f t="shared" si="32"/>
        <v>0</v>
      </c>
    </row>
    <row r="129" spans="2:16">
      <c r="B129" s="530">
        <v>2016</v>
      </c>
      <c r="C129" s="523">
        <f t="shared" si="31"/>
        <v>1.41E-2</v>
      </c>
      <c r="D129" s="524">
        <f t="shared" si="33"/>
        <v>1.4200000000000001E-2</v>
      </c>
      <c r="E129" s="525">
        <f t="shared" si="34"/>
        <v>3.3892000000000002</v>
      </c>
      <c r="F129" s="524">
        <f t="shared" si="35"/>
        <v>1.4413</v>
      </c>
      <c r="G129" s="525">
        <f t="shared" si="36"/>
        <v>1.6199999999999999E-2</v>
      </c>
      <c r="H129" s="524">
        <f t="shared" si="37"/>
        <v>8.1591000000000005</v>
      </c>
      <c r="I129" s="525">
        <f t="shared" si="38"/>
        <v>6.7526000000000002</v>
      </c>
      <c r="J129" s="525">
        <f t="shared" si="39"/>
        <v>0</v>
      </c>
      <c r="K129" s="525">
        <f t="shared" si="40"/>
        <v>0</v>
      </c>
      <c r="L129" s="525">
        <f t="shared" si="41"/>
        <v>0</v>
      </c>
      <c r="M129" s="525">
        <f t="shared" si="42"/>
        <v>0</v>
      </c>
      <c r="N129" s="525">
        <f t="shared" si="43"/>
        <v>0</v>
      </c>
      <c r="O129" s="525">
        <f t="shared" si="44"/>
        <v>0</v>
      </c>
      <c r="P129" s="525">
        <f t="shared" si="32"/>
        <v>0</v>
      </c>
    </row>
    <row r="130" spans="2:16">
      <c r="B130" s="530">
        <v>2017</v>
      </c>
      <c r="C130" s="523">
        <f>HLOOKUP(B130,$E$15:$O$114,9,FALSE)</f>
        <v>0</v>
      </c>
      <c r="D130" s="524">
        <f t="shared" si="33"/>
        <v>0</v>
      </c>
      <c r="E130" s="525">
        <f t="shared" si="34"/>
        <v>0</v>
      </c>
      <c r="F130" s="524">
        <f t="shared" si="35"/>
        <v>0</v>
      </c>
      <c r="G130" s="525">
        <f t="shared" si="36"/>
        <v>0</v>
      </c>
      <c r="H130" s="524">
        <f t="shared" si="37"/>
        <v>0</v>
      </c>
      <c r="I130" s="525">
        <f t="shared" si="38"/>
        <v>0</v>
      </c>
      <c r="J130" s="525">
        <f t="shared" si="39"/>
        <v>0</v>
      </c>
      <c r="K130" s="525">
        <f t="shared" si="40"/>
        <v>0</v>
      </c>
      <c r="L130" s="525">
        <f t="shared" si="41"/>
        <v>0</v>
      </c>
      <c r="M130" s="525">
        <f t="shared" si="42"/>
        <v>0</v>
      </c>
      <c r="N130" s="525">
        <f t="shared" si="43"/>
        <v>0</v>
      </c>
      <c r="O130" s="525">
        <f t="shared" si="44"/>
        <v>0</v>
      </c>
      <c r="P130" s="525">
        <f t="shared" si="32"/>
        <v>0</v>
      </c>
    </row>
    <row r="131" spans="2:16">
      <c r="B131" s="530">
        <v>2018</v>
      </c>
      <c r="C131" s="523">
        <f t="shared" ref="C131:C133" si="45">HLOOKUP(B131,$E$15:$O$114,9,FALSE)</f>
        <v>0</v>
      </c>
      <c r="D131" s="524">
        <f t="shared" si="33"/>
        <v>0</v>
      </c>
      <c r="E131" s="525">
        <f t="shared" si="34"/>
        <v>0</v>
      </c>
      <c r="F131" s="524">
        <f t="shared" si="35"/>
        <v>0</v>
      </c>
      <c r="G131" s="525">
        <f t="shared" si="36"/>
        <v>0</v>
      </c>
      <c r="H131" s="524">
        <f t="shared" si="37"/>
        <v>0</v>
      </c>
      <c r="I131" s="525">
        <f t="shared" si="38"/>
        <v>0</v>
      </c>
      <c r="J131" s="525">
        <f t="shared" si="39"/>
        <v>0</v>
      </c>
      <c r="K131" s="525">
        <f t="shared" si="40"/>
        <v>0</v>
      </c>
      <c r="L131" s="525">
        <f t="shared" si="41"/>
        <v>0</v>
      </c>
      <c r="M131" s="525">
        <f t="shared" si="42"/>
        <v>0</v>
      </c>
      <c r="N131" s="525">
        <f t="shared" si="43"/>
        <v>0</v>
      </c>
      <c r="O131" s="525">
        <f t="shared" si="44"/>
        <v>0</v>
      </c>
      <c r="P131" s="525">
        <f t="shared" si="32"/>
        <v>0</v>
      </c>
    </row>
    <row r="132" spans="2:16">
      <c r="B132" s="530">
        <v>2019</v>
      </c>
      <c r="C132" s="523">
        <f t="shared" si="45"/>
        <v>0</v>
      </c>
      <c r="D132" s="524">
        <f t="shared" si="33"/>
        <v>0</v>
      </c>
      <c r="E132" s="525">
        <f t="shared" si="34"/>
        <v>0</v>
      </c>
      <c r="F132" s="524">
        <f t="shared" si="35"/>
        <v>0</v>
      </c>
      <c r="G132" s="525">
        <f t="shared" si="36"/>
        <v>0</v>
      </c>
      <c r="H132" s="524">
        <f t="shared" si="37"/>
        <v>0</v>
      </c>
      <c r="I132" s="525">
        <f t="shared" si="38"/>
        <v>0</v>
      </c>
      <c r="J132" s="525">
        <f t="shared" si="39"/>
        <v>0</v>
      </c>
      <c r="K132" s="525">
        <f t="shared" si="40"/>
        <v>0</v>
      </c>
      <c r="L132" s="525">
        <f t="shared" si="41"/>
        <v>0</v>
      </c>
      <c r="M132" s="525">
        <f t="shared" si="42"/>
        <v>0</v>
      </c>
      <c r="N132" s="525">
        <f t="shared" si="43"/>
        <v>0</v>
      </c>
      <c r="O132" s="525">
        <f t="shared" si="44"/>
        <v>0</v>
      </c>
      <c r="P132" s="525">
        <f t="shared" si="32"/>
        <v>0</v>
      </c>
    </row>
    <row r="133" spans="2:16">
      <c r="B133" s="531">
        <v>2020</v>
      </c>
      <c r="C133" s="526">
        <f t="shared" si="45"/>
        <v>0</v>
      </c>
      <c r="D133" s="527">
        <f t="shared" si="33"/>
        <v>0</v>
      </c>
      <c r="E133" s="528">
        <f t="shared" si="34"/>
        <v>0</v>
      </c>
      <c r="F133" s="527">
        <f t="shared" si="35"/>
        <v>0</v>
      </c>
      <c r="G133" s="528">
        <f>HLOOKUP(B133,$E$15:$O$114,37,FALSE)</f>
        <v>0</v>
      </c>
      <c r="H133" s="527">
        <f t="shared" si="37"/>
        <v>0</v>
      </c>
      <c r="I133" s="528">
        <f t="shared" si="38"/>
        <v>0</v>
      </c>
      <c r="J133" s="528">
        <f t="shared" si="39"/>
        <v>0</v>
      </c>
      <c r="K133" s="528">
        <f t="shared" si="40"/>
        <v>0</v>
      </c>
      <c r="L133" s="528">
        <f t="shared" si="41"/>
        <v>0</v>
      </c>
      <c r="M133" s="528">
        <f t="shared" si="42"/>
        <v>0</v>
      </c>
      <c r="N133" s="528">
        <f t="shared" si="43"/>
        <v>0</v>
      </c>
      <c r="O133" s="528">
        <f t="shared" si="44"/>
        <v>0</v>
      </c>
      <c r="P133" s="528">
        <f t="shared" si="32"/>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70"/>
  <sheetViews>
    <sheetView topLeftCell="A273" zoomScale="70" zoomScaleNormal="70" zoomScaleSheetLayoutView="70" zoomScalePageLayoutView="85" workbookViewId="0">
      <pane xSplit="2" topLeftCell="V1" activePane="topRight" state="frozen"/>
      <selection activeCell="C28" sqref="C28"/>
      <selection pane="topRight" activeCell="Y268" sqref="Y268"/>
    </sheetView>
  </sheetViews>
  <sheetFormatPr defaultColWidth="9.109375" defaultRowHeight="13.8" outlineLevelRow="1" outlineLevelCol="1"/>
  <cols>
    <col min="1" max="1" width="4.6640625" style="538" customWidth="1"/>
    <col min="2" max="2" width="49.6640625" style="279" customWidth="1"/>
    <col min="3" max="3" width="14" style="279" customWidth="1"/>
    <col min="4" max="4" width="18.109375" style="278" customWidth="1"/>
    <col min="5" max="5" width="15.33203125" style="278" customWidth="1" outlineLevel="1"/>
    <col min="6" max="13" width="11.5546875" style="278" customWidth="1" outlineLevel="1"/>
    <col min="14" max="14" width="12.44140625" style="278" customWidth="1" outlineLevel="1"/>
    <col min="15" max="15" width="17.5546875" style="278" customWidth="1"/>
    <col min="16" max="24" width="9.44140625" style="278" customWidth="1" outlineLevel="1"/>
    <col min="25" max="25" width="18.5546875" style="280" bestFit="1" customWidth="1"/>
    <col min="26" max="26" width="15.88671875" style="280" bestFit="1" customWidth="1"/>
    <col min="27" max="27" width="16.88671875" style="280" customWidth="1"/>
    <col min="28" max="28" width="17.5546875" style="280" customWidth="1"/>
    <col min="29" max="31" width="14.5546875" style="280" customWidth="1"/>
    <col min="32" max="35" width="14.5546875" style="280" customWidth="1" outlineLevel="1"/>
    <col min="36" max="38" width="15" style="280" customWidth="1" outlineLevel="1"/>
    <col min="39" max="39" width="20.6640625" style="281" bestFit="1" customWidth="1"/>
    <col min="40" max="40" width="28" style="278" bestFit="1" customWidth="1"/>
    <col min="41" max="43" width="8.88671875" style="278" customWidth="1"/>
    <col min="44" max="44" width="11.109375" style="278" customWidth="1"/>
    <col min="45" max="45" width="28" style="278" bestFit="1" customWidth="1"/>
    <col min="46" max="48" width="11.88671875" style="278" customWidth="1"/>
    <col min="49" max="49" width="9.109375" style="278"/>
    <col min="50" max="50" width="28" style="278" bestFit="1" customWidth="1"/>
    <col min="51" max="53" width="10.44140625" style="278" customWidth="1"/>
    <col min="54" max="54" width="9.109375" style="278"/>
    <col min="55" max="55" width="28.109375" style="278" bestFit="1" customWidth="1"/>
    <col min="56" max="16384" width="9.109375" style="278"/>
  </cols>
  <sheetData>
    <row r="1" spans="1:39" ht="164.25" customHeight="1"/>
    <row r="2" spans="1:39" ht="23.25" customHeight="1" thickBot="1"/>
    <row r="3" spans="1:39" ht="25.5" customHeight="1" thickBot="1">
      <c r="B3" s="1230"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1230"/>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1213" t="s">
        <v>624</v>
      </c>
      <c r="D5" s="1214"/>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1230" t="s">
        <v>520</v>
      </c>
      <c r="C7" s="1229" t="s">
        <v>654</v>
      </c>
      <c r="D7" s="1229"/>
      <c r="E7" s="1229"/>
      <c r="F7" s="1229"/>
      <c r="G7" s="1229"/>
      <c r="H7" s="1229"/>
      <c r="I7" s="1229"/>
      <c r="J7" s="1229"/>
      <c r="K7" s="1229"/>
      <c r="L7" s="1229"/>
      <c r="M7" s="1229"/>
      <c r="N7" s="1229"/>
      <c r="O7" s="1229"/>
      <c r="P7" s="1229"/>
      <c r="Q7" s="1229"/>
      <c r="R7" s="1229"/>
      <c r="S7" s="1229"/>
      <c r="T7" s="1229"/>
      <c r="U7" s="1229"/>
      <c r="V7" s="1229"/>
      <c r="W7" s="1229"/>
      <c r="X7" s="1229"/>
      <c r="Y7" s="643"/>
      <c r="Z7" s="643"/>
      <c r="AA7" s="643"/>
      <c r="AB7" s="643"/>
      <c r="AC7" s="643"/>
      <c r="AD7" s="643"/>
      <c r="AE7" s="295"/>
      <c r="AF7" s="295"/>
      <c r="AG7" s="295"/>
      <c r="AH7" s="295"/>
      <c r="AI7" s="295"/>
      <c r="AJ7" s="295"/>
      <c r="AK7" s="295"/>
      <c r="AL7" s="295"/>
    </row>
    <row r="8" spans="1:39" s="296" customFormat="1" ht="58.5" customHeight="1">
      <c r="A8" s="538"/>
      <c r="B8" s="1230"/>
      <c r="C8" s="1229" t="s">
        <v>649</v>
      </c>
      <c r="D8" s="1229"/>
      <c r="E8" s="1229"/>
      <c r="F8" s="1229"/>
      <c r="G8" s="1229"/>
      <c r="H8" s="1229"/>
      <c r="I8" s="1229"/>
      <c r="J8" s="1229"/>
      <c r="K8" s="1229"/>
      <c r="L8" s="1229"/>
      <c r="M8" s="1229"/>
      <c r="N8" s="1229"/>
      <c r="O8" s="1229"/>
      <c r="P8" s="1229"/>
      <c r="Q8" s="1229"/>
      <c r="R8" s="1229"/>
      <c r="S8" s="1229"/>
      <c r="T8" s="1229"/>
      <c r="U8" s="1229"/>
      <c r="V8" s="1229"/>
      <c r="W8" s="1229"/>
      <c r="X8" s="1229"/>
      <c r="Y8" s="643"/>
      <c r="Z8" s="643"/>
      <c r="AA8" s="643"/>
      <c r="AB8" s="643"/>
      <c r="AC8" s="643"/>
      <c r="AD8" s="643"/>
      <c r="AE8" s="297"/>
      <c r="AF8" s="280"/>
      <c r="AG8" s="280"/>
      <c r="AH8" s="280"/>
      <c r="AI8" s="280"/>
      <c r="AJ8" s="280"/>
      <c r="AK8" s="280"/>
      <c r="AL8" s="280"/>
      <c r="AM8" s="281"/>
    </row>
    <row r="9" spans="1:39" s="296" customFormat="1" ht="57.75" customHeight="1">
      <c r="A9" s="538"/>
      <c r="B9" s="298"/>
      <c r="C9" s="1229" t="s">
        <v>652</v>
      </c>
      <c r="D9" s="1229"/>
      <c r="E9" s="1229"/>
      <c r="F9" s="1229"/>
      <c r="G9" s="1229"/>
      <c r="H9" s="1229"/>
      <c r="I9" s="1229"/>
      <c r="J9" s="1229"/>
      <c r="K9" s="1229"/>
      <c r="L9" s="1229"/>
      <c r="M9" s="1229"/>
      <c r="N9" s="1229"/>
      <c r="O9" s="1229"/>
      <c r="P9" s="1229"/>
      <c r="Q9" s="1229"/>
      <c r="R9" s="1229"/>
      <c r="S9" s="1229"/>
      <c r="T9" s="1229"/>
      <c r="U9" s="1229"/>
      <c r="V9" s="1229"/>
      <c r="W9" s="1229"/>
      <c r="X9" s="1229"/>
      <c r="Y9" s="643"/>
      <c r="Z9" s="643"/>
      <c r="AA9" s="643"/>
      <c r="AB9" s="643"/>
      <c r="AC9" s="643"/>
      <c r="AD9" s="643"/>
      <c r="AE9" s="297"/>
      <c r="AF9" s="280"/>
      <c r="AG9" s="280"/>
      <c r="AH9" s="280"/>
      <c r="AI9" s="280"/>
      <c r="AJ9" s="280"/>
      <c r="AK9" s="280"/>
      <c r="AL9" s="280"/>
      <c r="AM9" s="281"/>
    </row>
    <row r="10" spans="1:39" ht="48.75" customHeight="1">
      <c r="B10" s="300"/>
      <c r="C10" s="1229" t="s">
        <v>653</v>
      </c>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643"/>
      <c r="Z10" s="643"/>
      <c r="AA10" s="643"/>
      <c r="AB10" s="643"/>
      <c r="AC10" s="643"/>
      <c r="AD10" s="643"/>
      <c r="AE10" s="297"/>
      <c r="AF10" s="301"/>
      <c r="AG10" s="301"/>
      <c r="AH10" s="301"/>
      <c r="AI10" s="301"/>
      <c r="AJ10" s="301"/>
      <c r="AK10" s="301"/>
      <c r="AL10" s="301"/>
    </row>
    <row r="11" spans="1:39" ht="72" customHeight="1">
      <c r="C11" s="1229" t="s">
        <v>665</v>
      </c>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1230"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1230"/>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6">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1220" t="s">
        <v>213</v>
      </c>
      <c r="C19" s="1222" t="s">
        <v>33</v>
      </c>
      <c r="D19" s="309" t="s">
        <v>427</v>
      </c>
      <c r="E19" s="1224" t="s">
        <v>211</v>
      </c>
      <c r="F19" s="1225"/>
      <c r="G19" s="1225"/>
      <c r="H19" s="1225"/>
      <c r="I19" s="1225"/>
      <c r="J19" s="1225"/>
      <c r="K19" s="1225"/>
      <c r="L19" s="1225"/>
      <c r="M19" s="1226"/>
      <c r="N19" s="1227" t="s">
        <v>215</v>
      </c>
      <c r="O19" s="309" t="s">
        <v>428</v>
      </c>
      <c r="P19" s="1224" t="s">
        <v>214</v>
      </c>
      <c r="Q19" s="1225"/>
      <c r="R19" s="1225"/>
      <c r="S19" s="1225"/>
      <c r="T19" s="1225"/>
      <c r="U19" s="1225"/>
      <c r="V19" s="1225"/>
      <c r="W19" s="1225"/>
      <c r="X19" s="1226"/>
      <c r="Y19" s="1217" t="s">
        <v>246</v>
      </c>
      <c r="Z19" s="1218"/>
      <c r="AA19" s="1218"/>
      <c r="AB19" s="1218"/>
      <c r="AC19" s="1218"/>
      <c r="AD19" s="1218"/>
      <c r="AE19" s="1218"/>
      <c r="AF19" s="1218"/>
      <c r="AG19" s="1218"/>
      <c r="AH19" s="1218"/>
      <c r="AI19" s="1218"/>
      <c r="AJ19" s="1218"/>
      <c r="AK19" s="1218"/>
      <c r="AL19" s="1218"/>
      <c r="AM19" s="1219"/>
    </row>
    <row r="20" spans="1:39" s="308" customFormat="1" ht="59.25" customHeight="1">
      <c r="A20" s="538"/>
      <c r="B20" s="1221"/>
      <c r="C20" s="1223"/>
      <c r="D20" s="310">
        <v>2011</v>
      </c>
      <c r="E20" s="310">
        <v>2012</v>
      </c>
      <c r="F20" s="310">
        <v>2013</v>
      </c>
      <c r="G20" s="310">
        <v>2014</v>
      </c>
      <c r="H20" s="310">
        <v>2015</v>
      </c>
      <c r="I20" s="310">
        <v>2016</v>
      </c>
      <c r="J20" s="310">
        <v>2017</v>
      </c>
      <c r="K20" s="310">
        <v>2018</v>
      </c>
      <c r="L20" s="310">
        <v>2019</v>
      </c>
      <c r="M20" s="310">
        <v>2020</v>
      </c>
      <c r="N20" s="1228"/>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hidden="1"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hidden="1"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6" hidden="1"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hidden="1"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hidden="1"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6" hidden="1"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hidden="1"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hidden="1"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hidden="1"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hidden="1"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hidden="1" outlineLevel="1">
      <c r="A32" s="538"/>
      <c r="B32" s="319" t="s">
        <v>216</v>
      </c>
      <c r="C32" s="316" t="s">
        <v>164</v>
      </c>
      <c r="D32" s="320">
        <v>163239.774</v>
      </c>
      <c r="E32" s="320">
        <f>'7-b.  2012'!AX46</f>
        <v>144940.85534709555</v>
      </c>
      <c r="F32" s="320">
        <f>'7-b.  2012'!AY46</f>
        <v>144940.85534709555</v>
      </c>
      <c r="G32" s="320">
        <f>'7-b.  2012'!AZ46</f>
        <v>144940.85534709555</v>
      </c>
      <c r="H32" s="320">
        <f>'7-b.  2012'!BA46</f>
        <v>144940.85534709555</v>
      </c>
      <c r="I32" s="320">
        <f>'7-b.  2012'!BB46</f>
        <v>131709.69224266402</v>
      </c>
      <c r="J32" s="320">
        <f>'7-b.  2012'!BC46</f>
        <v>71108.634504725735</v>
      </c>
      <c r="K32" s="320">
        <f>'7-b.  2012'!BD46</f>
        <v>71094.147917725146</v>
      </c>
      <c r="L32" s="320">
        <f>'7-b.  2012'!BE46</f>
        <v>71094.147917725146</v>
      </c>
      <c r="M32" s="320">
        <f>'7-b.  2012'!BF46</f>
        <v>15683.91927092576</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hidden="1"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hidden="1"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hidden="1"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hidden="1"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hidden="1"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hidden="1"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hidden="1"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hidden="1"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hidden="1"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hidden="1"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hidden="1"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hidden="1"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hidden="1"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hidden="1"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hidden="1"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hidden="1"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6" hidden="1"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hidden="1"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v>0.21</v>
      </c>
      <c r="AA50" s="435">
        <v>0.79</v>
      </c>
      <c r="AB50" s="435"/>
      <c r="AC50" s="435"/>
      <c r="AD50" s="435"/>
      <c r="AE50" s="435"/>
      <c r="AF50" s="435"/>
      <c r="AG50" s="435"/>
      <c r="AH50" s="435"/>
      <c r="AI50" s="435"/>
      <c r="AJ50" s="435"/>
      <c r="AK50" s="435"/>
      <c r="AL50" s="435"/>
      <c r="AM50" s="321">
        <f>SUM(Y50:AL50)</f>
        <v>1</v>
      </c>
    </row>
    <row r="51" spans="1:42" s="308" customFormat="1" ht="15" hidden="1" outlineLevel="1">
      <c r="A51" s="538"/>
      <c r="B51" s="319" t="s">
        <v>216</v>
      </c>
      <c r="C51" s="316" t="s">
        <v>164</v>
      </c>
      <c r="D51" s="320">
        <v>1473932.9890000001</v>
      </c>
      <c r="E51" s="320">
        <f>'7-b.  2012'!AX39</f>
        <v>1423968.6993330147</v>
      </c>
      <c r="F51" s="320">
        <f>'7-b.  2012'!AY39</f>
        <v>1423968.6993330147</v>
      </c>
      <c r="G51" s="320">
        <f>'7-b.  2012'!AZ39</f>
        <v>1419671.9349736632</v>
      </c>
      <c r="H51" s="320">
        <f>'7-b.  2012'!BA39</f>
        <v>1403001.4225986151</v>
      </c>
      <c r="I51" s="320">
        <f>'7-b.  2012'!BB39</f>
        <v>1402952.9755261806</v>
      </c>
      <c r="J51" s="320">
        <f>'7-b.  2012'!BC39</f>
        <v>1252094.3996446778</v>
      </c>
      <c r="K51" s="320">
        <f>'7-b.  2012'!BD39</f>
        <v>910524.45198981592</v>
      </c>
      <c r="L51" s="320">
        <f>'7-b.  2012'!BE39</f>
        <v>854405.40086682769</v>
      </c>
      <c r="M51" s="320">
        <f>'7-b.  2012'!BF39</f>
        <v>854405.40086682769</v>
      </c>
      <c r="N51" s="320">
        <f>N50</f>
        <v>12</v>
      </c>
      <c r="O51" s="320">
        <v>214.869</v>
      </c>
      <c r="P51" s="320">
        <f>'7-b.  2012'!S39</f>
        <v>210.55499739732016</v>
      </c>
      <c r="Q51" s="320">
        <f>'7-b.  2012'!T39</f>
        <v>210.55499739732016</v>
      </c>
      <c r="R51" s="320">
        <f>'7-b.  2012'!U39</f>
        <v>209.43284904219738</v>
      </c>
      <c r="S51" s="320">
        <f>'7-b.  2012'!V39</f>
        <v>205.07915717636334</v>
      </c>
      <c r="T51" s="320">
        <f>'7-b.  2012'!W39</f>
        <v>205.06650467832148</v>
      </c>
      <c r="U51" s="320">
        <f>'7-b.  2012'!X39</f>
        <v>169.45103711371229</v>
      </c>
      <c r="V51" s="320">
        <f>'7-b.  2012'!Y39</f>
        <v>104.29043539638806</v>
      </c>
      <c r="W51" s="320">
        <f>'7-b.  2012'!Z39</f>
        <v>89.728692625990632</v>
      </c>
      <c r="X51" s="320">
        <f>'7-b.  2012'!AA39</f>
        <v>89.728692625990632</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hidden="1"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hidden="1"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hidden="1"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hidden="1"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hidden="1"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hidden="1"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hidden="1"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hidden="1"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hidden="1" outlineLevel="1">
      <c r="A60" s="538"/>
      <c r="B60" s="340" t="s">
        <v>216</v>
      </c>
      <c r="C60" s="316" t="s">
        <v>164</v>
      </c>
      <c r="D60" s="320">
        <v>-7084.2079999999996</v>
      </c>
      <c r="E60" s="320">
        <f>'7-b.  2012'!AX42</f>
        <v>22.83000000000257</v>
      </c>
      <c r="F60" s="320">
        <f>'7-b.  2012'!AY42</f>
        <v>22.83000000000257</v>
      </c>
      <c r="G60" s="320">
        <f>'7-b.  2012'!AZ42</f>
        <v>22.83000000000257</v>
      </c>
      <c r="H60" s="320">
        <f>'7-b.  2012'!BA42</f>
        <v>22.830000000002602</v>
      </c>
      <c r="I60" s="320">
        <f>'7-b.  2012'!BB42</f>
        <v>22.830000000002602</v>
      </c>
      <c r="J60" s="320">
        <f>'7-b.  2012'!BC42</f>
        <v>22.830000000002602</v>
      </c>
      <c r="K60" s="320">
        <f>'7-b.  2012'!BD42</f>
        <v>22.830000000002602</v>
      </c>
      <c r="L60" s="320">
        <f>'7-b.  2012'!BE42</f>
        <v>22.830000000002602</v>
      </c>
      <c r="M60" s="320">
        <f>'7-b.  2012'!BF42</f>
        <v>22.830000000002602</v>
      </c>
      <c r="N60" s="320">
        <f>N59</f>
        <v>12</v>
      </c>
      <c r="O60" s="320">
        <v>-1.2889999999999999</v>
      </c>
      <c r="P60" s="320">
        <f>'7-b.  2012'!S42</f>
        <v>-0.89237999999999995</v>
      </c>
      <c r="Q60" s="320">
        <f>'7-b.  2012'!T42</f>
        <v>-0.89238000000000006</v>
      </c>
      <c r="R60" s="320">
        <f>'7-b.  2012'!U42</f>
        <v>-0.89238000000000006</v>
      </c>
      <c r="S60" s="320">
        <f>'7-b.  2012'!V42</f>
        <v>-0.89238000000000006</v>
      </c>
      <c r="T60" s="320">
        <f>'7-b.  2012'!W42</f>
        <v>-0.89238000000000006</v>
      </c>
      <c r="U60" s="320">
        <f>'7-b.  2012'!X42</f>
        <v>-0.89238000000000006</v>
      </c>
      <c r="V60" s="320">
        <f>'7-b.  2012'!Y42</f>
        <v>-0.89238000000000006</v>
      </c>
      <c r="W60" s="320">
        <f>'7-b.  2012'!Z42</f>
        <v>-0.89238000000000006</v>
      </c>
      <c r="X60" s="320">
        <f>'7-b.  2012'!AA42</f>
        <v>-0.89238000000000006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hidden="1"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hidden="1"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hidden="1" outlineLevel="1">
      <c r="A63" s="538"/>
      <c r="B63" s="340" t="s">
        <v>216</v>
      </c>
      <c r="C63" s="316" t="s">
        <v>164</v>
      </c>
      <c r="D63" s="320">
        <v>26398.294999999998</v>
      </c>
      <c r="E63" s="320">
        <f>'7-b.  2012'!AX41</f>
        <v>25176.254462563076</v>
      </c>
      <c r="F63" s="320">
        <f>'7-b.  2012'!AY41</f>
        <v>25176.254462563076</v>
      </c>
      <c r="G63" s="320">
        <f>'7-b.  2012'!AZ41</f>
        <v>25176.254462563076</v>
      </c>
      <c r="H63" s="320">
        <f>'7-b.  2012'!BA41</f>
        <v>25176.254462563076</v>
      </c>
      <c r="I63" s="320">
        <f>'7-b.  2012'!BB41</f>
        <v>0</v>
      </c>
      <c r="J63" s="320">
        <f>'7-b.  2012'!BC41</f>
        <v>0</v>
      </c>
      <c r="K63" s="320">
        <f>'7-b.  2012'!BD41</f>
        <v>0</v>
      </c>
      <c r="L63" s="320">
        <f>'7-b.  2012'!BE41</f>
        <v>0</v>
      </c>
      <c r="M63" s="320">
        <f>'7-b.  2012'!BF41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hidden="1"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hidden="1"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hidden="1"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hidden="1"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hidden="1"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hidden="1"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hidden="1"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hidden="1"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hidden="1"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hidden="1"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6" hidden="1"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hidden="1"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hidden="1"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hidden="1"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hidden="1"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hidden="1"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hidden="1"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hidden="1"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hidden="1"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hidden="1"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hidden="1"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hidden="1"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hidden="1"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hidden="1"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hidden="1"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hidden="1"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6" hidden="1"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hidden="1"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hidden="1"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hidden="1"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6" hidden="1"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hidden="1"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hidden="1"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hidden="1"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hidden="1"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hidden="1"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hidden="1"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6" hidden="1"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hidden="1"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v>4.1329032344812784E-3</v>
      </c>
      <c r="AA102" s="430">
        <v>0.21141343491509104</v>
      </c>
      <c r="AB102" s="430"/>
      <c r="AC102" s="430"/>
      <c r="AD102" s="430"/>
      <c r="AE102" s="435"/>
      <c r="AF102" s="435"/>
      <c r="AG102" s="435"/>
      <c r="AH102" s="435"/>
      <c r="AI102" s="435"/>
      <c r="AJ102" s="435"/>
      <c r="AK102" s="435"/>
      <c r="AL102" s="435"/>
      <c r="AM102" s="321">
        <f>SUM(Y102:AL102)</f>
        <v>0.21554633814957233</v>
      </c>
    </row>
    <row r="103" spans="1:39" s="308" customFormat="1" ht="15" hidden="1"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hidden="1"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hidden="1"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v>0.17</v>
      </c>
      <c r="AB105" s="430"/>
      <c r="AC105" s="430"/>
      <c r="AD105" s="430"/>
      <c r="AE105" s="435"/>
      <c r="AF105" s="435"/>
      <c r="AG105" s="435"/>
      <c r="AH105" s="435"/>
      <c r="AI105" s="435"/>
      <c r="AJ105" s="435"/>
      <c r="AK105" s="435"/>
      <c r="AL105" s="435"/>
      <c r="AM105" s="321">
        <f>SUM(Y105:AL105)</f>
        <v>0.17</v>
      </c>
    </row>
    <row r="106" spans="1:39" s="308" customFormat="1" ht="15" hidden="1"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6" hidden="1"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hidden="1"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hidden="1"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hidden="1"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hidden="1"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hidden="1"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hidden="1"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hidden="1"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hidden="1"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hidden="1"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6" hidden="1"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hidden="1"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hidden="1"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6" hidden="1" outlineLevel="1">
      <c r="A120" s="538"/>
      <c r="B120" s="723"/>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hidden="1"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hidden="1"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hidden="1"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hidden="1"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hidden="1"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hidden="1"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6" collapsed="1">
      <c r="A127" s="538"/>
      <c r="B127" s="352" t="s">
        <v>240</v>
      </c>
      <c r="C127" s="353"/>
      <c r="D127" s="353">
        <f>SUM(D22:D125)</f>
        <v>33668861.54409188</v>
      </c>
      <c r="E127" s="353"/>
      <c r="F127" s="353"/>
      <c r="G127" s="353"/>
      <c r="H127" s="353"/>
      <c r="I127" s="353"/>
      <c r="J127" s="353"/>
      <c r="K127" s="353"/>
      <c r="L127" s="353"/>
      <c r="M127" s="353"/>
      <c r="N127" s="353"/>
      <c r="O127" s="353">
        <v>14616.733</v>
      </c>
      <c r="P127" s="353"/>
      <c r="Q127" s="353"/>
      <c r="R127" s="353"/>
      <c r="S127" s="353"/>
      <c r="T127" s="353"/>
      <c r="U127" s="353"/>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6">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61" customFormat="1" ht="15">
      <c r="A129" s="756"/>
      <c r="B129" s="757" t="s">
        <v>742</v>
      </c>
      <c r="C129" s="758"/>
      <c r="D129" s="759">
        <v>5192089.1109081144</v>
      </c>
      <c r="E129" s="758"/>
      <c r="F129" s="758"/>
      <c r="G129" s="758"/>
      <c r="H129" s="758"/>
      <c r="I129" s="758"/>
      <c r="J129" s="758"/>
      <c r="K129" s="758"/>
      <c r="L129" s="758"/>
      <c r="M129" s="758"/>
      <c r="N129" s="758"/>
      <c r="O129" s="315">
        <v>0</v>
      </c>
      <c r="P129" s="758"/>
      <c r="Q129" s="758"/>
      <c r="R129" s="758"/>
      <c r="S129" s="760"/>
      <c r="T129" s="760"/>
      <c r="U129" s="760"/>
      <c r="V129" s="760"/>
      <c r="W129" s="758"/>
      <c r="X129" s="758"/>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0</v>
      </c>
      <c r="Z130" s="365">
        <f>HLOOKUP(Z$20,'3.  Distribution Rates'!$C$122:$P$133,3,FALSE)</f>
        <v>0</v>
      </c>
      <c r="AA130" s="365">
        <f>HLOOKUP(AA$20,'3.  Distribution Rates'!$C$122:$P$133,3,FALSE)</f>
        <v>0</v>
      </c>
      <c r="AB130" s="365">
        <f>HLOOKUP(AB$20,'3.  Distribution Rates'!$C$122:$P$133,3,FALSE)</f>
        <v>0</v>
      </c>
      <c r="AC130" s="365">
        <f>HLOOKUP(AC$20,'3.  Distribution Rates'!$C$122:$P$133,3,FALSE)</f>
        <v>0</v>
      </c>
      <c r="AD130" s="365">
        <f>HLOOKUP(AD$20,'3.  Distribution Rates'!$C$122:$P$133,3,FALSE)</f>
        <v>0</v>
      </c>
      <c r="AE130" s="365">
        <f>HLOOKUP(AE$20,'3.  Distribution Rates'!$C$122:$P$133,3,FALSE)</f>
        <v>0</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6">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0</v>
      </c>
      <c r="Z131" s="370">
        <f t="shared" ref="Z131:AD131" si="33">Z127*Z130</f>
        <v>0</v>
      </c>
      <c r="AA131" s="371">
        <f t="shared" si="33"/>
        <v>0</v>
      </c>
      <c r="AB131" s="371">
        <f t="shared" si="33"/>
        <v>0</v>
      </c>
      <c r="AC131" s="371">
        <f t="shared" si="33"/>
        <v>0</v>
      </c>
      <c r="AD131" s="371">
        <f t="shared" si="33"/>
        <v>0</v>
      </c>
      <c r="AE131" s="371">
        <f>AE127*AE130</f>
        <v>0</v>
      </c>
      <c r="AF131" s="371">
        <f t="shared" ref="AF131:AL131" si="34">AF127*AF130</f>
        <v>0</v>
      </c>
      <c r="AG131" s="371">
        <f t="shared" si="34"/>
        <v>0</v>
      </c>
      <c r="AH131" s="371">
        <f t="shared" si="34"/>
        <v>0</v>
      </c>
      <c r="AI131" s="371">
        <f t="shared" si="34"/>
        <v>0</v>
      </c>
      <c r="AJ131" s="371">
        <f t="shared" si="34"/>
        <v>0</v>
      </c>
      <c r="AK131" s="371">
        <f t="shared" si="34"/>
        <v>0</v>
      </c>
      <c r="AL131" s="371">
        <f t="shared" si="34"/>
        <v>0</v>
      </c>
      <c r="AM131" s="372">
        <f>SUM(Y131:AL131)</f>
        <v>0</v>
      </c>
    </row>
    <row r="132" spans="1:58" s="328" customFormat="1" ht="15.6">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5">Y128*Y130</f>
        <v>0</v>
      </c>
      <c r="Z132" s="371">
        <f t="shared" si="35"/>
        <v>0</v>
      </c>
      <c r="AA132" s="371">
        <f t="shared" si="35"/>
        <v>0</v>
      </c>
      <c r="AB132" s="371">
        <f t="shared" si="35"/>
        <v>0</v>
      </c>
      <c r="AC132" s="371">
        <f t="shared" si="35"/>
        <v>0</v>
      </c>
      <c r="AD132" s="371">
        <f t="shared" si="35"/>
        <v>0</v>
      </c>
      <c r="AE132" s="371">
        <f>AE128*AE130</f>
        <v>0</v>
      </c>
      <c r="AF132" s="371">
        <f t="shared" ref="AF132:AL132" si="36">AF128*AF130</f>
        <v>0</v>
      </c>
      <c r="AG132" s="371">
        <f t="shared" si="36"/>
        <v>0</v>
      </c>
      <c r="AH132" s="371">
        <f t="shared" si="36"/>
        <v>0</v>
      </c>
      <c r="AI132" s="371">
        <f t="shared" si="36"/>
        <v>0</v>
      </c>
      <c r="AJ132" s="371">
        <f t="shared" si="36"/>
        <v>0</v>
      </c>
      <c r="AK132" s="371">
        <f t="shared" si="36"/>
        <v>0</v>
      </c>
      <c r="AL132" s="371">
        <f t="shared" si="36"/>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0</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730</v>
      </c>
      <c r="AP134" s="368" t="s">
        <v>731</v>
      </c>
      <c r="AQ134" s="368" t="s">
        <v>732</v>
      </c>
      <c r="AT134" s="368" t="s">
        <v>730</v>
      </c>
      <c r="AU134" s="368" t="s">
        <v>731</v>
      </c>
      <c r="AV134" s="368" t="s">
        <v>732</v>
      </c>
      <c r="AY134" s="368" t="s">
        <v>730</v>
      </c>
      <c r="AZ134" s="368" t="s">
        <v>731</v>
      </c>
      <c r="BA134" s="368" t="s">
        <v>732</v>
      </c>
      <c r="BD134" s="368" t="s">
        <v>730</v>
      </c>
      <c r="BE134" s="368" t="s">
        <v>731</v>
      </c>
      <c r="BF134" s="368" t="s">
        <v>732</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3763723.1021250761</v>
      </c>
      <c r="Z135" s="316">
        <f>SUMPRODUCT(E22:E125,Z22:Z125)</f>
        <v>7262488.4394919323</v>
      </c>
      <c r="AA135" s="316">
        <f>IF(AA21="kW",SUMPRODUCT(N22:N125,P22:P125,AA22:AA125),SUMPRODUCT(E22:E125,AA22:AA125))</f>
        <v>26962.097143723226</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52">
        <f>Y135/Y$127</f>
        <v>0.99516160462211556</v>
      </c>
      <c r="AP135" s="752">
        <f t="shared" ref="AP135:AQ138" si="37">Z135/Z$127</f>
        <v>0.99751095377752408</v>
      </c>
      <c r="AQ135" s="752">
        <f t="shared" si="37"/>
        <v>0.99864069942828881</v>
      </c>
      <c r="AS135" s="751" t="str">
        <f>B265</f>
        <v>2012 Savings Persisting in 2013</v>
      </c>
      <c r="AT135" s="752">
        <f>Y265/Y$255</f>
        <v>0.9919644541076218</v>
      </c>
      <c r="AU135" s="752">
        <f t="shared" ref="AU135:AV135" si="38">Z265/Z$255</f>
        <v>0.98319228802069891</v>
      </c>
      <c r="AV135" s="752">
        <f t="shared" si="38"/>
        <v>0.9695881657370401</v>
      </c>
      <c r="AX135" s="751" t="str">
        <f>B395</f>
        <v>2013 Savings Persisting in 2014</v>
      </c>
      <c r="AY135" s="754">
        <f>Y395/Y$384</f>
        <v>0.99428149089727602</v>
      </c>
      <c r="AZ135" s="754">
        <f t="shared" ref="AZ135:BA140" si="39">Z395/Z$384</f>
        <v>0.99764323528358445</v>
      </c>
      <c r="BA135" s="754">
        <f t="shared" si="39"/>
        <v>0.93848907478440591</v>
      </c>
      <c r="BC135" s="751" t="str">
        <f>B526</f>
        <v>2014 Savings Persisting in 2015</v>
      </c>
      <c r="BD135" s="754">
        <f>Y526/Y$513</f>
        <v>0.87392800590421671</v>
      </c>
      <c r="BE135" s="754">
        <f t="shared" ref="BE135:BF140" si="40">Z526/Z$513</f>
        <v>0.8958655147224408</v>
      </c>
      <c r="BF135" s="754">
        <f t="shared" si="40"/>
        <v>0.99042525830227512</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3763723.1021250761</v>
      </c>
      <c r="Z136" s="316">
        <f>SUMPRODUCT(F22:F125,Z22:Z125)</f>
        <v>7028982.2176633598</v>
      </c>
      <c r="AA136" s="316">
        <f>IF(AA21="kW",SUMPRODUCT(N22:N125,Q22:Q125,AA22:AA125),SUMPRODUCT(F22:F125,AA22:AA125))</f>
        <v>26955.933139005476</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1">B136</f>
        <v>2011 Savings Persisting in 2013</v>
      </c>
      <c r="AO136" s="752">
        <f t="shared" ref="AO136:AO138" si="42">Y136/Y$127</f>
        <v>0.99516160462211556</v>
      </c>
      <c r="AP136" s="752">
        <f t="shared" si="37"/>
        <v>0.96543861163338973</v>
      </c>
      <c r="AQ136" s="752">
        <f t="shared" si="37"/>
        <v>0.9984123927817472</v>
      </c>
      <c r="AS136" s="751" t="str">
        <f t="shared" ref="AS136:AS140" si="43">B266</f>
        <v>2012 Savings Persisting in 2014</v>
      </c>
      <c r="AT136" s="752">
        <f t="shared" ref="AT136:AT140" si="44">Y266/Y$255</f>
        <v>0.9919644541076218</v>
      </c>
      <c r="AU136" s="752">
        <f t="shared" ref="AU136:AU140" si="45">Z266/Z$255</f>
        <v>0.91015472382366658</v>
      </c>
      <c r="AV136" s="752">
        <f t="shared" ref="AV136:AV140" si="46">AA266/AA$255</f>
        <v>0.96838661146268368</v>
      </c>
      <c r="AX136" s="751" t="str">
        <f t="shared" ref="AX136:AX140" si="47">B396</f>
        <v>2013 Savings Persisting in 2015</v>
      </c>
      <c r="AY136" s="754">
        <f t="shared" ref="AY136:AY140" si="48">Y396/Y$384</f>
        <v>0.97844637021537495</v>
      </c>
      <c r="AZ136" s="754">
        <f t="shared" si="39"/>
        <v>0.95060669471252057</v>
      </c>
      <c r="BA136" s="754">
        <f t="shared" si="39"/>
        <v>0.93705765032475485</v>
      </c>
      <c r="BC136" s="751" t="str">
        <f t="shared" ref="BC136:BC140" si="49">B527</f>
        <v>2014 Savings Persisting in 2016</v>
      </c>
      <c r="BD136" s="754">
        <f t="shared" ref="BD136:BD140" si="50">Y527/Y$513</f>
        <v>0.83062098498888803</v>
      </c>
      <c r="BE136" s="754">
        <f t="shared" si="40"/>
        <v>0.87135256575668352</v>
      </c>
      <c r="BF136" s="754">
        <f t="shared" si="40"/>
        <v>0.99042525830227512</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8945422.114113858</v>
      </c>
      <c r="Z137" s="316">
        <f>SUMPRODUCT(G22:G125,Z22:Z125)</f>
        <v>5627647.454626685</v>
      </c>
      <c r="AA137" s="316">
        <f>IF(AA21="kW",SUMPRODUCT(N22:N125,R22:R125,AA22:AA125),SUMPRODUCT(G22:G125,AA22:AA125))</f>
        <v>26933.953806629863</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1"/>
        <v>2011 Savings Persisting in 2014</v>
      </c>
      <c r="AO137" s="752">
        <f t="shared" si="42"/>
        <v>2.3652485540387844</v>
      </c>
      <c r="AP137" s="752">
        <f t="shared" si="37"/>
        <v>0.7729637061399629</v>
      </c>
      <c r="AQ137" s="752">
        <f t="shared" si="37"/>
        <v>0.99759830715110998</v>
      </c>
      <c r="AS137" s="751" t="str">
        <f t="shared" si="43"/>
        <v>2012 Savings Persisting in 2015</v>
      </c>
      <c r="AT137" s="752">
        <f t="shared" si="44"/>
        <v>0.99155793789803215</v>
      </c>
      <c r="AU137" s="752">
        <f t="shared" si="45"/>
        <v>0.79949046198605778</v>
      </c>
      <c r="AV137" s="752">
        <f t="shared" si="46"/>
        <v>0.95699004048105141</v>
      </c>
      <c r="AX137" s="751" t="str">
        <f t="shared" si="47"/>
        <v>2013 Savings Persisting in 2016</v>
      </c>
      <c r="AY137" s="754">
        <f t="shared" si="48"/>
        <v>0.91137103115472728</v>
      </c>
      <c r="AZ137" s="754">
        <f t="shared" si="39"/>
        <v>0.79648992865138657</v>
      </c>
      <c r="BA137" s="754">
        <f t="shared" si="39"/>
        <v>0.92959031698829664</v>
      </c>
      <c r="BC137" s="751" t="str">
        <f t="shared" si="49"/>
        <v>2014 Savings Persisting in 2017</v>
      </c>
      <c r="BD137" s="754">
        <f t="shared" si="50"/>
        <v>0.82944042173475141</v>
      </c>
      <c r="BE137" s="754">
        <f t="shared" si="40"/>
        <v>0.73038736667712345</v>
      </c>
      <c r="BF137" s="754">
        <f t="shared" si="40"/>
        <v>0.9784204322089155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8346549.2249926114</v>
      </c>
      <c r="Z138" s="316">
        <f>SUMPRODUCT(H22:H125,Z22:Z125)</f>
        <v>5396437.9501500083</v>
      </c>
      <c r="AA138" s="316">
        <f>IF(AA21="kW",SUMPRODUCT(N22:N125,S22:S125,AA22:AA125),SUMPRODUCT(H22:H125,AA22:AA125))</f>
        <v>25024.127973137234</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1"/>
        <v>2011 Savings Persisting in 2015</v>
      </c>
      <c r="AO138" s="752">
        <f t="shared" si="42"/>
        <v>2.206901276853042</v>
      </c>
      <c r="AP138" s="752">
        <f t="shared" si="37"/>
        <v>0.74120682070675281</v>
      </c>
      <c r="AQ138" s="752">
        <f t="shared" si="37"/>
        <v>0.92686086428905512</v>
      </c>
      <c r="AS138" s="751" t="str">
        <f t="shared" si="43"/>
        <v>2012 Savings Persisting in 2016</v>
      </c>
      <c r="AT138" s="752">
        <f t="shared" si="44"/>
        <v>0.91323282097920766</v>
      </c>
      <c r="AU138" s="752">
        <f t="shared" si="45"/>
        <v>0.7993935451035018</v>
      </c>
      <c r="AV138" s="752">
        <f t="shared" si="46"/>
        <v>0.94593959106547643</v>
      </c>
      <c r="AX138" s="751" t="str">
        <f t="shared" si="47"/>
        <v>2013 Savings Persisting in 2017</v>
      </c>
      <c r="AY138" s="754">
        <f t="shared" si="48"/>
        <v>0.8703648227561589</v>
      </c>
      <c r="AZ138" s="754">
        <f t="shared" si="39"/>
        <v>0.44220514579440068</v>
      </c>
      <c r="BA138" s="754">
        <f t="shared" si="39"/>
        <v>0.86823464389691951</v>
      </c>
      <c r="BC138" s="751" t="str">
        <f t="shared" si="49"/>
        <v>2014 Savings Persisting in 2018</v>
      </c>
      <c r="BD138" s="754">
        <f t="shared" si="50"/>
        <v>0.81436053766595806</v>
      </c>
      <c r="BE138" s="754">
        <f t="shared" si="40"/>
        <v>0.73038736667712345</v>
      </c>
      <c r="BF138" s="754">
        <f t="shared" si="40"/>
        <v>0.93476279431357245</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7195283.8446055809</v>
      </c>
      <c r="Z139" s="316">
        <f>SUMPRODUCT(I22:I125,Z22:Z125)</f>
        <v>5355323.2820347501</v>
      </c>
      <c r="AA139" s="316">
        <f>IF(AA21="kW",SUMPRODUCT(N22:N125,T22:T125,AA22:AA125),SUMPRODUCT(I22:I125,AA22:AA125))</f>
        <v>24685.617629416403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1"/>
        <v>2011 Savings Persisting in 2016</v>
      </c>
      <c r="AO139" s="752">
        <f t="shared" ref="AO139:AO140" si="51">Y139/Y$127</f>
        <v>1.9024965498833655</v>
      </c>
      <c r="AP139" s="752">
        <f t="shared" ref="AP139:AP140" si="52">Z139/Z$127</f>
        <v>0.73555967480798878</v>
      </c>
      <c r="AQ139" s="752">
        <f t="shared" ref="AQ139:AQ140" si="53">AA139/AA$127</f>
        <v>0.91432288533975159</v>
      </c>
      <c r="AS139" s="751" t="str">
        <f t="shared" si="43"/>
        <v>2012 Savings Persisting in 2017</v>
      </c>
      <c r="AT139" s="752">
        <f t="shared" si="44"/>
        <v>0.79311115822830391</v>
      </c>
      <c r="AU139" s="752">
        <f t="shared" si="45"/>
        <v>0.57246624394835677</v>
      </c>
      <c r="AV139" s="752">
        <f t="shared" si="46"/>
        <v>0.904319890046968</v>
      </c>
      <c r="AX139" s="751" t="str">
        <f t="shared" si="47"/>
        <v>2013 Savings Persisting in 2018</v>
      </c>
      <c r="AY139" s="754">
        <f t="shared" si="48"/>
        <v>0.82784128230572673</v>
      </c>
      <c r="AZ139" s="754">
        <f t="shared" si="39"/>
        <v>0.43824637750946344</v>
      </c>
      <c r="BA139" s="754">
        <f t="shared" si="39"/>
        <v>0.84359627038403995</v>
      </c>
      <c r="BC139" s="751" t="str">
        <f t="shared" si="49"/>
        <v>2014 Savings Persisting in 2019</v>
      </c>
      <c r="BD139" s="754">
        <f t="shared" si="50"/>
        <v>0.80055041409467687</v>
      </c>
      <c r="BE139" s="754">
        <f t="shared" si="40"/>
        <v>0.71415962843487424</v>
      </c>
      <c r="BF139" s="754">
        <f t="shared" si="40"/>
        <v>0.91149496878444025</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6507194.58937163</v>
      </c>
      <c r="Z140" s="316">
        <f>SUMPRODUCT(J22:J125,Z22:Z125)</f>
        <v>2250185.9386473228</v>
      </c>
      <c r="AA140" s="316">
        <f>IF(AA21="kW",SUMPRODUCT(N22:N125,U22:U125,AA22:AA125),SUMPRODUCT(J22:J125,AA22:AA125))</f>
        <v>22574.261067770873</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1"/>
        <v>2011 Savings Persisting in 2017</v>
      </c>
      <c r="AO140" s="752">
        <f t="shared" si="51"/>
        <v>1.7205596781259227</v>
      </c>
      <c r="AP140" s="752">
        <f t="shared" si="52"/>
        <v>0.30906556899027443</v>
      </c>
      <c r="AQ140" s="752">
        <f t="shared" si="53"/>
        <v>0.83612100874889239</v>
      </c>
      <c r="AS140" s="751" t="str">
        <f t="shared" si="43"/>
        <v>2012 Savings Persisting in 2018</v>
      </c>
      <c r="AT140" s="752">
        <f t="shared" si="44"/>
        <v>0.71047729570776863</v>
      </c>
      <c r="AU140" s="752">
        <f t="shared" si="45"/>
        <v>0.56200381633036622</v>
      </c>
      <c r="AV140" s="752">
        <f t="shared" si="46"/>
        <v>0.88919403806651243</v>
      </c>
      <c r="AX140" s="751" t="str">
        <f t="shared" si="47"/>
        <v>2013 Savings Persisting in 2019</v>
      </c>
      <c r="AY140" s="754">
        <f t="shared" si="48"/>
        <v>0.82236495218694428</v>
      </c>
      <c r="AZ140" s="754">
        <f t="shared" si="39"/>
        <v>0.43824637750946344</v>
      </c>
      <c r="BA140" s="754">
        <f t="shared" si="39"/>
        <v>0.84359627038403995</v>
      </c>
      <c r="BC140" s="751" t="str">
        <f t="shared" si="49"/>
        <v>2014 Savings Persisting in 2020</v>
      </c>
      <c r="BD140" s="754">
        <f t="shared" si="50"/>
        <v>0.79999446309750621</v>
      </c>
      <c r="BE140" s="754">
        <f t="shared" si="40"/>
        <v>0.7036902582400939</v>
      </c>
      <c r="BF140" s="754">
        <f t="shared" si="40"/>
        <v>0.88868946887943467</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6497361.5267395098</v>
      </c>
      <c r="Z141" s="316">
        <f>SUMPRODUCT(K22:K125,Z22:Z125)</f>
        <v>2071471.6531975309</v>
      </c>
      <c r="AA141" s="316">
        <f>IF(AA21="kW",SUMPRODUCT(N22:N125,V22:V125,AA22:AA125),SUMPRODUCT(K22:K125,AA22:AA125))</f>
        <v>20401.03656953001</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51"/>
      <c r="AO141" s="750"/>
      <c r="AP141" s="750"/>
      <c r="AQ141" s="750"/>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7064750.0843937807</v>
      </c>
      <c r="Z142" s="316">
        <f>SUMPRODUCT(L22:L125,Z22:Z125)</f>
        <v>1941430.9194069069</v>
      </c>
      <c r="AA142" s="316">
        <f>IF(AA21="kW",SUMPRODUCT(N22:N125,W22:W125,AA22:AA125),SUMPRODUCT(L22:L125,AA22:AA125))</f>
        <v>18077.558280861595</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51"/>
      <c r="AO142" s="755">
        <f>AVERAGE(AO135,AT135,AY135,BD135)</f>
        <v>0.96383388888280752</v>
      </c>
      <c r="AP142" s="755">
        <f t="shared" ref="AP142:AQ147" si="54">AVERAGE(AP135,AU135,AZ135,BE135)</f>
        <v>0.96855299795106198</v>
      </c>
      <c r="AQ142" s="755">
        <f t="shared" si="54"/>
        <v>0.97428579956300254</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5305397.4981814316</v>
      </c>
      <c r="Z143" s="351">
        <f>SUMPRODUCT(M22:M125,Z22:Z125)</f>
        <v>1941430.9194069069</v>
      </c>
      <c r="AA143" s="351">
        <f>IF(AA21="kW",SUMPRODUCT(N22:N125,X22:X125,AA22:AA125),SUMPRODUCT(M22:M125,AA22:AA125))</f>
        <v>18077.558280861595</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3"/>
      <c r="AO143" s="755">
        <f t="shared" ref="AO143:AO147" si="55">AVERAGE(AO136,AT136,AY136,BD136)</f>
        <v>0.94904835348350003</v>
      </c>
      <c r="AP143" s="755">
        <f t="shared" si="54"/>
        <v>0.92438814898156507</v>
      </c>
      <c r="AQ143" s="755">
        <f t="shared" si="54"/>
        <v>0.97357047821786524</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5">
        <f t="shared" si="55"/>
        <v>1.2744044862065738</v>
      </c>
      <c r="AP144" s="755">
        <f t="shared" si="54"/>
        <v>0.77483286586363276</v>
      </c>
      <c r="AQ144" s="755">
        <f t="shared" si="54"/>
        <v>0.96564977420734344</v>
      </c>
    </row>
    <row r="145" spans="1:43">
      <c r="AO145" s="755">
        <f t="shared" si="55"/>
        <v>1.2012148645635916</v>
      </c>
      <c r="AP145" s="755">
        <f t="shared" si="54"/>
        <v>0.67829821957044467</v>
      </c>
      <c r="AQ145" s="755">
        <f t="shared" si="54"/>
        <v>0.91894947339125588</v>
      </c>
    </row>
    <row r="146" spans="1:43" ht="15.6">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5">
        <f t="shared" si="55"/>
        <v>1.0809998511280183</v>
      </c>
      <c r="AP146" s="755">
        <f t="shared" si="54"/>
        <v>0.61510798117517074</v>
      </c>
      <c r="AQ146" s="755">
        <f t="shared" si="54"/>
        <v>0.89343350363879992</v>
      </c>
    </row>
    <row r="147" spans="1:43" ht="34.5" customHeight="1">
      <c r="B147" s="1220" t="s">
        <v>213</v>
      </c>
      <c r="C147" s="1222" t="s">
        <v>33</v>
      </c>
      <c r="D147" s="309" t="s">
        <v>427</v>
      </c>
      <c r="E147" s="1224" t="s">
        <v>211</v>
      </c>
      <c r="F147" s="1225"/>
      <c r="G147" s="1225"/>
      <c r="H147" s="1225"/>
      <c r="I147" s="1225"/>
      <c r="J147" s="1225"/>
      <c r="K147" s="1225"/>
      <c r="L147" s="1225"/>
      <c r="M147" s="1226"/>
      <c r="N147" s="1227" t="s">
        <v>215</v>
      </c>
      <c r="O147" s="309" t="s">
        <v>428</v>
      </c>
      <c r="P147" s="1224" t="s">
        <v>214</v>
      </c>
      <c r="Q147" s="1225"/>
      <c r="R147" s="1225"/>
      <c r="S147" s="1225"/>
      <c r="T147" s="1225"/>
      <c r="U147" s="1225"/>
      <c r="V147" s="1225"/>
      <c r="W147" s="1225"/>
      <c r="X147" s="1226"/>
      <c r="Y147" s="1217" t="s">
        <v>246</v>
      </c>
      <c r="Z147" s="1218"/>
      <c r="AA147" s="1218"/>
      <c r="AB147" s="1218"/>
      <c r="AC147" s="1218"/>
      <c r="AD147" s="1218"/>
      <c r="AE147" s="1218"/>
      <c r="AF147" s="1218"/>
      <c r="AG147" s="1218"/>
      <c r="AH147" s="1218"/>
      <c r="AI147" s="1218"/>
      <c r="AJ147" s="1218"/>
      <c r="AK147" s="1218"/>
      <c r="AL147" s="1218"/>
      <c r="AM147" s="1219"/>
      <c r="AO147" s="755">
        <f t="shared" si="55"/>
        <v>1.0133490972795354</v>
      </c>
      <c r="AP147" s="755">
        <f t="shared" si="54"/>
        <v>0.50325150526754947</v>
      </c>
      <c r="AQ147" s="755">
        <f t="shared" si="54"/>
        <v>0.86440019651971989</v>
      </c>
    </row>
    <row r="148" spans="1:43" ht="60.75" customHeight="1">
      <c r="B148" s="1221"/>
      <c r="C148" s="1223"/>
      <c r="D148" s="310">
        <v>2012</v>
      </c>
      <c r="E148" s="310">
        <v>2013</v>
      </c>
      <c r="F148" s="310">
        <v>2014</v>
      </c>
      <c r="G148" s="310">
        <v>2015</v>
      </c>
      <c r="H148" s="310">
        <v>2016</v>
      </c>
      <c r="I148" s="310">
        <v>2017</v>
      </c>
      <c r="J148" s="310">
        <v>2018</v>
      </c>
      <c r="K148" s="310">
        <v>2019</v>
      </c>
      <c r="L148" s="310">
        <v>2020</v>
      </c>
      <c r="M148" s="310">
        <v>2021</v>
      </c>
      <c r="N148" s="1228"/>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hidden="1"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hidden="1"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6">AA150</f>
        <v>0</v>
      </c>
      <c r="AB151" s="431">
        <f t="shared" si="56"/>
        <v>0</v>
      </c>
      <c r="AC151" s="431">
        <f t="shared" si="56"/>
        <v>0</v>
      </c>
      <c r="AD151" s="431">
        <f t="shared" si="56"/>
        <v>0</v>
      </c>
      <c r="AE151" s="431">
        <f t="shared" si="56"/>
        <v>0</v>
      </c>
      <c r="AF151" s="431">
        <f t="shared" si="56"/>
        <v>0</v>
      </c>
      <c r="AG151" s="431">
        <f t="shared" si="56"/>
        <v>0</v>
      </c>
      <c r="AH151" s="431">
        <f t="shared" si="56"/>
        <v>0</v>
      </c>
      <c r="AI151" s="431">
        <f t="shared" si="56"/>
        <v>0</v>
      </c>
      <c r="AJ151" s="431">
        <f t="shared" si="56"/>
        <v>0</v>
      </c>
      <c r="AK151" s="431">
        <f t="shared" si="56"/>
        <v>0</v>
      </c>
      <c r="AL151" s="431">
        <f t="shared" si="56"/>
        <v>0</v>
      </c>
      <c r="AM151" s="534"/>
    </row>
    <row r="152" spans="1:43" ht="15.6" hidden="1"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hidden="1"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hidden="1"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7">AA153</f>
        <v>0</v>
      </c>
      <c r="AB154" s="431">
        <f t="shared" si="57"/>
        <v>0</v>
      </c>
      <c r="AC154" s="431">
        <f t="shared" si="57"/>
        <v>0</v>
      </c>
      <c r="AD154" s="431">
        <f t="shared" si="57"/>
        <v>0</v>
      </c>
      <c r="AE154" s="431">
        <f t="shared" si="57"/>
        <v>0</v>
      </c>
      <c r="AF154" s="431">
        <f t="shared" si="57"/>
        <v>0</v>
      </c>
      <c r="AG154" s="431">
        <f t="shared" si="57"/>
        <v>0</v>
      </c>
      <c r="AH154" s="431">
        <f t="shared" si="57"/>
        <v>0</v>
      </c>
      <c r="AI154" s="431">
        <f t="shared" si="57"/>
        <v>0</v>
      </c>
      <c r="AJ154" s="431">
        <f t="shared" si="57"/>
        <v>0</v>
      </c>
      <c r="AK154" s="431">
        <f t="shared" si="57"/>
        <v>0</v>
      </c>
      <c r="AL154" s="431">
        <f t="shared" si="57"/>
        <v>0</v>
      </c>
      <c r="AM154" s="534"/>
    </row>
    <row r="155" spans="1:43" ht="15.6" hidden="1"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hidden="1"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hidden="1" outlineLevel="1">
      <c r="B157" s="319" t="s">
        <v>247</v>
      </c>
      <c r="C157" s="316" t="s">
        <v>164</v>
      </c>
      <c r="D157" s="320">
        <v>70164.478000000003</v>
      </c>
      <c r="E157" s="320">
        <f>'7-c.  2013'!AY39+'7-c.  2013'!AY58</f>
        <v>65322.151829802555</v>
      </c>
      <c r="F157" s="320">
        <f>'7-c.  2013'!AZ39+'7-c.  2013'!AZ58</f>
        <v>65322.151829802555</v>
      </c>
      <c r="G157" s="320">
        <f>'7-c.  2013'!BA39+'7-c.  2013'!BA58</f>
        <v>65322.151829802555</v>
      </c>
      <c r="H157" s="320">
        <f>'7-c.  2013'!BB39+'7-c.  2013'!BB58</f>
        <v>65322.151829802555</v>
      </c>
      <c r="I157" s="320">
        <f>'7-c.  2013'!BC39+'7-c.  2013'!BC58</f>
        <v>65322.151829802555</v>
      </c>
      <c r="J157" s="320">
        <f>'7-c.  2013'!BD39+'7-c.  2013'!BD58</f>
        <v>65322.151829802555</v>
      </c>
      <c r="K157" s="320">
        <f>'7-c.  2013'!BE39+'7-c.  2013'!BE58</f>
        <v>65322.151829802555</v>
      </c>
      <c r="L157" s="320">
        <f>'7-c.  2013'!BF39+'7-c.  2013'!BF58</f>
        <v>65322.151829802555</v>
      </c>
      <c r="M157" s="320">
        <f>'7-c.  2013'!BG39+'7-c.  2013'!BG58</f>
        <v>65322.151829802555</v>
      </c>
      <c r="N157" s="488"/>
      <c r="O157" s="320">
        <v>35.271000000000001</v>
      </c>
      <c r="P157" s="320">
        <f>'7-c.  2013'!T39+'7-c.  2013'!T58</f>
        <v>32.512277083537697</v>
      </c>
      <c r="Q157" s="320">
        <f>'7-c.  2013'!U39+'7-c.  2013'!U58</f>
        <v>32.512277083537697</v>
      </c>
      <c r="R157" s="320">
        <f>'7-c.  2013'!V39+'7-c.  2013'!V58</f>
        <v>32.512277083537697</v>
      </c>
      <c r="S157" s="320">
        <f>'7-c.  2013'!W39+'7-c.  2013'!W58</f>
        <v>32.512277083537697</v>
      </c>
      <c r="T157" s="320">
        <f>'7-c.  2013'!X39+'7-c.  2013'!X58</f>
        <v>32.512277083537697</v>
      </c>
      <c r="U157" s="320">
        <f>'7-c.  2013'!Y39+'7-c.  2013'!Y58</f>
        <v>32.512277083537697</v>
      </c>
      <c r="V157" s="320">
        <f>'7-c.  2013'!Z39+'7-c.  2013'!Z58</f>
        <v>32.512277083537697</v>
      </c>
      <c r="W157" s="320">
        <f>'7-c.  2013'!AA39+'7-c.  2013'!AA58</f>
        <v>32.512277083537697</v>
      </c>
      <c r="X157" s="320">
        <f>'7-c.  2013'!AB39+'7-c.  2013'!AB58</f>
        <v>32.512277083537697</v>
      </c>
      <c r="Y157" s="431">
        <f>Y156</f>
        <v>1</v>
      </c>
      <c r="Z157" s="431">
        <f>Z156</f>
        <v>0</v>
      </c>
      <c r="AA157" s="431">
        <f t="shared" ref="AA157:AL157" si="58">AA156</f>
        <v>0</v>
      </c>
      <c r="AB157" s="431">
        <f t="shared" si="58"/>
        <v>0</v>
      </c>
      <c r="AC157" s="431">
        <f t="shared" si="58"/>
        <v>0</v>
      </c>
      <c r="AD157" s="431">
        <f t="shared" si="58"/>
        <v>0</v>
      </c>
      <c r="AE157" s="431">
        <f t="shared" si="58"/>
        <v>0</v>
      </c>
      <c r="AF157" s="431">
        <f t="shared" si="58"/>
        <v>0</v>
      </c>
      <c r="AG157" s="431">
        <f t="shared" si="58"/>
        <v>0</v>
      </c>
      <c r="AH157" s="431">
        <f t="shared" si="58"/>
        <v>0</v>
      </c>
      <c r="AI157" s="431">
        <f t="shared" si="58"/>
        <v>0</v>
      </c>
      <c r="AJ157" s="431">
        <f t="shared" si="58"/>
        <v>0</v>
      </c>
      <c r="AK157" s="431">
        <f t="shared" si="58"/>
        <v>0</v>
      </c>
      <c r="AL157" s="431">
        <f t="shared" si="58"/>
        <v>0</v>
      </c>
      <c r="AM157" s="534"/>
    </row>
    <row r="158" spans="1:43" ht="15" hidden="1"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hidden="1"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hidden="1"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59">AA159</f>
        <v>0</v>
      </c>
      <c r="AB160" s="431">
        <f t="shared" si="59"/>
        <v>0</v>
      </c>
      <c r="AC160" s="431">
        <f t="shared" si="59"/>
        <v>0</v>
      </c>
      <c r="AD160" s="431">
        <f t="shared" si="59"/>
        <v>0</v>
      </c>
      <c r="AE160" s="431">
        <f t="shared" si="59"/>
        <v>0</v>
      </c>
      <c r="AF160" s="431">
        <f t="shared" si="59"/>
        <v>0</v>
      </c>
      <c r="AG160" s="431">
        <f t="shared" si="59"/>
        <v>0</v>
      </c>
      <c r="AH160" s="431">
        <f t="shared" si="59"/>
        <v>0</v>
      </c>
      <c r="AI160" s="431">
        <f t="shared" si="59"/>
        <v>0</v>
      </c>
      <c r="AJ160" s="431">
        <f t="shared" si="59"/>
        <v>0</v>
      </c>
      <c r="AK160" s="431">
        <f t="shared" si="59"/>
        <v>0</v>
      </c>
      <c r="AL160" s="431">
        <f t="shared" si="59"/>
        <v>0</v>
      </c>
      <c r="AM160" s="534"/>
    </row>
    <row r="161" spans="1:39" ht="15" hidden="1"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hidden="1"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hidden="1"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0">AA162</f>
        <v>0</v>
      </c>
      <c r="AB163" s="431">
        <f t="shared" si="60"/>
        <v>0</v>
      </c>
      <c r="AC163" s="431">
        <f t="shared" si="60"/>
        <v>0</v>
      </c>
      <c r="AD163" s="431">
        <f t="shared" si="60"/>
        <v>0</v>
      </c>
      <c r="AE163" s="431">
        <f t="shared" si="60"/>
        <v>0</v>
      </c>
      <c r="AF163" s="431">
        <f t="shared" si="60"/>
        <v>0</v>
      </c>
      <c r="AG163" s="431">
        <f t="shared" si="60"/>
        <v>0</v>
      </c>
      <c r="AH163" s="431">
        <f t="shared" si="60"/>
        <v>0</v>
      </c>
      <c r="AI163" s="431">
        <f t="shared" si="60"/>
        <v>0</v>
      </c>
      <c r="AJ163" s="431">
        <f t="shared" si="60"/>
        <v>0</v>
      </c>
      <c r="AK163" s="431">
        <f t="shared" si="60"/>
        <v>0</v>
      </c>
      <c r="AL163" s="431">
        <f t="shared" si="60"/>
        <v>0</v>
      </c>
      <c r="AM163" s="534"/>
    </row>
    <row r="164" spans="1:39" ht="15" hidden="1"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hidden="1"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hidden="1"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1">AA165</f>
        <v>0</v>
      </c>
      <c r="AB166" s="431">
        <f t="shared" si="61"/>
        <v>0</v>
      </c>
      <c r="AC166" s="431">
        <f t="shared" si="61"/>
        <v>0</v>
      </c>
      <c r="AD166" s="431">
        <f t="shared" si="61"/>
        <v>0</v>
      </c>
      <c r="AE166" s="431">
        <f t="shared" si="61"/>
        <v>0</v>
      </c>
      <c r="AF166" s="431">
        <f t="shared" si="61"/>
        <v>0</v>
      </c>
      <c r="AG166" s="431">
        <f t="shared" si="61"/>
        <v>0</v>
      </c>
      <c r="AH166" s="431">
        <f t="shared" si="61"/>
        <v>0</v>
      </c>
      <c r="AI166" s="431">
        <f t="shared" si="61"/>
        <v>0</v>
      </c>
      <c r="AJ166" s="431">
        <f t="shared" si="61"/>
        <v>0</v>
      </c>
      <c r="AK166" s="431">
        <f t="shared" si="61"/>
        <v>0</v>
      </c>
      <c r="AL166" s="431">
        <f t="shared" si="61"/>
        <v>0</v>
      </c>
      <c r="AM166" s="534"/>
    </row>
    <row r="167" spans="1:39" ht="15" hidden="1"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hidden="1"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hidden="1"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2">AA168</f>
        <v>0</v>
      </c>
      <c r="AB169" s="431">
        <f t="shared" si="62"/>
        <v>0</v>
      </c>
      <c r="AC169" s="431">
        <f t="shared" si="62"/>
        <v>0</v>
      </c>
      <c r="AD169" s="431">
        <f t="shared" si="62"/>
        <v>0</v>
      </c>
      <c r="AE169" s="431">
        <f t="shared" si="62"/>
        <v>0</v>
      </c>
      <c r="AF169" s="431">
        <f t="shared" si="62"/>
        <v>0</v>
      </c>
      <c r="AG169" s="431">
        <f t="shared" si="62"/>
        <v>0</v>
      </c>
      <c r="AH169" s="431">
        <f t="shared" si="62"/>
        <v>0</v>
      </c>
      <c r="AI169" s="431">
        <f t="shared" si="62"/>
        <v>0</v>
      </c>
      <c r="AJ169" s="431">
        <f t="shared" si="62"/>
        <v>0</v>
      </c>
      <c r="AK169" s="431">
        <f t="shared" si="62"/>
        <v>0</v>
      </c>
      <c r="AL169" s="431">
        <f t="shared" si="62"/>
        <v>0</v>
      </c>
      <c r="AM169" s="534"/>
    </row>
    <row r="170" spans="1:39" ht="15" hidden="1"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hidden="1"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hidden="1"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3">AA171</f>
        <v>0</v>
      </c>
      <c r="AB172" s="431">
        <f t="shared" si="63"/>
        <v>0</v>
      </c>
      <c r="AC172" s="431">
        <f t="shared" si="63"/>
        <v>0</v>
      </c>
      <c r="AD172" s="431">
        <f t="shared" si="63"/>
        <v>0</v>
      </c>
      <c r="AE172" s="431">
        <f t="shared" si="63"/>
        <v>0</v>
      </c>
      <c r="AF172" s="431">
        <f t="shared" si="63"/>
        <v>0</v>
      </c>
      <c r="AG172" s="431">
        <f t="shared" si="63"/>
        <v>0</v>
      </c>
      <c r="AH172" s="431">
        <f t="shared" si="63"/>
        <v>0</v>
      </c>
      <c r="AI172" s="431">
        <f t="shared" si="63"/>
        <v>0</v>
      </c>
      <c r="AJ172" s="431">
        <f t="shared" si="63"/>
        <v>0</v>
      </c>
      <c r="AK172" s="431">
        <f t="shared" si="63"/>
        <v>0</v>
      </c>
      <c r="AL172" s="431">
        <f t="shared" si="63"/>
        <v>0</v>
      </c>
      <c r="AM172" s="534"/>
    </row>
    <row r="173" spans="1:39" s="308" customFormat="1" ht="15" hidden="1"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hidden="1"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hidden="1"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4">AA174</f>
        <v>0</v>
      </c>
      <c r="AB175" s="431">
        <f t="shared" si="64"/>
        <v>0</v>
      </c>
      <c r="AC175" s="431">
        <f t="shared" si="64"/>
        <v>0</v>
      </c>
      <c r="AD175" s="431">
        <f t="shared" si="64"/>
        <v>0</v>
      </c>
      <c r="AE175" s="431">
        <f t="shared" si="64"/>
        <v>0</v>
      </c>
      <c r="AF175" s="431">
        <f t="shared" si="64"/>
        <v>0</v>
      </c>
      <c r="AG175" s="431">
        <f t="shared" si="64"/>
        <v>0</v>
      </c>
      <c r="AH175" s="431">
        <f t="shared" si="64"/>
        <v>0</v>
      </c>
      <c r="AI175" s="431">
        <f t="shared" si="64"/>
        <v>0</v>
      </c>
      <c r="AJ175" s="431">
        <f t="shared" si="64"/>
        <v>0</v>
      </c>
      <c r="AK175" s="431">
        <f t="shared" si="64"/>
        <v>0</v>
      </c>
      <c r="AL175" s="431">
        <f t="shared" si="64"/>
        <v>0</v>
      </c>
      <c r="AM175" s="534"/>
    </row>
    <row r="176" spans="1:39" ht="15" hidden="1"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6" hidden="1"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hidden="1"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v>0.21</v>
      </c>
      <c r="AA178" s="489">
        <v>0.79</v>
      </c>
      <c r="AB178" s="435"/>
      <c r="AC178" s="435"/>
      <c r="AD178" s="435"/>
      <c r="AE178" s="435"/>
      <c r="AF178" s="435"/>
      <c r="AG178" s="435"/>
      <c r="AH178" s="435"/>
      <c r="AI178" s="435"/>
      <c r="AJ178" s="435"/>
      <c r="AK178" s="435"/>
      <c r="AL178" s="435"/>
      <c r="AM178" s="321">
        <f>SUM(Y178:AL178)</f>
        <v>1</v>
      </c>
    </row>
    <row r="179" spans="1:39" ht="15" hidden="1" outlineLevel="1">
      <c r="B179" s="319" t="s">
        <v>247</v>
      </c>
      <c r="C179" s="316" t="s">
        <v>164</v>
      </c>
      <c r="D179" s="320">
        <v>3533534.844</v>
      </c>
      <c r="E179" s="320">
        <f>'7-c.  2013'!AY28</f>
        <v>2712548.1542130499</v>
      </c>
      <c r="F179" s="320">
        <f>'7-c.  2013'!AZ28</f>
        <v>2711913.9455546802</v>
      </c>
      <c r="G179" s="320">
        <f>'7-c.  2013'!BA28</f>
        <v>2700377.4502726002</v>
      </c>
      <c r="H179" s="320">
        <f>'7-c.  2013'!BB28</f>
        <v>2700377.4502726002</v>
      </c>
      <c r="I179" s="320">
        <f>'7-c.  2013'!BC28</f>
        <v>2660248.2559558498</v>
      </c>
      <c r="J179" s="320">
        <f>'7-c.  2013'!BD28</f>
        <v>2642538.7930665398</v>
      </c>
      <c r="K179" s="320">
        <f>'7-c.  2013'!BE28</f>
        <v>2642538.7930665398</v>
      </c>
      <c r="L179" s="320">
        <f>'7-c.  2013'!BF28</f>
        <v>2612035.56750623</v>
      </c>
      <c r="M179" s="320">
        <f>'7-c.  2013'!BG28</f>
        <v>2494611.5480501698</v>
      </c>
      <c r="N179" s="320">
        <f>N178</f>
        <v>12</v>
      </c>
      <c r="O179" s="320">
        <v>669.69200000000001</v>
      </c>
      <c r="P179" s="320">
        <f>'7-c.  2013'!T28</f>
        <v>493.76162896300002</v>
      </c>
      <c r="Q179" s="320">
        <f>'7-c.  2013'!U28</f>
        <v>493.58608523800001</v>
      </c>
      <c r="R179" s="320">
        <f>'7-c.  2013'!V28</f>
        <v>490.39288744300001</v>
      </c>
      <c r="S179" s="320">
        <f>'7-c.  2013'!W28</f>
        <v>490.39288744300001</v>
      </c>
      <c r="T179" s="320">
        <f>'7-c.  2013'!X28</f>
        <v>479.28548856200001</v>
      </c>
      <c r="U179" s="320">
        <f>'7-c.  2013'!Y28</f>
        <v>475.41063766299999</v>
      </c>
      <c r="V179" s="320">
        <f>'7-c.  2013'!Z28</f>
        <v>475.41063766299999</v>
      </c>
      <c r="W179" s="320">
        <f>'7-c.  2013'!AA28</f>
        <v>467.98950781100001</v>
      </c>
      <c r="X179" s="320">
        <f>'7-c.  2013'!AB28</f>
        <v>442.01295010699999</v>
      </c>
      <c r="Y179" s="431">
        <f>Y178</f>
        <v>0</v>
      </c>
      <c r="Z179" s="431">
        <f>Z178</f>
        <v>0.21</v>
      </c>
      <c r="AA179" s="431">
        <f t="shared" ref="AA179:AL179" si="65">AA178</f>
        <v>0.79</v>
      </c>
      <c r="AB179" s="431">
        <f t="shared" si="65"/>
        <v>0</v>
      </c>
      <c r="AC179" s="431">
        <f t="shared" si="65"/>
        <v>0</v>
      </c>
      <c r="AD179" s="431">
        <f t="shared" si="65"/>
        <v>0</v>
      </c>
      <c r="AE179" s="431">
        <f t="shared" si="65"/>
        <v>0</v>
      </c>
      <c r="AF179" s="431">
        <f t="shared" si="65"/>
        <v>0</v>
      </c>
      <c r="AG179" s="431">
        <f t="shared" si="65"/>
        <v>0</v>
      </c>
      <c r="AH179" s="431">
        <f t="shared" si="65"/>
        <v>0</v>
      </c>
      <c r="AI179" s="431">
        <f t="shared" si="65"/>
        <v>0</v>
      </c>
      <c r="AJ179" s="431">
        <f t="shared" si="65"/>
        <v>0</v>
      </c>
      <c r="AK179" s="431">
        <f t="shared" si="65"/>
        <v>0</v>
      </c>
      <c r="AL179" s="431">
        <f t="shared" si="65"/>
        <v>0</v>
      </c>
      <c r="AM179" s="534"/>
    </row>
    <row r="180" spans="1:39" ht="15" hidden="1"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hidden="1" outlineLevel="1">
      <c r="A181" s="538">
        <v>11</v>
      </c>
      <c r="B181" s="339" t="s">
        <v>21</v>
      </c>
      <c r="C181" s="316" t="s">
        <v>25</v>
      </c>
      <c r="D181" s="320">
        <v>5424342.6789999995</v>
      </c>
      <c r="E181" s="320">
        <f>'7-b.  2012'!AY30</f>
        <v>5415634.9588425448</v>
      </c>
      <c r="F181" s="320">
        <f>'7-b.  2012'!AZ30</f>
        <v>4573454.4394884622</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hidden="1"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6">AA181</f>
        <v>0</v>
      </c>
      <c r="AB182" s="431">
        <f t="shared" si="66"/>
        <v>0</v>
      </c>
      <c r="AC182" s="431">
        <f t="shared" si="66"/>
        <v>0</v>
      </c>
      <c r="AD182" s="431">
        <f t="shared" si="66"/>
        <v>0</v>
      </c>
      <c r="AE182" s="431">
        <f t="shared" si="66"/>
        <v>0</v>
      </c>
      <c r="AF182" s="431">
        <f t="shared" si="66"/>
        <v>0</v>
      </c>
      <c r="AG182" s="431">
        <f t="shared" si="66"/>
        <v>0</v>
      </c>
      <c r="AH182" s="431">
        <f t="shared" si="66"/>
        <v>0</v>
      </c>
      <c r="AI182" s="431">
        <f t="shared" si="66"/>
        <v>0</v>
      </c>
      <c r="AJ182" s="431">
        <f t="shared" si="66"/>
        <v>0</v>
      </c>
      <c r="AK182" s="431">
        <f t="shared" si="66"/>
        <v>0</v>
      </c>
      <c r="AL182" s="431">
        <f t="shared" si="66"/>
        <v>0</v>
      </c>
      <c r="AM182" s="534"/>
    </row>
    <row r="183" spans="1:39" ht="15" hidden="1"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hidden="1"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hidden="1"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7">AA184</f>
        <v>0</v>
      </c>
      <c r="AB185" s="431">
        <f t="shared" si="67"/>
        <v>0</v>
      </c>
      <c r="AC185" s="431">
        <f t="shared" si="67"/>
        <v>0</v>
      </c>
      <c r="AD185" s="431">
        <f t="shared" si="67"/>
        <v>0</v>
      </c>
      <c r="AE185" s="431">
        <f t="shared" si="67"/>
        <v>0</v>
      </c>
      <c r="AF185" s="431">
        <f t="shared" si="67"/>
        <v>0</v>
      </c>
      <c r="AG185" s="431">
        <f t="shared" si="67"/>
        <v>0</v>
      </c>
      <c r="AH185" s="431">
        <f t="shared" si="67"/>
        <v>0</v>
      </c>
      <c r="AI185" s="431">
        <f t="shared" si="67"/>
        <v>0</v>
      </c>
      <c r="AJ185" s="431">
        <f t="shared" si="67"/>
        <v>0</v>
      </c>
      <c r="AK185" s="431">
        <f t="shared" si="67"/>
        <v>0</v>
      </c>
      <c r="AL185" s="431">
        <f t="shared" si="67"/>
        <v>0</v>
      </c>
      <c r="AM185" s="534"/>
    </row>
    <row r="186" spans="1:39" ht="15" hidden="1"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hidden="1" outlineLevel="1">
      <c r="A187" s="538">
        <v>13</v>
      </c>
      <c r="B187" s="783"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hidden="1" outlineLevel="1">
      <c r="B188" s="784" t="s">
        <v>247</v>
      </c>
      <c r="C188" s="316" t="s">
        <v>164</v>
      </c>
      <c r="D188" s="320">
        <v>2390226.86</v>
      </c>
      <c r="E188" s="320">
        <f>D188</f>
        <v>2390226.86</v>
      </c>
      <c r="F188" s="320">
        <f t="shared" ref="F188:M188" si="68">E188</f>
        <v>2390226.86</v>
      </c>
      <c r="G188" s="320">
        <f t="shared" si="68"/>
        <v>2390226.86</v>
      </c>
      <c r="H188" s="320">
        <f t="shared" si="68"/>
        <v>2390226.86</v>
      </c>
      <c r="I188" s="320">
        <f t="shared" si="68"/>
        <v>2390226.86</v>
      </c>
      <c r="J188" s="320">
        <f t="shared" si="68"/>
        <v>2390226.86</v>
      </c>
      <c r="K188" s="320">
        <f t="shared" si="68"/>
        <v>2390226.86</v>
      </c>
      <c r="L188" s="320">
        <f t="shared" si="68"/>
        <v>2390226.86</v>
      </c>
      <c r="M188" s="320">
        <f t="shared" si="68"/>
        <v>2390226.86</v>
      </c>
      <c r="N188" s="320">
        <f>N187</f>
        <v>12</v>
      </c>
      <c r="O188" s="320">
        <v>526</v>
      </c>
      <c r="P188" s="320">
        <f>O188</f>
        <v>526</v>
      </c>
      <c r="Q188" s="320">
        <f t="shared" ref="Q188:X188" si="69">P188</f>
        <v>526</v>
      </c>
      <c r="R188" s="320">
        <f t="shared" si="69"/>
        <v>526</v>
      </c>
      <c r="S188" s="320">
        <f t="shared" si="69"/>
        <v>526</v>
      </c>
      <c r="T188" s="320">
        <f t="shared" si="69"/>
        <v>526</v>
      </c>
      <c r="U188" s="320">
        <f t="shared" si="69"/>
        <v>526</v>
      </c>
      <c r="V188" s="320">
        <f t="shared" si="69"/>
        <v>526</v>
      </c>
      <c r="W188" s="320">
        <f t="shared" si="69"/>
        <v>526</v>
      </c>
      <c r="X188" s="320">
        <f t="shared" si="69"/>
        <v>526</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6" hidden="1" outlineLevel="1">
      <c r="B189" s="740"/>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hidden="1" outlineLevel="1">
      <c r="A190" s="538">
        <v>14</v>
      </c>
      <c r="B190" s="339" t="s">
        <v>20</v>
      </c>
      <c r="C190" s="316" t="s">
        <v>25</v>
      </c>
      <c r="D190" s="320">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hidden="1" outlineLevel="1">
      <c r="B191" s="319" t="s">
        <v>247</v>
      </c>
      <c r="C191" s="316" t="s">
        <v>164</v>
      </c>
      <c r="D191" s="320">
        <v>34570.911999999997</v>
      </c>
      <c r="E191" s="320">
        <f>'7-c.  2013'!AY24</f>
        <v>25176.254462563</v>
      </c>
      <c r="F191" s="320">
        <f>'7-c.  2013'!AZ24</f>
        <v>25176.254462563</v>
      </c>
      <c r="G191" s="320">
        <f>'7-c.  2013'!BA24</f>
        <v>25176.254462563</v>
      </c>
      <c r="H191" s="320" t="str">
        <f>'7-c.  2013'!BB24</f>
        <v/>
      </c>
      <c r="I191" s="320" t="str">
        <f>'7-c.  2013'!BC24</f>
        <v/>
      </c>
      <c r="J191" s="320" t="str">
        <f>'7-c.  2013'!BD24</f>
        <v/>
      </c>
      <c r="K191" s="320" t="str">
        <f>'7-c.  2013'!BE24</f>
        <v/>
      </c>
      <c r="L191" s="320" t="str">
        <f>'7-c.  2013'!BF24</f>
        <v/>
      </c>
      <c r="M191" s="320" t="str">
        <f>'7-c.  2013'!BG24</f>
        <v/>
      </c>
      <c r="N191" s="320">
        <f>N190</f>
        <v>12</v>
      </c>
      <c r="O191" s="320">
        <v>7.0739999999999998</v>
      </c>
      <c r="P191" s="320">
        <f>'7-c.  2013'!T24</f>
        <v>5.1771746299999997</v>
      </c>
      <c r="Q191" s="320">
        <f>'7-c.  2013'!U24</f>
        <v>5.1771746299999997</v>
      </c>
      <c r="R191" s="320">
        <f>'7-c.  2013'!V24</f>
        <v>5.1771746299999997</v>
      </c>
      <c r="S191" s="320" t="str">
        <f>'7-c.  2013'!W24</f>
        <v/>
      </c>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hidden="1"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hidden="1"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hidden="1"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hidden="1"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hidden="1"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hidden="1"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hidden="1"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hidden="1"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hidden="1"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hidden="1"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6" hidden="1"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hidden="1"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hidden="1"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hidden="1"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hidden="1"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hidden="1"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hidden="1"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hidden="1" outlineLevel="1">
      <c r="A209" s="538">
        <v>20</v>
      </c>
      <c r="B209" s="340" t="s">
        <v>13</v>
      </c>
      <c r="C209" s="316" t="s">
        <v>25</v>
      </c>
      <c r="D209" s="320">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hidden="1" outlineLevel="1">
      <c r="B210" s="319" t="s">
        <v>247</v>
      </c>
      <c r="C210" s="316" t="s">
        <v>164</v>
      </c>
      <c r="D210" s="320">
        <v>50038.2</v>
      </c>
      <c r="E210" s="320">
        <f>D210*(E209/D209)</f>
        <v>50038.2</v>
      </c>
      <c r="F210" s="320">
        <f t="shared" ref="F210:M210" si="77">E210*(F209/E209)</f>
        <v>50038.2</v>
      </c>
      <c r="G210" s="320">
        <f t="shared" si="77"/>
        <v>50038.2</v>
      </c>
      <c r="H210" s="320">
        <f t="shared" si="77"/>
        <v>50038.2</v>
      </c>
      <c r="I210" s="320">
        <f t="shared" si="77"/>
        <v>50038.2</v>
      </c>
      <c r="J210" s="320">
        <f t="shared" si="77"/>
        <v>50038.2</v>
      </c>
      <c r="K210" s="320">
        <f t="shared" si="77"/>
        <v>50038.2</v>
      </c>
      <c r="L210" s="320">
        <f t="shared" si="77"/>
        <v>50038.2</v>
      </c>
      <c r="M210" s="320">
        <f t="shared" si="77"/>
        <v>50038.2</v>
      </c>
      <c r="N210" s="320">
        <f>N209</f>
        <v>12</v>
      </c>
      <c r="O210" s="320">
        <v>22</v>
      </c>
      <c r="P210" s="320">
        <f>O210*(P209/O209)</f>
        <v>22.015459459459464</v>
      </c>
      <c r="Q210" s="320">
        <f t="shared" ref="Q210:X210" si="78">P210*(Q209/P209)</f>
        <v>22.015459459459464</v>
      </c>
      <c r="R210" s="320">
        <f t="shared" si="78"/>
        <v>22.015459459459464</v>
      </c>
      <c r="S210" s="320">
        <f t="shared" si="78"/>
        <v>22.015459459459464</v>
      </c>
      <c r="T210" s="320">
        <f t="shared" si="78"/>
        <v>22.015459459459464</v>
      </c>
      <c r="U210" s="320">
        <f t="shared" si="78"/>
        <v>22.015459459459464</v>
      </c>
      <c r="V210" s="320">
        <f t="shared" si="78"/>
        <v>22.015459459459464</v>
      </c>
      <c r="W210" s="320">
        <f t="shared" si="78"/>
        <v>22.015459459459464</v>
      </c>
      <c r="X210" s="320">
        <f t="shared" si="78"/>
        <v>22.015459459459464</v>
      </c>
      <c r="Y210" s="431">
        <f>Y209</f>
        <v>0</v>
      </c>
      <c r="Z210" s="431">
        <f>Z209</f>
        <v>0</v>
      </c>
      <c r="AA210" s="431">
        <f t="shared" ref="AA210:AL210" si="79">AA209</f>
        <v>1</v>
      </c>
      <c r="AB210" s="431">
        <f t="shared" si="79"/>
        <v>0</v>
      </c>
      <c r="AC210" s="431">
        <f t="shared" si="79"/>
        <v>0</v>
      </c>
      <c r="AD210" s="431">
        <f t="shared" si="79"/>
        <v>0</v>
      </c>
      <c r="AE210" s="431">
        <f t="shared" si="79"/>
        <v>0</v>
      </c>
      <c r="AF210" s="431">
        <f t="shared" si="79"/>
        <v>0</v>
      </c>
      <c r="AG210" s="431">
        <f t="shared" si="79"/>
        <v>0</v>
      </c>
      <c r="AH210" s="431">
        <f t="shared" si="79"/>
        <v>0</v>
      </c>
      <c r="AI210" s="431">
        <f t="shared" si="79"/>
        <v>0</v>
      </c>
      <c r="AJ210" s="431">
        <f t="shared" si="79"/>
        <v>0</v>
      </c>
      <c r="AK210" s="431">
        <f t="shared" si="79"/>
        <v>0</v>
      </c>
      <c r="AL210" s="431">
        <f t="shared" si="79"/>
        <v>0</v>
      </c>
      <c r="AM210" s="534"/>
    </row>
    <row r="211" spans="1:39" ht="15" hidden="1"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hidden="1"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hidden="1"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80">AA212</f>
        <v>0</v>
      </c>
      <c r="AB213" s="431">
        <f t="shared" si="80"/>
        <v>0</v>
      </c>
      <c r="AC213" s="431">
        <f t="shared" si="80"/>
        <v>0</v>
      </c>
      <c r="AD213" s="431">
        <f t="shared" si="80"/>
        <v>0</v>
      </c>
      <c r="AE213" s="431">
        <f t="shared" si="80"/>
        <v>0</v>
      </c>
      <c r="AF213" s="431">
        <f t="shared" si="80"/>
        <v>0</v>
      </c>
      <c r="AG213" s="431">
        <f t="shared" si="80"/>
        <v>0</v>
      </c>
      <c r="AH213" s="431">
        <f t="shared" si="80"/>
        <v>0</v>
      </c>
      <c r="AI213" s="431">
        <f t="shared" si="80"/>
        <v>0</v>
      </c>
      <c r="AJ213" s="431">
        <f t="shared" si="80"/>
        <v>0</v>
      </c>
      <c r="AK213" s="431">
        <f t="shared" si="80"/>
        <v>0</v>
      </c>
      <c r="AL213" s="431">
        <f t="shared" si="80"/>
        <v>0</v>
      </c>
      <c r="AM213" s="534"/>
    </row>
    <row r="214" spans="1:39" ht="15" hidden="1"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hidden="1"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hidden="1"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81">AA215</f>
        <v>0</v>
      </c>
      <c r="AB216" s="431">
        <f t="shared" si="81"/>
        <v>0</v>
      </c>
      <c r="AC216" s="431">
        <f t="shared" si="81"/>
        <v>0</v>
      </c>
      <c r="AD216" s="431">
        <f t="shared" si="81"/>
        <v>0</v>
      </c>
      <c r="AE216" s="431">
        <f t="shared" si="81"/>
        <v>0</v>
      </c>
      <c r="AF216" s="431">
        <f t="shared" si="81"/>
        <v>0</v>
      </c>
      <c r="AG216" s="431">
        <f t="shared" si="81"/>
        <v>0</v>
      </c>
      <c r="AH216" s="431">
        <f t="shared" si="81"/>
        <v>0</v>
      </c>
      <c r="AI216" s="431">
        <f t="shared" si="81"/>
        <v>0</v>
      </c>
      <c r="AJ216" s="431">
        <f t="shared" si="81"/>
        <v>0</v>
      </c>
      <c r="AK216" s="431">
        <f t="shared" si="81"/>
        <v>0</v>
      </c>
      <c r="AL216" s="431">
        <f t="shared" si="81"/>
        <v>0</v>
      </c>
      <c r="AM216" s="534"/>
    </row>
    <row r="217" spans="1:39" ht="15" hidden="1"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6" hidden="1"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hidden="1" outlineLevel="1">
      <c r="A219" s="538">
        <v>23</v>
      </c>
      <c r="B219" s="340" t="s">
        <v>14</v>
      </c>
      <c r="C219" s="316" t="s">
        <v>25</v>
      </c>
      <c r="D219" s="320">
        <v>313102.42800000001</v>
      </c>
      <c r="E219" s="320">
        <f>'7-b.  2012'!AY34*1000</f>
        <v>287450.42748641968</v>
      </c>
      <c r="F219" s="320">
        <f>'7-b.  2012'!AZ34*1000</f>
        <v>287450.42748641968</v>
      </c>
      <c r="G219" s="320">
        <f>'7-b.  2012'!BA34*1000</f>
        <v>287450.42748641968</v>
      </c>
      <c r="H219" s="320">
        <f>'7-b.  2012'!BB34*1000</f>
        <v>284109.42748641968</v>
      </c>
      <c r="I219" s="320">
        <f>'7-b.  2012'!BC34*1000</f>
        <v>284109.42748641968</v>
      </c>
      <c r="J219" s="320">
        <f>'7-b.  2012'!BD34*1000</f>
        <v>267772.55303573608</v>
      </c>
      <c r="K219" s="320">
        <f>'7-b.  2012'!BE34*1000</f>
        <v>266218.09101486206</v>
      </c>
      <c r="L219" s="320">
        <f>'7-b.  2012'!BF34*1000</f>
        <v>123508.09101486206</v>
      </c>
      <c r="M219" s="320">
        <f>'7-b.  2012'!BG34*1000</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hidden="1" outlineLevel="1">
      <c r="B220" s="319" t="s">
        <v>247</v>
      </c>
      <c r="C220" s="316" t="s">
        <v>164</v>
      </c>
      <c r="D220" s="320">
        <v>207811.807</v>
      </c>
      <c r="E220" s="320">
        <f>D220*(E219/D219)</f>
        <v>190786.10517474281</v>
      </c>
      <c r="F220" s="320">
        <f t="shared" ref="F220:M220" si="82">E220*(F219/E219)</f>
        <v>190786.10517474281</v>
      </c>
      <c r="G220" s="320">
        <f t="shared" si="82"/>
        <v>190786.10517474281</v>
      </c>
      <c r="H220" s="320">
        <f t="shared" si="82"/>
        <v>188568.62237966529</v>
      </c>
      <c r="I220" s="320">
        <f t="shared" si="82"/>
        <v>188568.62237966529</v>
      </c>
      <c r="J220" s="320">
        <f t="shared" si="82"/>
        <v>177725.54006307371</v>
      </c>
      <c r="K220" s="320">
        <f t="shared" si="82"/>
        <v>176693.81519420524</v>
      </c>
      <c r="L220" s="320">
        <f t="shared" si="82"/>
        <v>81974.578532872154</v>
      </c>
      <c r="M220" s="320">
        <f t="shared" si="82"/>
        <v>80492.49559919718</v>
      </c>
      <c r="N220" s="488"/>
      <c r="O220" s="320">
        <v>39</v>
      </c>
      <c r="P220" s="320">
        <f>O220*(P219/O219)</f>
        <v>37.423208143988909</v>
      </c>
      <c r="Q220" s="320">
        <f t="shared" ref="Q220:X220" si="83">P220*(Q219/P219)</f>
        <v>37.423208143988909</v>
      </c>
      <c r="R220" s="320">
        <f t="shared" si="83"/>
        <v>37.423208143988909</v>
      </c>
      <c r="S220" s="320">
        <f t="shared" si="83"/>
        <v>37.247010665208379</v>
      </c>
      <c r="T220" s="320">
        <f t="shared" si="83"/>
        <v>37.247010665208379</v>
      </c>
      <c r="U220" s="320">
        <f t="shared" si="83"/>
        <v>36.327650687928923</v>
      </c>
      <c r="V220" s="320">
        <f t="shared" si="83"/>
        <v>36.327650687928923</v>
      </c>
      <c r="W220" s="320">
        <f t="shared" si="83"/>
        <v>28.296624784978739</v>
      </c>
      <c r="X220" s="320">
        <f t="shared" si="83"/>
        <v>25.706429377508673</v>
      </c>
      <c r="Y220" s="431">
        <f>Y219</f>
        <v>1</v>
      </c>
      <c r="Z220" s="431">
        <f>Z219</f>
        <v>0</v>
      </c>
      <c r="AA220" s="431">
        <f t="shared" ref="AA220:AL220" si="84">AA219</f>
        <v>0</v>
      </c>
      <c r="AB220" s="431">
        <f t="shared" si="84"/>
        <v>0</v>
      </c>
      <c r="AC220" s="431">
        <f t="shared" si="84"/>
        <v>0</v>
      </c>
      <c r="AD220" s="431">
        <f t="shared" si="84"/>
        <v>0</v>
      </c>
      <c r="AE220" s="431">
        <f t="shared" si="84"/>
        <v>0</v>
      </c>
      <c r="AF220" s="431">
        <f t="shared" si="84"/>
        <v>0</v>
      </c>
      <c r="AG220" s="431">
        <f t="shared" si="84"/>
        <v>0</v>
      </c>
      <c r="AH220" s="431">
        <f t="shared" si="84"/>
        <v>0</v>
      </c>
      <c r="AI220" s="431">
        <f t="shared" si="84"/>
        <v>0</v>
      </c>
      <c r="AJ220" s="431">
        <f t="shared" si="84"/>
        <v>0</v>
      </c>
      <c r="AK220" s="431">
        <f t="shared" si="84"/>
        <v>0</v>
      </c>
      <c r="AL220" s="431">
        <f t="shared" si="84"/>
        <v>0</v>
      </c>
      <c r="AM220" s="534"/>
    </row>
    <row r="221" spans="1:39" ht="15.6" hidden="1" outlineLevel="1">
      <c r="B221" s="724"/>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6" hidden="1"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hidden="1"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hidden="1"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5">AA223</f>
        <v>0</v>
      </c>
      <c r="AB224" s="431">
        <f t="shared" si="85"/>
        <v>0</v>
      </c>
      <c r="AC224" s="431">
        <f t="shared" si="85"/>
        <v>0</v>
      </c>
      <c r="AD224" s="431">
        <f t="shared" si="85"/>
        <v>0</v>
      </c>
      <c r="AE224" s="431">
        <f t="shared" si="85"/>
        <v>0</v>
      </c>
      <c r="AF224" s="431">
        <f t="shared" si="85"/>
        <v>0</v>
      </c>
      <c r="AG224" s="431">
        <f t="shared" si="85"/>
        <v>0</v>
      </c>
      <c r="AH224" s="431">
        <f t="shared" si="85"/>
        <v>0</v>
      </c>
      <c r="AI224" s="431">
        <f t="shared" si="85"/>
        <v>0</v>
      </c>
      <c r="AJ224" s="431">
        <f t="shared" si="85"/>
        <v>0</v>
      </c>
      <c r="AK224" s="431">
        <f t="shared" si="85"/>
        <v>0</v>
      </c>
      <c r="AL224" s="431">
        <f t="shared" si="85"/>
        <v>0</v>
      </c>
      <c r="AM224" s="534"/>
    </row>
    <row r="225" spans="1:39" s="308" customFormat="1" ht="15" hidden="1"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hidden="1"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hidden="1"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6">AA226</f>
        <v>0</v>
      </c>
      <c r="AB227" s="431">
        <f t="shared" si="86"/>
        <v>0</v>
      </c>
      <c r="AC227" s="431">
        <f t="shared" si="86"/>
        <v>0</v>
      </c>
      <c r="AD227" s="431">
        <f t="shared" si="86"/>
        <v>0</v>
      </c>
      <c r="AE227" s="431">
        <f t="shared" si="86"/>
        <v>0</v>
      </c>
      <c r="AF227" s="431">
        <f t="shared" si="86"/>
        <v>0</v>
      </c>
      <c r="AG227" s="431">
        <f t="shared" si="86"/>
        <v>0</v>
      </c>
      <c r="AH227" s="431">
        <f t="shared" si="86"/>
        <v>0</v>
      </c>
      <c r="AI227" s="431">
        <f t="shared" si="86"/>
        <v>0</v>
      </c>
      <c r="AJ227" s="431">
        <f t="shared" si="86"/>
        <v>0</v>
      </c>
      <c r="AK227" s="431">
        <f t="shared" si="86"/>
        <v>0</v>
      </c>
      <c r="AL227" s="431">
        <f t="shared" si="86"/>
        <v>0</v>
      </c>
      <c r="AM227" s="534"/>
    </row>
    <row r="228" spans="1:39" s="308" customFormat="1" ht="15" hidden="1"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6" hidden="1"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hidden="1"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hidden="1"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7">AA230</f>
        <v>0</v>
      </c>
      <c r="AB231" s="431">
        <f t="shared" si="87"/>
        <v>0</v>
      </c>
      <c r="AC231" s="431">
        <f t="shared" si="87"/>
        <v>0</v>
      </c>
      <c r="AD231" s="431">
        <f t="shared" si="87"/>
        <v>0</v>
      </c>
      <c r="AE231" s="431">
        <f t="shared" si="87"/>
        <v>0</v>
      </c>
      <c r="AF231" s="431">
        <f t="shared" si="87"/>
        <v>0</v>
      </c>
      <c r="AG231" s="431">
        <f t="shared" si="87"/>
        <v>0</v>
      </c>
      <c r="AH231" s="431">
        <f t="shared" si="87"/>
        <v>0</v>
      </c>
      <c r="AI231" s="431">
        <f t="shared" si="87"/>
        <v>0</v>
      </c>
      <c r="AJ231" s="431">
        <f t="shared" si="87"/>
        <v>0</v>
      </c>
      <c r="AK231" s="431">
        <f t="shared" si="87"/>
        <v>0</v>
      </c>
      <c r="AL231" s="431">
        <f t="shared" si="87"/>
        <v>0</v>
      </c>
      <c r="AM231" s="534"/>
    </row>
    <row r="232" spans="1:39" ht="15" hidden="1"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hidden="1" outlineLevel="1">
      <c r="A233" s="538">
        <v>27</v>
      </c>
      <c r="B233" s="346" t="s">
        <v>17</v>
      </c>
      <c r="C233" s="316" t="s">
        <v>25</v>
      </c>
      <c r="D233" s="320">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v>0.17</v>
      </c>
      <c r="AB233" s="435"/>
      <c r="AC233" s="435"/>
      <c r="AD233" s="435"/>
      <c r="AE233" s="435"/>
      <c r="AF233" s="435"/>
      <c r="AG233" s="435"/>
      <c r="AH233" s="435"/>
      <c r="AI233" s="435"/>
      <c r="AJ233" s="435"/>
      <c r="AK233" s="435"/>
      <c r="AL233" s="435"/>
      <c r="AM233" s="321">
        <f>SUM(Y233:AL233)</f>
        <v>0.17</v>
      </c>
    </row>
    <row r="234" spans="1:39" ht="15" hidden="1" outlineLevel="1">
      <c r="B234" s="319" t="s">
        <v>247</v>
      </c>
      <c r="C234" s="316" t="s">
        <v>164</v>
      </c>
      <c r="D234" s="320">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8">AA233</f>
        <v>0.17</v>
      </c>
      <c r="AB234" s="431">
        <f t="shared" si="88"/>
        <v>0</v>
      </c>
      <c r="AC234" s="431">
        <f t="shared" si="88"/>
        <v>0</v>
      </c>
      <c r="AD234" s="431">
        <f t="shared" si="88"/>
        <v>0</v>
      </c>
      <c r="AE234" s="431">
        <f t="shared" si="88"/>
        <v>0</v>
      </c>
      <c r="AF234" s="431">
        <f t="shared" si="88"/>
        <v>0</v>
      </c>
      <c r="AG234" s="431">
        <f t="shared" si="88"/>
        <v>0</v>
      </c>
      <c r="AH234" s="431">
        <f t="shared" si="88"/>
        <v>0</v>
      </c>
      <c r="AI234" s="431">
        <f t="shared" si="88"/>
        <v>0</v>
      </c>
      <c r="AJ234" s="431">
        <f t="shared" si="88"/>
        <v>0</v>
      </c>
      <c r="AK234" s="431">
        <f t="shared" si="88"/>
        <v>0</v>
      </c>
      <c r="AL234" s="431">
        <f t="shared" si="88"/>
        <v>0</v>
      </c>
      <c r="AM234" s="534"/>
    </row>
    <row r="235" spans="1:39" ht="15.6" hidden="1"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hidden="1"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hidden="1"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9">AA236</f>
        <v>0</v>
      </c>
      <c r="AB237" s="431">
        <f t="shared" si="89"/>
        <v>0</v>
      </c>
      <c r="AC237" s="431">
        <f t="shared" si="89"/>
        <v>0</v>
      </c>
      <c r="AD237" s="431">
        <f t="shared" si="89"/>
        <v>0</v>
      </c>
      <c r="AE237" s="431">
        <f t="shared" si="89"/>
        <v>0</v>
      </c>
      <c r="AF237" s="431">
        <f t="shared" si="89"/>
        <v>0</v>
      </c>
      <c r="AG237" s="431">
        <f t="shared" si="89"/>
        <v>0</v>
      </c>
      <c r="AH237" s="431">
        <f t="shared" si="89"/>
        <v>0</v>
      </c>
      <c r="AI237" s="431">
        <f t="shared" si="89"/>
        <v>0</v>
      </c>
      <c r="AJ237" s="431">
        <f t="shared" si="89"/>
        <v>0</v>
      </c>
      <c r="AK237" s="431">
        <f t="shared" si="89"/>
        <v>0</v>
      </c>
      <c r="AL237" s="431">
        <f t="shared" si="89"/>
        <v>0</v>
      </c>
      <c r="AM237" s="534"/>
    </row>
    <row r="238" spans="1:39" ht="15" hidden="1"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hidden="1"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hidden="1"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90">Z239</f>
        <v>0</v>
      </c>
      <c r="AA240" s="431">
        <f t="shared" si="90"/>
        <v>0</v>
      </c>
      <c r="AB240" s="431">
        <f t="shared" si="90"/>
        <v>0</v>
      </c>
      <c r="AC240" s="431">
        <f t="shared" si="90"/>
        <v>0</v>
      </c>
      <c r="AD240" s="431">
        <f t="shared" si="90"/>
        <v>0</v>
      </c>
      <c r="AE240" s="431">
        <f t="shared" si="90"/>
        <v>0</v>
      </c>
      <c r="AF240" s="431">
        <f t="shared" si="90"/>
        <v>0</v>
      </c>
      <c r="AG240" s="431">
        <f t="shared" si="90"/>
        <v>0</v>
      </c>
      <c r="AH240" s="431">
        <f t="shared" si="90"/>
        <v>0</v>
      </c>
      <c r="AI240" s="431">
        <f t="shared" si="90"/>
        <v>0</v>
      </c>
      <c r="AJ240" s="431">
        <f t="shared" si="90"/>
        <v>0</v>
      </c>
      <c r="AK240" s="431">
        <f t="shared" si="90"/>
        <v>0</v>
      </c>
      <c r="AL240" s="431">
        <f t="shared" si="90"/>
        <v>0</v>
      </c>
      <c r="AM240" s="534"/>
    </row>
    <row r="241" spans="1:39" ht="15" hidden="1"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hidden="1"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hidden="1"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91">Z242</f>
        <v>0</v>
      </c>
      <c r="AA243" s="431">
        <f t="shared" si="91"/>
        <v>0</v>
      </c>
      <c r="AB243" s="431">
        <f t="shared" si="91"/>
        <v>0</v>
      </c>
      <c r="AC243" s="431">
        <f t="shared" si="91"/>
        <v>0</v>
      </c>
      <c r="AD243" s="431">
        <f t="shared" si="91"/>
        <v>0</v>
      </c>
      <c r="AE243" s="431">
        <f t="shared" si="91"/>
        <v>0</v>
      </c>
      <c r="AF243" s="431">
        <f t="shared" si="91"/>
        <v>0</v>
      </c>
      <c r="AG243" s="431">
        <f t="shared" si="91"/>
        <v>0</v>
      </c>
      <c r="AH243" s="431">
        <f t="shared" si="91"/>
        <v>0</v>
      </c>
      <c r="AI243" s="431">
        <f t="shared" si="91"/>
        <v>0</v>
      </c>
      <c r="AJ243" s="431">
        <f t="shared" si="91"/>
        <v>0</v>
      </c>
      <c r="AK243" s="431">
        <f t="shared" si="91"/>
        <v>0</v>
      </c>
      <c r="AL243" s="431">
        <f t="shared" si="91"/>
        <v>0</v>
      </c>
      <c r="AM243" s="534"/>
    </row>
    <row r="244" spans="1:39" s="308" customFormat="1" ht="15" hidden="1"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6" hidden="1"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hidden="1"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hidden="1"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92">Z246</f>
        <v>0</v>
      </c>
      <c r="AA247" s="431">
        <f t="shared" si="92"/>
        <v>1</v>
      </c>
      <c r="AB247" s="431">
        <f t="shared" si="92"/>
        <v>0</v>
      </c>
      <c r="AC247" s="431">
        <f t="shared" si="92"/>
        <v>0</v>
      </c>
      <c r="AD247" s="431">
        <f t="shared" si="92"/>
        <v>0</v>
      </c>
      <c r="AE247" s="431">
        <f t="shared" si="92"/>
        <v>0</v>
      </c>
      <c r="AF247" s="431">
        <f t="shared" si="92"/>
        <v>0</v>
      </c>
      <c r="AG247" s="431">
        <f t="shared" si="92"/>
        <v>0</v>
      </c>
      <c r="AH247" s="431">
        <f t="shared" si="92"/>
        <v>0</v>
      </c>
      <c r="AI247" s="431">
        <f t="shared" si="92"/>
        <v>0</v>
      </c>
      <c r="AJ247" s="431">
        <f t="shared" si="92"/>
        <v>0</v>
      </c>
      <c r="AK247" s="431">
        <f t="shared" si="92"/>
        <v>0</v>
      </c>
      <c r="AL247" s="431">
        <f t="shared" si="92"/>
        <v>0</v>
      </c>
      <c r="AM247" s="534"/>
    </row>
    <row r="248" spans="1:39" s="308" customFormat="1" ht="15" hidden="1"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hidden="1"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hidden="1"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93">Z249</f>
        <v>0</v>
      </c>
      <c r="AA250" s="431">
        <f t="shared" si="93"/>
        <v>0</v>
      </c>
      <c r="AB250" s="431">
        <f t="shared" si="93"/>
        <v>0</v>
      </c>
      <c r="AC250" s="431">
        <f t="shared" si="93"/>
        <v>0</v>
      </c>
      <c r="AD250" s="431">
        <f t="shared" si="93"/>
        <v>0</v>
      </c>
      <c r="AE250" s="431">
        <f t="shared" si="93"/>
        <v>0</v>
      </c>
      <c r="AF250" s="431">
        <f t="shared" si="93"/>
        <v>0</v>
      </c>
      <c r="AG250" s="431">
        <f t="shared" si="93"/>
        <v>0</v>
      </c>
      <c r="AH250" s="431">
        <f t="shared" si="93"/>
        <v>0</v>
      </c>
      <c r="AI250" s="431">
        <f t="shared" si="93"/>
        <v>0</v>
      </c>
      <c r="AJ250" s="431">
        <f t="shared" si="93"/>
        <v>0</v>
      </c>
      <c r="AK250" s="431">
        <f t="shared" si="93"/>
        <v>0</v>
      </c>
      <c r="AL250" s="431">
        <f t="shared" si="93"/>
        <v>0</v>
      </c>
      <c r="AM250" s="534"/>
    </row>
    <row r="251" spans="1:39" s="308" customFormat="1" ht="15" hidden="1"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hidden="1"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hidden="1"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4">Z252</f>
        <v>0</v>
      </c>
      <c r="AA253" s="431">
        <f t="shared" si="94"/>
        <v>0</v>
      </c>
      <c r="AB253" s="431">
        <f t="shared" si="94"/>
        <v>0</v>
      </c>
      <c r="AC253" s="431">
        <f t="shared" si="94"/>
        <v>0</v>
      </c>
      <c r="AD253" s="431">
        <f t="shared" si="94"/>
        <v>0</v>
      </c>
      <c r="AE253" s="431">
        <f t="shared" si="94"/>
        <v>0</v>
      </c>
      <c r="AF253" s="431">
        <f t="shared" si="94"/>
        <v>0</v>
      </c>
      <c r="AG253" s="431">
        <f t="shared" si="94"/>
        <v>0</v>
      </c>
      <c r="AH253" s="431">
        <f t="shared" si="94"/>
        <v>0</v>
      </c>
      <c r="AI253" s="431">
        <f t="shared" si="94"/>
        <v>0</v>
      </c>
      <c r="AJ253" s="431">
        <f t="shared" si="94"/>
        <v>0</v>
      </c>
      <c r="AK253" s="431">
        <f t="shared" si="94"/>
        <v>0</v>
      </c>
      <c r="AL253" s="431">
        <f t="shared" si="94"/>
        <v>0</v>
      </c>
      <c r="AM253" s="534"/>
    </row>
    <row r="254" spans="1:39" ht="15" hidden="1"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6" collapsed="1">
      <c r="B255" s="352" t="s">
        <v>248</v>
      </c>
      <c r="C255" s="354"/>
      <c r="D255" s="354">
        <f>SUM(D150:D253)</f>
        <v>47585870.969000004</v>
      </c>
      <c r="E255" s="354"/>
      <c r="F255" s="354"/>
      <c r="G255" s="354"/>
      <c r="H255" s="354"/>
      <c r="I255" s="354"/>
      <c r="J255" s="354"/>
      <c r="K255" s="354"/>
      <c r="L255" s="354"/>
      <c r="M255" s="354"/>
      <c r="N255" s="354"/>
      <c r="O255" s="354">
        <f>SUM(O150:O253)</f>
        <v>18513.293000000001</v>
      </c>
      <c r="P255" s="354"/>
      <c r="Q255" s="354"/>
      <c r="R255" s="354"/>
      <c r="S255" s="354"/>
      <c r="T255" s="354"/>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6">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61" customFormat="1" ht="15">
      <c r="A257" s="756"/>
      <c r="B257" s="757" t="s">
        <v>742</v>
      </c>
      <c r="C257" s="758"/>
      <c r="D257" s="759">
        <v>-0.87500000931322575</v>
      </c>
      <c r="E257" s="758"/>
      <c r="F257" s="758"/>
      <c r="G257" s="758"/>
      <c r="H257" s="758"/>
      <c r="I257" s="758"/>
      <c r="J257" s="758"/>
      <c r="K257" s="758"/>
      <c r="L257" s="758"/>
      <c r="M257" s="758"/>
      <c r="N257" s="758"/>
      <c r="O257" s="315">
        <v>0.67399999999531701</v>
      </c>
      <c r="P257" s="758"/>
      <c r="Q257" s="758"/>
      <c r="R257" s="758"/>
      <c r="S257" s="760"/>
      <c r="T257" s="760"/>
      <c r="U257" s="760"/>
      <c r="V257" s="760"/>
      <c r="W257" s="758"/>
      <c r="X257" s="758"/>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0</v>
      </c>
      <c r="Z258" s="365">
        <f>HLOOKUP(Z$20,'3.  Distribution Rates'!$C$122:$P$133,4,FALSE)</f>
        <v>0</v>
      </c>
      <c r="AA258" s="365">
        <f>HLOOKUP(AA$20,'3.  Distribution Rates'!$C$122:$P$133,4,FALSE)</f>
        <v>0</v>
      </c>
      <c r="AB258" s="365">
        <f>HLOOKUP(AB$20,'3.  Distribution Rates'!$C$122:$P$133,4,FALSE)</f>
        <v>0</v>
      </c>
      <c r="AC258" s="365">
        <f>HLOOKUP(AC$20,'3.  Distribution Rates'!$C$122:$P$133,4,FALSE)</f>
        <v>0</v>
      </c>
      <c r="AD258" s="365">
        <f>HLOOKUP(AD$20,'3.  Distribution Rates'!$C$122:$P$133,4,FALSE)</f>
        <v>0</v>
      </c>
      <c r="AE258" s="365">
        <f>HLOOKUP(AE$20,'3.  Distribution Rates'!$C$122:$P$133,4,FALSE)</f>
        <v>0</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5">Y135*Y258</f>
        <v>0</v>
      </c>
      <c r="Z259" s="402">
        <f t="shared" si="95"/>
        <v>0</v>
      </c>
      <c r="AA259" s="402">
        <f t="shared" si="95"/>
        <v>0</v>
      </c>
      <c r="AB259" s="402">
        <f t="shared" si="95"/>
        <v>0</v>
      </c>
      <c r="AC259" s="402">
        <f t="shared" si="95"/>
        <v>0</v>
      </c>
      <c r="AD259" s="402">
        <f t="shared" si="95"/>
        <v>0</v>
      </c>
      <c r="AE259" s="402">
        <f t="shared" si="95"/>
        <v>0</v>
      </c>
      <c r="AF259" s="402">
        <f t="shared" si="95"/>
        <v>0</v>
      </c>
      <c r="AG259" s="402">
        <f t="shared" si="95"/>
        <v>0</v>
      </c>
      <c r="AH259" s="402">
        <f t="shared" si="95"/>
        <v>0</v>
      </c>
      <c r="AI259" s="402">
        <f t="shared" si="95"/>
        <v>0</v>
      </c>
      <c r="AJ259" s="402">
        <f t="shared" si="95"/>
        <v>0</v>
      </c>
      <c r="AK259" s="402">
        <f t="shared" si="95"/>
        <v>0</v>
      </c>
      <c r="AL259" s="402">
        <f t="shared" si="95"/>
        <v>0</v>
      </c>
      <c r="AM259" s="401">
        <f>SUM(Y259:AL259)</f>
        <v>0</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6">Y255*Y258</f>
        <v>0</v>
      </c>
      <c r="Z260" s="402">
        <f t="shared" si="96"/>
        <v>0</v>
      </c>
      <c r="AA260" s="403">
        <f t="shared" si="96"/>
        <v>0</v>
      </c>
      <c r="AB260" s="403">
        <f t="shared" si="96"/>
        <v>0</v>
      </c>
      <c r="AC260" s="403">
        <f t="shared" si="96"/>
        <v>0</v>
      </c>
      <c r="AD260" s="403">
        <f t="shared" si="96"/>
        <v>0</v>
      </c>
      <c r="AE260" s="403">
        <f t="shared" si="96"/>
        <v>0</v>
      </c>
      <c r="AF260" s="403">
        <f t="shared" ref="AF260:AL260" si="97">AF255*AF258</f>
        <v>0</v>
      </c>
      <c r="AG260" s="403">
        <f t="shared" si="97"/>
        <v>0</v>
      </c>
      <c r="AH260" s="403">
        <f t="shared" si="97"/>
        <v>0</v>
      </c>
      <c r="AI260" s="403">
        <f t="shared" si="97"/>
        <v>0</v>
      </c>
      <c r="AJ260" s="403">
        <f t="shared" si="97"/>
        <v>0</v>
      </c>
      <c r="AK260" s="403">
        <f t="shared" si="97"/>
        <v>0</v>
      </c>
      <c r="AL260" s="403">
        <f t="shared" si="97"/>
        <v>0</v>
      </c>
      <c r="AM260" s="401">
        <f>SUM(Y260:AL260)</f>
        <v>0</v>
      </c>
    </row>
    <row r="261" spans="1:41" s="404" customFormat="1" ht="15.6">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0</v>
      </c>
      <c r="Z261" s="370">
        <f t="shared" ref="Z261:AE261" si="98">SUM(Z259:Z260)</f>
        <v>0</v>
      </c>
      <c r="AA261" s="370">
        <f t="shared" si="98"/>
        <v>0</v>
      </c>
      <c r="AB261" s="370">
        <f t="shared" si="98"/>
        <v>0</v>
      </c>
      <c r="AC261" s="370">
        <f t="shared" si="98"/>
        <v>0</v>
      </c>
      <c r="AD261" s="370">
        <f t="shared" si="98"/>
        <v>0</v>
      </c>
      <c r="AE261" s="370">
        <f t="shared" si="98"/>
        <v>0</v>
      </c>
      <c r="AF261" s="370">
        <f t="shared" ref="AF261:AL261" si="99">SUM(AF259:AF260)</f>
        <v>0</v>
      </c>
      <c r="AG261" s="370">
        <f t="shared" si="99"/>
        <v>0</v>
      </c>
      <c r="AH261" s="370">
        <f t="shared" si="99"/>
        <v>0</v>
      </c>
      <c r="AI261" s="370">
        <f t="shared" si="99"/>
        <v>0</v>
      </c>
      <c r="AJ261" s="370">
        <f t="shared" si="99"/>
        <v>0</v>
      </c>
      <c r="AK261" s="370">
        <f t="shared" si="99"/>
        <v>0</v>
      </c>
      <c r="AL261" s="370">
        <f t="shared" si="99"/>
        <v>0</v>
      </c>
      <c r="AM261" s="372">
        <f>SUM(AM259:AM260)</f>
        <v>0</v>
      </c>
    </row>
    <row r="262" spans="1:41" s="404" customFormat="1" ht="15.6">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100">Z256*Z258</f>
        <v>0</v>
      </c>
      <c r="AA262" s="371">
        <f t="shared" si="100"/>
        <v>0</v>
      </c>
      <c r="AB262" s="371">
        <f t="shared" si="100"/>
        <v>0</v>
      </c>
      <c r="AC262" s="371">
        <f t="shared" si="100"/>
        <v>0</v>
      </c>
      <c r="AD262" s="371">
        <f t="shared" si="100"/>
        <v>0</v>
      </c>
      <c r="AE262" s="371">
        <f t="shared" si="100"/>
        <v>0</v>
      </c>
      <c r="AF262" s="371">
        <f t="shared" ref="AF262:AL262" si="101">AF256*AF258</f>
        <v>0</v>
      </c>
      <c r="AG262" s="371">
        <f t="shared" si="101"/>
        <v>0</v>
      </c>
      <c r="AH262" s="371">
        <f t="shared" si="101"/>
        <v>0</v>
      </c>
      <c r="AI262" s="371">
        <f t="shared" si="101"/>
        <v>0</v>
      </c>
      <c r="AJ262" s="371">
        <f t="shared" si="101"/>
        <v>0</v>
      </c>
      <c r="AK262" s="371">
        <f t="shared" si="101"/>
        <v>0</v>
      </c>
      <c r="AL262" s="371">
        <f t="shared" si="101"/>
        <v>0</v>
      </c>
      <c r="AM262" s="372">
        <f>SUM(Y262:AL262)</f>
        <v>0</v>
      </c>
    </row>
    <row r="263" spans="1:41" s="404" customFormat="1" ht="15.6">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0</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5866225.3246549768</v>
      </c>
      <c r="Z265" s="316">
        <f>SUMPRODUCT(E150:E253,Z150:Z253)</f>
        <v>11410517.816749638</v>
      </c>
      <c r="AA265" s="316">
        <f>IF(AA149="kW",SUMPRODUCT(N150:N253,P150:P253,AA150:AA253),SUMPRODUCT(E150:E253,AA150:AA253))</f>
        <v>59961.723949265819</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5866225.3246549768</v>
      </c>
      <c r="Z266" s="316">
        <f>SUMPRODUCT(F150:F253,Z150:Z253)</f>
        <v>10562874.443508809</v>
      </c>
      <c r="AA266" s="316">
        <f>IF(AA149="kW",SUMPRODUCT(N150:N253,Q150:Q253,AA150:AA253),SUMPRODUCT(F150:F253,AA150:AA253))</f>
        <v>59887.416868945533</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5863821.2912506517</v>
      </c>
      <c r="Z267" s="316">
        <f>SUMPRODUCT(G150:G253,Z150:Z253)</f>
        <v>9278551.3799933866</v>
      </c>
      <c r="AA267" s="316">
        <f>IF(AA149="kW",SUMPRODUCT(N150:N253,R150:R253,AA150:AA253),SUMPRODUCT(G150:G253,AA150:AA253))</f>
        <v>59182.624806380096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5400626.48369163</v>
      </c>
      <c r="Z268" s="316">
        <f>SUMPRODUCT(H150:H253,Z150:Z253)</f>
        <v>9277426.6032547746</v>
      </c>
      <c r="AA268" s="316">
        <f>IF(AA149="kW",SUMPRODUCT(N150:N253,S150:S253,AA150:AA253),SUMPRODUCT(H150:H253,AA150:AA253))</f>
        <v>58499.237755272319</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4690257.5413861983</v>
      </c>
      <c r="Z269" s="316">
        <f>SUMPRODUCT(I150:I253,Z150:Z253)</f>
        <v>6643803.4102266571</v>
      </c>
      <c r="AA269" s="316">
        <f>IF(AA149="kW",SUMPRODUCT(N150:N253,T150:T253,AA150:AA253),SUMPRODUCT(I150:I253,AA150:AA253))</f>
        <v>55925.372776809287</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4201581.9089230318</v>
      </c>
      <c r="Z270" s="316">
        <f>SUMPRODUCT(J150:J253,Z150:Z253)</f>
        <v>6522380.8582029166</v>
      </c>
      <c r="AA270" s="316">
        <f>IF(AA149="kW",SUMPRODUCT(N150:N253,U150:U253,AA150:AA253),SUMPRODUCT(J150:J253,AA150:AA253))</f>
        <v>54989.952777886247</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4196915.5241814628</v>
      </c>
      <c r="Z271" s="316">
        <f>SUMPRODUCT(K150:K253,Z150:Z253)</f>
        <v>6513003.8036478795</v>
      </c>
      <c r="AA271" s="316">
        <f>IF(AA149="kW",SUMPRODUCT(N150:N253,V150:V253,AA150:AA253),SUMPRODUCT(K150:K253,AA150:AA253))</f>
        <v>54989.952777886247</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3959486.2875201297</v>
      </c>
      <c r="Z272" s="351">
        <f>SUMPRODUCT(L150:L253,Z150:Z253)</f>
        <v>6281977.9538557399</v>
      </c>
      <c r="AA272" s="351">
        <f>IF(AA149="kW",SUMPRODUCT(N150:N253,W150:W253,AA150:AA253),SUMPRODUCT(L150:L253,AA150:AA253))</f>
        <v>52135.936906474941</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6">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1220" t="s">
        <v>213</v>
      </c>
      <c r="C276" s="1222" t="s">
        <v>33</v>
      </c>
      <c r="D276" s="309" t="s">
        <v>427</v>
      </c>
      <c r="E276" s="1224" t="s">
        <v>211</v>
      </c>
      <c r="F276" s="1225"/>
      <c r="G276" s="1225"/>
      <c r="H276" s="1225"/>
      <c r="I276" s="1225"/>
      <c r="J276" s="1225"/>
      <c r="K276" s="1225"/>
      <c r="L276" s="1225"/>
      <c r="M276" s="1226"/>
      <c r="N276" s="1227" t="s">
        <v>215</v>
      </c>
      <c r="O276" s="309" t="s">
        <v>428</v>
      </c>
      <c r="P276" s="1224" t="s">
        <v>214</v>
      </c>
      <c r="Q276" s="1225"/>
      <c r="R276" s="1225"/>
      <c r="S276" s="1225"/>
      <c r="T276" s="1225"/>
      <c r="U276" s="1225"/>
      <c r="V276" s="1225"/>
      <c r="W276" s="1225"/>
      <c r="X276" s="1226"/>
      <c r="Y276" s="1217" t="s">
        <v>246</v>
      </c>
      <c r="Z276" s="1218"/>
      <c r="AA276" s="1218"/>
      <c r="AB276" s="1218"/>
      <c r="AC276" s="1218"/>
      <c r="AD276" s="1218"/>
      <c r="AE276" s="1218"/>
      <c r="AF276" s="1218"/>
      <c r="AG276" s="1218"/>
      <c r="AH276" s="1218"/>
      <c r="AI276" s="1218"/>
      <c r="AJ276" s="1218"/>
      <c r="AK276" s="1218"/>
      <c r="AL276" s="1218"/>
      <c r="AM276" s="1219"/>
    </row>
    <row r="277" spans="1:39" ht="60.75" customHeight="1">
      <c r="B277" s="1221"/>
      <c r="C277" s="1223"/>
      <c r="D277" s="310">
        <v>2013</v>
      </c>
      <c r="E277" s="310">
        <v>2014</v>
      </c>
      <c r="F277" s="310">
        <v>2015</v>
      </c>
      <c r="G277" s="310">
        <v>2016</v>
      </c>
      <c r="H277" s="310">
        <v>2017</v>
      </c>
      <c r="I277" s="310">
        <v>2018</v>
      </c>
      <c r="J277" s="310">
        <v>2019</v>
      </c>
      <c r="K277" s="310">
        <v>2020</v>
      </c>
      <c r="L277" s="310">
        <v>2021</v>
      </c>
      <c r="M277" s="310">
        <v>2022</v>
      </c>
      <c r="N277" s="1228"/>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hidden="1"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hidden="1"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2">AA279</f>
        <v>0</v>
      </c>
      <c r="AB280" s="431">
        <f t="shared" si="102"/>
        <v>0</v>
      </c>
      <c r="AC280" s="431">
        <f t="shared" si="102"/>
        <v>0</v>
      </c>
      <c r="AD280" s="431">
        <f t="shared" si="102"/>
        <v>0</v>
      </c>
      <c r="AE280" s="431">
        <f t="shared" si="102"/>
        <v>0</v>
      </c>
      <c r="AF280" s="431">
        <f t="shared" si="102"/>
        <v>0</v>
      </c>
      <c r="AG280" s="431">
        <f t="shared" si="102"/>
        <v>0</v>
      </c>
      <c r="AH280" s="431">
        <f t="shared" si="102"/>
        <v>0</v>
      </c>
      <c r="AI280" s="431">
        <f t="shared" si="102"/>
        <v>0</v>
      </c>
      <c r="AJ280" s="431">
        <f t="shared" si="102"/>
        <v>0</v>
      </c>
      <c r="AK280" s="431">
        <f t="shared" si="102"/>
        <v>0</v>
      </c>
      <c r="AL280" s="431">
        <f t="shared" si="102"/>
        <v>0</v>
      </c>
      <c r="AM280" s="322"/>
    </row>
    <row r="281" spans="1:39" ht="15.6" hidden="1"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hidden="1"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hidden="1"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3">AA282</f>
        <v>0</v>
      </c>
      <c r="AB283" s="431">
        <f t="shared" si="103"/>
        <v>0</v>
      </c>
      <c r="AC283" s="431">
        <f t="shared" si="103"/>
        <v>0</v>
      </c>
      <c r="AD283" s="431">
        <f t="shared" si="103"/>
        <v>0</v>
      </c>
      <c r="AE283" s="431">
        <f t="shared" si="103"/>
        <v>0</v>
      </c>
      <c r="AF283" s="431">
        <f t="shared" si="103"/>
        <v>0</v>
      </c>
      <c r="AG283" s="431">
        <f t="shared" si="103"/>
        <v>0</v>
      </c>
      <c r="AH283" s="431">
        <f t="shared" si="103"/>
        <v>0</v>
      </c>
      <c r="AI283" s="431">
        <f t="shared" si="103"/>
        <v>0</v>
      </c>
      <c r="AJ283" s="431">
        <f t="shared" si="103"/>
        <v>0</v>
      </c>
      <c r="AK283" s="431">
        <f t="shared" si="103"/>
        <v>0</v>
      </c>
      <c r="AL283" s="431">
        <f t="shared" si="103"/>
        <v>0</v>
      </c>
      <c r="AM283" s="322"/>
    </row>
    <row r="284" spans="1:39" ht="15.6" hidden="1"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hidden="1"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hidden="1" outlineLevel="1">
      <c r="B286" s="319" t="s">
        <v>252</v>
      </c>
      <c r="C286" s="316" t="s">
        <v>164</v>
      </c>
      <c r="D286" s="320">
        <v>130932.89974109</v>
      </c>
      <c r="E286" s="320">
        <f>D286*(E285/D285)</f>
        <v>130932.8997535751</v>
      </c>
      <c r="F286" s="320">
        <f t="shared" ref="F286:M286" si="104">E286*(F285/E285)</f>
        <v>130932.8997535751</v>
      </c>
      <c r="G286" s="320">
        <f t="shared" si="104"/>
        <v>130932.8997535751</v>
      </c>
      <c r="H286" s="320">
        <f t="shared" si="104"/>
        <v>130932.8997535751</v>
      </c>
      <c r="I286" s="320">
        <f t="shared" si="104"/>
        <v>130932.8997535751</v>
      </c>
      <c r="J286" s="320">
        <f t="shared" si="104"/>
        <v>130932.8997535751</v>
      </c>
      <c r="K286" s="320">
        <f t="shared" si="104"/>
        <v>130932.8997535751</v>
      </c>
      <c r="L286" s="320">
        <f t="shared" si="104"/>
        <v>130932.8997535751</v>
      </c>
      <c r="M286" s="320">
        <f t="shared" si="104"/>
        <v>130932.8997535751</v>
      </c>
      <c r="N286" s="488"/>
      <c r="O286" s="320">
        <v>74.653999999999996</v>
      </c>
      <c r="P286" s="320"/>
      <c r="Q286" s="320"/>
      <c r="R286" s="320"/>
      <c r="S286" s="320"/>
      <c r="T286" s="320"/>
      <c r="U286" s="320"/>
      <c r="V286" s="320"/>
      <c r="W286" s="320"/>
      <c r="X286" s="320"/>
      <c r="Y286" s="431">
        <f>Y285</f>
        <v>1</v>
      </c>
      <c r="Z286" s="431">
        <f>Z285</f>
        <v>0</v>
      </c>
      <c r="AA286" s="431">
        <f t="shared" ref="AA286:AL286" si="105">AA285</f>
        <v>0</v>
      </c>
      <c r="AB286" s="431">
        <f t="shared" si="105"/>
        <v>0</v>
      </c>
      <c r="AC286" s="431">
        <f t="shared" si="105"/>
        <v>0</v>
      </c>
      <c r="AD286" s="431">
        <f t="shared" si="105"/>
        <v>0</v>
      </c>
      <c r="AE286" s="431">
        <f t="shared" si="105"/>
        <v>0</v>
      </c>
      <c r="AF286" s="431">
        <f t="shared" si="105"/>
        <v>0</v>
      </c>
      <c r="AG286" s="431">
        <f t="shared" si="105"/>
        <v>0</v>
      </c>
      <c r="AH286" s="431">
        <f t="shared" si="105"/>
        <v>0</v>
      </c>
      <c r="AI286" s="431">
        <f t="shared" si="105"/>
        <v>0</v>
      </c>
      <c r="AJ286" s="431">
        <f t="shared" si="105"/>
        <v>0</v>
      </c>
      <c r="AK286" s="431">
        <f t="shared" si="105"/>
        <v>0</v>
      </c>
      <c r="AL286" s="431">
        <f t="shared" si="105"/>
        <v>0</v>
      </c>
      <c r="AM286" s="322"/>
    </row>
    <row r="287" spans="1:39" ht="15" hidden="1"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hidden="1"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hidden="1" outlineLevel="1">
      <c r="B289" s="319" t="s">
        <v>252</v>
      </c>
      <c r="C289" s="316" t="s">
        <v>164</v>
      </c>
      <c r="D289" s="320">
        <v>1565</v>
      </c>
      <c r="E289" s="320">
        <f>D289*(E288/D288)</f>
        <v>1565.0000004420108</v>
      </c>
      <c r="F289" s="320">
        <f t="shared" ref="F289:M289" si="106">E289*(F288/E288)</f>
        <v>1481.2304801560354</v>
      </c>
      <c r="G289" s="320">
        <f t="shared" si="106"/>
        <v>1187.8860156737089</v>
      </c>
      <c r="H289" s="320">
        <f t="shared" si="106"/>
        <v>1187.8860156737089</v>
      </c>
      <c r="I289" s="320">
        <f t="shared" si="106"/>
        <v>1187.8860156737089</v>
      </c>
      <c r="J289" s="320">
        <f t="shared" si="106"/>
        <v>1187.8860156737089</v>
      </c>
      <c r="K289" s="320">
        <f t="shared" si="106"/>
        <v>1186.6223790550421</v>
      </c>
      <c r="L289" s="320">
        <f t="shared" si="106"/>
        <v>953.00028234479021</v>
      </c>
      <c r="M289" s="320">
        <f t="shared" si="106"/>
        <v>953.00028234479021</v>
      </c>
      <c r="N289" s="488"/>
      <c r="O289" s="320"/>
      <c r="P289" s="320"/>
      <c r="Q289" s="320"/>
      <c r="R289" s="320"/>
      <c r="S289" s="320"/>
      <c r="T289" s="320"/>
      <c r="U289" s="320"/>
      <c r="V289" s="320"/>
      <c r="W289" s="320"/>
      <c r="X289" s="320"/>
      <c r="Y289" s="431">
        <f>Y288</f>
        <v>1</v>
      </c>
      <c r="Z289" s="431">
        <f>Z288</f>
        <v>0</v>
      </c>
      <c r="AA289" s="431">
        <f t="shared" ref="AA289:AL289" si="107">AA288</f>
        <v>0</v>
      </c>
      <c r="AB289" s="431">
        <f t="shared" si="107"/>
        <v>0</v>
      </c>
      <c r="AC289" s="431">
        <f t="shared" si="107"/>
        <v>0</v>
      </c>
      <c r="AD289" s="431">
        <f t="shared" si="107"/>
        <v>0</v>
      </c>
      <c r="AE289" s="431">
        <f t="shared" si="107"/>
        <v>0</v>
      </c>
      <c r="AF289" s="431">
        <f t="shared" si="107"/>
        <v>0</v>
      </c>
      <c r="AG289" s="431">
        <f t="shared" si="107"/>
        <v>0</v>
      </c>
      <c r="AH289" s="431">
        <f t="shared" si="107"/>
        <v>0</v>
      </c>
      <c r="AI289" s="431">
        <f t="shared" si="107"/>
        <v>0</v>
      </c>
      <c r="AJ289" s="431">
        <f t="shared" si="107"/>
        <v>0</v>
      </c>
      <c r="AK289" s="431">
        <f t="shared" si="107"/>
        <v>0</v>
      </c>
      <c r="AL289" s="431">
        <f t="shared" si="107"/>
        <v>0</v>
      </c>
      <c r="AM289" s="322"/>
    </row>
    <row r="290" spans="1:39" ht="15" hidden="1"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hidden="1"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8">AA291</f>
        <v>0</v>
      </c>
      <c r="AB292" s="431">
        <f t="shared" si="108"/>
        <v>0</v>
      </c>
      <c r="AC292" s="431">
        <f t="shared" si="108"/>
        <v>0</v>
      </c>
      <c r="AD292" s="431">
        <f t="shared" si="108"/>
        <v>0</v>
      </c>
      <c r="AE292" s="431">
        <f t="shared" si="108"/>
        <v>0</v>
      </c>
      <c r="AF292" s="431">
        <f t="shared" si="108"/>
        <v>0</v>
      </c>
      <c r="AG292" s="431">
        <f t="shared" si="108"/>
        <v>0</v>
      </c>
      <c r="AH292" s="431">
        <f t="shared" si="108"/>
        <v>0</v>
      </c>
      <c r="AI292" s="431">
        <f t="shared" si="108"/>
        <v>0</v>
      </c>
      <c r="AJ292" s="431">
        <f t="shared" si="108"/>
        <v>0</v>
      </c>
      <c r="AK292" s="431">
        <f t="shared" si="108"/>
        <v>0</v>
      </c>
      <c r="AL292" s="431">
        <f t="shared" si="108"/>
        <v>0</v>
      </c>
      <c r="AM292" s="322"/>
    </row>
    <row r="293" spans="1:39" ht="15" hidden="1"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hidden="1"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9">AA294</f>
        <v>0</v>
      </c>
      <c r="AB295" s="431">
        <f t="shared" si="109"/>
        <v>0</v>
      </c>
      <c r="AC295" s="431">
        <f t="shared" si="109"/>
        <v>0</v>
      </c>
      <c r="AD295" s="431">
        <f t="shared" si="109"/>
        <v>0</v>
      </c>
      <c r="AE295" s="431">
        <f t="shared" si="109"/>
        <v>0</v>
      </c>
      <c r="AF295" s="431">
        <f t="shared" si="109"/>
        <v>0</v>
      </c>
      <c r="AG295" s="431">
        <f t="shared" si="109"/>
        <v>0</v>
      </c>
      <c r="AH295" s="431">
        <f t="shared" si="109"/>
        <v>0</v>
      </c>
      <c r="AI295" s="431">
        <f t="shared" si="109"/>
        <v>0</v>
      </c>
      <c r="AJ295" s="431">
        <f t="shared" si="109"/>
        <v>0</v>
      </c>
      <c r="AK295" s="431">
        <f t="shared" si="109"/>
        <v>0</v>
      </c>
      <c r="AL295" s="431">
        <f t="shared" si="109"/>
        <v>0</v>
      </c>
      <c r="AM295" s="322"/>
    </row>
    <row r="296" spans="1:39" ht="15" hidden="1"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hidden="1"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10">AA297</f>
        <v>0</v>
      </c>
      <c r="AB298" s="431">
        <f t="shared" si="110"/>
        <v>0</v>
      </c>
      <c r="AC298" s="431">
        <f t="shared" si="110"/>
        <v>0</v>
      </c>
      <c r="AD298" s="431">
        <f t="shared" si="110"/>
        <v>0</v>
      </c>
      <c r="AE298" s="431">
        <f t="shared" si="110"/>
        <v>0</v>
      </c>
      <c r="AF298" s="431">
        <f t="shared" si="110"/>
        <v>0</v>
      </c>
      <c r="AG298" s="431">
        <f t="shared" si="110"/>
        <v>0</v>
      </c>
      <c r="AH298" s="431">
        <f t="shared" si="110"/>
        <v>0</v>
      </c>
      <c r="AI298" s="431">
        <f t="shared" si="110"/>
        <v>0</v>
      </c>
      <c r="AJ298" s="431">
        <f t="shared" si="110"/>
        <v>0</v>
      </c>
      <c r="AK298" s="431">
        <f t="shared" si="110"/>
        <v>0</v>
      </c>
      <c r="AL298" s="431">
        <f t="shared" si="110"/>
        <v>0</v>
      </c>
      <c r="AM298" s="322"/>
    </row>
    <row r="299" spans="1:39" ht="15" hidden="1"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hidden="1"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hidden="1"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11">AA300</f>
        <v>0</v>
      </c>
      <c r="AB301" s="431">
        <f t="shared" si="111"/>
        <v>0</v>
      </c>
      <c r="AC301" s="431">
        <f t="shared" si="111"/>
        <v>0</v>
      </c>
      <c r="AD301" s="431">
        <f t="shared" si="111"/>
        <v>0</v>
      </c>
      <c r="AE301" s="431">
        <f t="shared" si="111"/>
        <v>0</v>
      </c>
      <c r="AF301" s="431">
        <f t="shared" si="111"/>
        <v>0</v>
      </c>
      <c r="AG301" s="431">
        <f t="shared" si="111"/>
        <v>0</v>
      </c>
      <c r="AH301" s="431">
        <f t="shared" si="111"/>
        <v>0</v>
      </c>
      <c r="AI301" s="431">
        <f t="shared" si="111"/>
        <v>0</v>
      </c>
      <c r="AJ301" s="431">
        <f t="shared" si="111"/>
        <v>0</v>
      </c>
      <c r="AK301" s="431">
        <f t="shared" si="111"/>
        <v>0</v>
      </c>
      <c r="AL301" s="431">
        <f t="shared" si="111"/>
        <v>0</v>
      </c>
      <c r="AM301" s="322"/>
    </row>
    <row r="302" spans="1:39" s="308" customFormat="1" ht="15" hidden="1"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hidden="1"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hidden="1"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12">AA303</f>
        <v>0</v>
      </c>
      <c r="AB304" s="431">
        <f t="shared" si="112"/>
        <v>0</v>
      </c>
      <c r="AC304" s="431">
        <f t="shared" si="112"/>
        <v>0</v>
      </c>
      <c r="AD304" s="431">
        <f t="shared" si="112"/>
        <v>0</v>
      </c>
      <c r="AE304" s="431">
        <f t="shared" si="112"/>
        <v>0</v>
      </c>
      <c r="AF304" s="431">
        <f t="shared" si="112"/>
        <v>0</v>
      </c>
      <c r="AG304" s="431">
        <f t="shared" si="112"/>
        <v>0</v>
      </c>
      <c r="AH304" s="431">
        <f t="shared" si="112"/>
        <v>0</v>
      </c>
      <c r="AI304" s="431">
        <f t="shared" si="112"/>
        <v>0</v>
      </c>
      <c r="AJ304" s="431">
        <f t="shared" si="112"/>
        <v>0</v>
      </c>
      <c r="AK304" s="431">
        <f t="shared" si="112"/>
        <v>0</v>
      </c>
      <c r="AL304" s="431">
        <f t="shared" si="112"/>
        <v>0</v>
      </c>
      <c r="AM304" s="322"/>
    </row>
    <row r="305" spans="1:39" ht="15" hidden="1"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6" hidden="1"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hidden="1"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v>4.7019159511704038E-2</v>
      </c>
      <c r="AA307" s="532">
        <v>0.95298084048829601</v>
      </c>
      <c r="AB307" s="532"/>
      <c r="AC307" s="435"/>
      <c r="AD307" s="435"/>
      <c r="AE307" s="435"/>
      <c r="AF307" s="435"/>
      <c r="AG307" s="435"/>
      <c r="AH307" s="435"/>
      <c r="AI307" s="435"/>
      <c r="AJ307" s="435"/>
      <c r="AK307" s="435"/>
      <c r="AL307" s="435"/>
      <c r="AM307" s="321">
        <f>SUM(Y307:AL307)</f>
        <v>1</v>
      </c>
    </row>
    <row r="308" spans="1:39" ht="15" hidden="1" outlineLevel="1">
      <c r="B308" s="319" t="s">
        <v>252</v>
      </c>
      <c r="C308" s="316" t="s">
        <v>164</v>
      </c>
      <c r="D308" s="320">
        <v>3813175.2119999998</v>
      </c>
      <c r="E308" s="320">
        <f>D308*(E307/D307)</f>
        <v>3810344.0320530767</v>
      </c>
      <c r="F308" s="320">
        <f t="shared" ref="F308:M308" si="113">E308*(F307/E307)</f>
        <v>3805514.1254756176</v>
      </c>
      <c r="G308" s="320">
        <f t="shared" si="113"/>
        <v>3789621.1588915079</v>
      </c>
      <c r="H308" s="320">
        <f t="shared" si="113"/>
        <v>3703237.2406296209</v>
      </c>
      <c r="I308" s="320">
        <f t="shared" si="113"/>
        <v>3648520.046716325</v>
      </c>
      <c r="J308" s="320">
        <f t="shared" si="113"/>
        <v>3648520.046716325</v>
      </c>
      <c r="K308" s="320">
        <f t="shared" si="113"/>
        <v>3642474.9006292722</v>
      </c>
      <c r="L308" s="320">
        <f t="shared" si="113"/>
        <v>3583761.9587310473</v>
      </c>
      <c r="M308" s="320">
        <f t="shared" si="113"/>
        <v>3197781.601035377</v>
      </c>
      <c r="N308" s="320">
        <f>N307</f>
        <v>12</v>
      </c>
      <c r="O308" s="320">
        <v>731.98199999999997</v>
      </c>
      <c r="P308" s="320">
        <f>O308*(P307/O307)</f>
        <v>731.09234372139679</v>
      </c>
      <c r="Q308" s="320">
        <f t="shared" ref="Q308:X308" si="114">P308*(Q307/P307)</f>
        <v>729.65215402479907</v>
      </c>
      <c r="R308" s="320">
        <f t="shared" si="114"/>
        <v>724.18852623727093</v>
      </c>
      <c r="S308" s="320">
        <f t="shared" si="114"/>
        <v>696.60859096132367</v>
      </c>
      <c r="T308" s="320">
        <f t="shared" si="114"/>
        <v>685.52943544888274</v>
      </c>
      <c r="U308" s="320">
        <f t="shared" si="114"/>
        <v>685.52943544888274</v>
      </c>
      <c r="V308" s="320">
        <f t="shared" si="114"/>
        <v>685.28955545399833</v>
      </c>
      <c r="W308" s="320">
        <f t="shared" si="114"/>
        <v>666.92736488585842</v>
      </c>
      <c r="X308" s="320">
        <f t="shared" si="114"/>
        <v>590.2452277134812</v>
      </c>
      <c r="Y308" s="431">
        <f>Y307</f>
        <v>0</v>
      </c>
      <c r="Z308" s="431">
        <f>Z307</f>
        <v>4.7019159511704038E-2</v>
      </c>
      <c r="AA308" s="431">
        <f t="shared" ref="AA308:AL308" si="115">AA307</f>
        <v>0.95298084048829601</v>
      </c>
      <c r="AB308" s="431">
        <f t="shared" si="115"/>
        <v>0</v>
      </c>
      <c r="AC308" s="431">
        <f t="shared" si="115"/>
        <v>0</v>
      </c>
      <c r="AD308" s="431">
        <f t="shared" si="115"/>
        <v>0</v>
      </c>
      <c r="AE308" s="431">
        <f t="shared" si="115"/>
        <v>0</v>
      </c>
      <c r="AF308" s="431">
        <f t="shared" si="115"/>
        <v>0</v>
      </c>
      <c r="AG308" s="431">
        <f t="shared" si="115"/>
        <v>0</v>
      </c>
      <c r="AH308" s="431">
        <f t="shared" si="115"/>
        <v>0</v>
      </c>
      <c r="AI308" s="431">
        <f t="shared" si="115"/>
        <v>0</v>
      </c>
      <c r="AJ308" s="431">
        <f t="shared" si="115"/>
        <v>0</v>
      </c>
      <c r="AK308" s="431">
        <f t="shared" si="115"/>
        <v>0</v>
      </c>
      <c r="AL308" s="431">
        <f t="shared" si="115"/>
        <v>0</v>
      </c>
      <c r="AM308" s="336"/>
    </row>
    <row r="309" spans="1:39" ht="15" hidden="1"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hidden="1"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hidden="1"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6">AA310</f>
        <v>0</v>
      </c>
      <c r="AB311" s="431">
        <f t="shared" si="116"/>
        <v>0</v>
      </c>
      <c r="AC311" s="431">
        <f t="shared" si="116"/>
        <v>0</v>
      </c>
      <c r="AD311" s="431">
        <f t="shared" si="116"/>
        <v>0</v>
      </c>
      <c r="AE311" s="431">
        <f t="shared" si="116"/>
        <v>0</v>
      </c>
      <c r="AF311" s="431">
        <f t="shared" si="116"/>
        <v>0</v>
      </c>
      <c r="AG311" s="431">
        <f t="shared" si="116"/>
        <v>0</v>
      </c>
      <c r="AH311" s="431">
        <f t="shared" si="116"/>
        <v>0</v>
      </c>
      <c r="AI311" s="431">
        <f t="shared" si="116"/>
        <v>0</v>
      </c>
      <c r="AJ311" s="431">
        <f t="shared" si="116"/>
        <v>0</v>
      </c>
      <c r="AK311" s="431">
        <f t="shared" si="116"/>
        <v>0</v>
      </c>
      <c r="AL311" s="431">
        <f t="shared" si="116"/>
        <v>0</v>
      </c>
      <c r="AM311" s="336"/>
    </row>
    <row r="312" spans="1:39" ht="15" hidden="1"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hidden="1"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hidden="1"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7">AA313</f>
        <v>0</v>
      </c>
      <c r="AB314" s="431">
        <f t="shared" si="117"/>
        <v>0</v>
      </c>
      <c r="AC314" s="431">
        <f t="shared" si="117"/>
        <v>0</v>
      </c>
      <c r="AD314" s="431">
        <f t="shared" si="117"/>
        <v>0</v>
      </c>
      <c r="AE314" s="431">
        <f t="shared" si="117"/>
        <v>0</v>
      </c>
      <c r="AF314" s="431">
        <f t="shared" si="117"/>
        <v>0</v>
      </c>
      <c r="AG314" s="431">
        <f t="shared" si="117"/>
        <v>0</v>
      </c>
      <c r="AH314" s="431">
        <f t="shared" si="117"/>
        <v>0</v>
      </c>
      <c r="AI314" s="431">
        <f t="shared" si="117"/>
        <v>0</v>
      </c>
      <c r="AJ314" s="431">
        <f t="shared" si="117"/>
        <v>0</v>
      </c>
      <c r="AK314" s="431">
        <f t="shared" si="117"/>
        <v>0</v>
      </c>
      <c r="AL314" s="431">
        <f t="shared" si="117"/>
        <v>0</v>
      </c>
      <c r="AM314" s="336"/>
    </row>
    <row r="315" spans="1:39" ht="15" hidden="1"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hidden="1"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hidden="1" outlineLevel="1">
      <c r="B317" s="319" t="s">
        <v>252</v>
      </c>
      <c r="C317" s="316" t="s">
        <v>164</v>
      </c>
      <c r="D317" s="320">
        <v>1647706.807</v>
      </c>
      <c r="E317" s="320">
        <f>D317*(E316/D316)</f>
        <v>1647706.8067658956</v>
      </c>
      <c r="F317" s="320">
        <f t="shared" ref="F317:M317" si="118">E317*(F316/E316)</f>
        <v>1647706.8067658956</v>
      </c>
      <c r="G317" s="320">
        <f t="shared" si="118"/>
        <v>1647706.8067658956</v>
      </c>
      <c r="H317" s="320">
        <f t="shared" si="118"/>
        <v>1647706.8067658956</v>
      </c>
      <c r="I317" s="320">
        <f t="shared" si="118"/>
        <v>1647706.8067658956</v>
      </c>
      <c r="J317" s="320">
        <f t="shared" si="118"/>
        <v>1647706.8067658956</v>
      </c>
      <c r="K317" s="320">
        <f t="shared" si="118"/>
        <v>1647706.8067658956</v>
      </c>
      <c r="L317" s="320">
        <f t="shared" si="118"/>
        <v>1647706.8067658956</v>
      </c>
      <c r="M317" s="320">
        <f t="shared" si="118"/>
        <v>1647706.8067658956</v>
      </c>
      <c r="N317" s="320">
        <f>N316</f>
        <v>12</v>
      </c>
      <c r="O317" s="320">
        <v>452.36200000000002</v>
      </c>
      <c r="P317" s="320">
        <f>O317*(P316/O316)</f>
        <v>452.36173342295524</v>
      </c>
      <c r="Q317" s="320">
        <f t="shared" ref="Q317:X317" si="119">P317*(Q316/P316)</f>
        <v>452.36173342295524</v>
      </c>
      <c r="R317" s="320">
        <f t="shared" si="119"/>
        <v>452.36173342295524</v>
      </c>
      <c r="S317" s="320">
        <f t="shared" si="119"/>
        <v>452.36173342295524</v>
      </c>
      <c r="T317" s="320">
        <f t="shared" si="119"/>
        <v>452.36173342295524</v>
      </c>
      <c r="U317" s="320">
        <f t="shared" si="119"/>
        <v>452.36173342295524</v>
      </c>
      <c r="V317" s="320">
        <f t="shared" si="119"/>
        <v>452.36173342295524</v>
      </c>
      <c r="W317" s="320">
        <f t="shared" si="119"/>
        <v>452.36173342295524</v>
      </c>
      <c r="X317" s="320">
        <f t="shared" si="119"/>
        <v>452.36173342295524</v>
      </c>
      <c r="Y317" s="431">
        <f>Y316</f>
        <v>0</v>
      </c>
      <c r="Z317" s="431">
        <f>Z316</f>
        <v>0</v>
      </c>
      <c r="AA317" s="431">
        <f t="shared" ref="AA317:AL317" si="120">AA316</f>
        <v>1</v>
      </c>
      <c r="AB317" s="431">
        <f t="shared" si="120"/>
        <v>0</v>
      </c>
      <c r="AC317" s="431">
        <f t="shared" si="120"/>
        <v>0</v>
      </c>
      <c r="AD317" s="431">
        <f t="shared" si="120"/>
        <v>0</v>
      </c>
      <c r="AE317" s="431">
        <f t="shared" si="120"/>
        <v>0</v>
      </c>
      <c r="AF317" s="431">
        <f t="shared" si="120"/>
        <v>0</v>
      </c>
      <c r="AG317" s="431">
        <f t="shared" si="120"/>
        <v>0</v>
      </c>
      <c r="AH317" s="431">
        <f t="shared" si="120"/>
        <v>0</v>
      </c>
      <c r="AI317" s="431">
        <f t="shared" si="120"/>
        <v>0</v>
      </c>
      <c r="AJ317" s="431">
        <f t="shared" si="120"/>
        <v>0</v>
      </c>
      <c r="AK317" s="431">
        <f t="shared" si="120"/>
        <v>0</v>
      </c>
      <c r="AL317" s="431">
        <f t="shared" si="120"/>
        <v>0</v>
      </c>
      <c r="AM317" s="336"/>
    </row>
    <row r="318" spans="1:39" ht="15" hidden="1"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hidden="1"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hidden="1" outlineLevel="1">
      <c r="B320" s="319" t="s">
        <v>252</v>
      </c>
      <c r="C320" s="316" t="s">
        <v>164</v>
      </c>
      <c r="D320" s="320">
        <v>485118.24477289402</v>
      </c>
      <c r="E320" s="320">
        <f>D320*(E319/D319)</f>
        <v>485118.24496510258</v>
      </c>
      <c r="F320" s="320">
        <f t="shared" ref="F320:G320" si="121">E320*(F319/E319)</f>
        <v>485118.24496510258</v>
      </c>
      <c r="G320" s="320">
        <f t="shared" si="121"/>
        <v>485118.24496510258</v>
      </c>
      <c r="H320" s="320"/>
      <c r="I320" s="320"/>
      <c r="J320" s="320"/>
      <c r="K320" s="320"/>
      <c r="L320" s="320"/>
      <c r="M320" s="320"/>
      <c r="N320" s="320">
        <f>N319</f>
        <v>12</v>
      </c>
      <c r="O320" s="320">
        <v>88.238</v>
      </c>
      <c r="P320" s="320">
        <f>O320*(P319/O319)</f>
        <v>88.238099686889967</v>
      </c>
      <c r="Q320" s="320">
        <f t="shared" ref="Q320:R320" si="122">P320*(Q319/P319)</f>
        <v>88.238099686889967</v>
      </c>
      <c r="R320" s="320">
        <f t="shared" si="122"/>
        <v>88.238099686889967</v>
      </c>
      <c r="S320" s="320"/>
      <c r="T320" s="320"/>
      <c r="U320" s="320"/>
      <c r="V320" s="320"/>
      <c r="W320" s="320"/>
      <c r="X320" s="320"/>
      <c r="Y320" s="431">
        <f>Y319</f>
        <v>0</v>
      </c>
      <c r="Z320" s="431">
        <f>Z319</f>
        <v>0</v>
      </c>
      <c r="AA320" s="431">
        <f t="shared" ref="AA320:AL320" si="123">AA319</f>
        <v>1</v>
      </c>
      <c r="AB320" s="431">
        <f t="shared" si="123"/>
        <v>0</v>
      </c>
      <c r="AC320" s="431">
        <f t="shared" si="123"/>
        <v>0</v>
      </c>
      <c r="AD320" s="431">
        <f t="shared" si="123"/>
        <v>0</v>
      </c>
      <c r="AE320" s="431">
        <f t="shared" si="123"/>
        <v>0</v>
      </c>
      <c r="AF320" s="431">
        <f t="shared" si="123"/>
        <v>0</v>
      </c>
      <c r="AG320" s="431">
        <f t="shared" si="123"/>
        <v>0</v>
      </c>
      <c r="AH320" s="431">
        <f t="shared" si="123"/>
        <v>0</v>
      </c>
      <c r="AI320" s="431">
        <f t="shared" si="123"/>
        <v>0</v>
      </c>
      <c r="AJ320" s="431">
        <f t="shared" si="123"/>
        <v>0</v>
      </c>
      <c r="AK320" s="431">
        <f t="shared" si="123"/>
        <v>0</v>
      </c>
      <c r="AL320" s="431">
        <f t="shared" si="123"/>
        <v>0</v>
      </c>
      <c r="AM320" s="336"/>
    </row>
    <row r="321" spans="1:39" ht="15" hidden="1"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hidden="1"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hidden="1"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24">AA322</f>
        <v>0</v>
      </c>
      <c r="AB323" s="431">
        <f t="shared" si="124"/>
        <v>0</v>
      </c>
      <c r="AC323" s="431">
        <f t="shared" si="124"/>
        <v>0</v>
      </c>
      <c r="AD323" s="431">
        <f t="shared" si="124"/>
        <v>0</v>
      </c>
      <c r="AE323" s="431">
        <f t="shared" si="124"/>
        <v>0</v>
      </c>
      <c r="AF323" s="431">
        <f t="shared" si="124"/>
        <v>0</v>
      </c>
      <c r="AG323" s="431">
        <f t="shared" si="124"/>
        <v>0</v>
      </c>
      <c r="AH323" s="431">
        <f t="shared" si="124"/>
        <v>0</v>
      </c>
      <c r="AI323" s="431">
        <f t="shared" si="124"/>
        <v>0</v>
      </c>
      <c r="AJ323" s="431">
        <f t="shared" si="124"/>
        <v>0</v>
      </c>
      <c r="AK323" s="431">
        <f t="shared" si="124"/>
        <v>0</v>
      </c>
      <c r="AL323" s="431">
        <f t="shared" si="124"/>
        <v>0</v>
      </c>
      <c r="AM323" s="336"/>
    </row>
    <row r="324" spans="1:39" s="308" customFormat="1" ht="15" hidden="1"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8" customFormat="1" ht="15" hidden="1" outlineLevel="1">
      <c r="A325" s="772">
        <v>16</v>
      </c>
      <c r="B325" s="773" t="s">
        <v>126</v>
      </c>
      <c r="C325" s="774" t="s">
        <v>25</v>
      </c>
      <c r="D325" s="775">
        <v>64074</v>
      </c>
      <c r="E325" s="775">
        <v>39013.874602698692</v>
      </c>
      <c r="F325" s="775">
        <v>39013.874602698692</v>
      </c>
      <c r="G325" s="775">
        <v>39013.874602698692</v>
      </c>
      <c r="H325" s="775">
        <v>39013.874602698692</v>
      </c>
      <c r="I325" s="775">
        <v>34687.272347531252</v>
      </c>
      <c r="J325" s="775">
        <v>34687.272347531252</v>
      </c>
      <c r="K325" s="775">
        <v>34687.272347531252</v>
      </c>
      <c r="L325" s="775">
        <v>34687.272347531252</v>
      </c>
      <c r="M325" s="775">
        <v>34687.272347531252</v>
      </c>
      <c r="N325" s="775">
        <v>12</v>
      </c>
      <c r="O325" s="775">
        <v>9</v>
      </c>
      <c r="P325" s="775">
        <v>5.4251899789313196</v>
      </c>
      <c r="Q325" s="775">
        <v>5.4251899789313196</v>
      </c>
      <c r="R325" s="775">
        <v>5.4251899789313196</v>
      </c>
      <c r="S325" s="775">
        <v>5.4251899789313196</v>
      </c>
      <c r="T325" s="775">
        <v>4.823541477299738</v>
      </c>
      <c r="U325" s="775">
        <v>4.823541477299738</v>
      </c>
      <c r="V325" s="775">
        <v>4.823541477299738</v>
      </c>
      <c r="W325" s="775">
        <v>4.823541477299738</v>
      </c>
      <c r="X325" s="775">
        <v>4.823541477299738</v>
      </c>
      <c r="Y325" s="776"/>
      <c r="Z325" s="776">
        <v>0.85</v>
      </c>
      <c r="AA325" s="776">
        <v>0.15</v>
      </c>
      <c r="AB325" s="776"/>
      <c r="AC325" s="776"/>
      <c r="AD325" s="776"/>
      <c r="AE325" s="776"/>
      <c r="AF325" s="776"/>
      <c r="AG325" s="776"/>
      <c r="AH325" s="776"/>
      <c r="AI325" s="776"/>
      <c r="AJ325" s="776"/>
      <c r="AK325" s="776"/>
      <c r="AL325" s="776"/>
      <c r="AM325" s="777">
        <f>SUM(Y325:AL325)</f>
        <v>1</v>
      </c>
    </row>
    <row r="326" spans="1:39" s="778" customFormat="1" ht="15" hidden="1" outlineLevel="1">
      <c r="A326" s="772"/>
      <c r="B326" s="779" t="s">
        <v>252</v>
      </c>
      <c r="C326" s="774" t="s">
        <v>164</v>
      </c>
      <c r="D326" s="775"/>
      <c r="E326" s="775"/>
      <c r="F326" s="775"/>
      <c r="G326" s="775"/>
      <c r="H326" s="775"/>
      <c r="I326" s="775"/>
      <c r="J326" s="775"/>
      <c r="K326" s="775"/>
      <c r="L326" s="775"/>
      <c r="M326" s="775"/>
      <c r="N326" s="775">
        <f>N325</f>
        <v>12</v>
      </c>
      <c r="O326" s="775"/>
      <c r="P326" s="775"/>
      <c r="Q326" s="775"/>
      <c r="R326" s="775"/>
      <c r="S326" s="775"/>
      <c r="T326" s="775"/>
      <c r="U326" s="775"/>
      <c r="V326" s="775"/>
      <c r="W326" s="775"/>
      <c r="X326" s="775"/>
      <c r="Y326" s="780">
        <f>Y325</f>
        <v>0</v>
      </c>
      <c r="Z326" s="780">
        <f>Z325</f>
        <v>0.85</v>
      </c>
      <c r="AA326" s="780">
        <f t="shared" ref="AA326:AL326" si="125">AA325</f>
        <v>0.15</v>
      </c>
      <c r="AB326" s="780">
        <f t="shared" si="125"/>
        <v>0</v>
      </c>
      <c r="AC326" s="780">
        <f t="shared" si="125"/>
        <v>0</v>
      </c>
      <c r="AD326" s="780">
        <f t="shared" si="125"/>
        <v>0</v>
      </c>
      <c r="AE326" s="780">
        <f t="shared" si="125"/>
        <v>0</v>
      </c>
      <c r="AF326" s="780">
        <f t="shared" si="125"/>
        <v>0</v>
      </c>
      <c r="AG326" s="780">
        <f t="shared" si="125"/>
        <v>0</v>
      </c>
      <c r="AH326" s="780">
        <f t="shared" si="125"/>
        <v>0</v>
      </c>
      <c r="AI326" s="780">
        <f t="shared" si="125"/>
        <v>0</v>
      </c>
      <c r="AJ326" s="780">
        <f t="shared" si="125"/>
        <v>0</v>
      </c>
      <c r="AK326" s="780">
        <f t="shared" si="125"/>
        <v>0</v>
      </c>
      <c r="AL326" s="780">
        <f t="shared" si="125"/>
        <v>0</v>
      </c>
      <c r="AM326" s="781"/>
    </row>
    <row r="327" spans="1:39" s="308" customFormat="1" ht="15" hidden="1"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hidden="1"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hidden="1"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26">AA328</f>
        <v>0</v>
      </c>
      <c r="AB329" s="431">
        <f t="shared" si="126"/>
        <v>0</v>
      </c>
      <c r="AC329" s="431">
        <f t="shared" si="126"/>
        <v>0</v>
      </c>
      <c r="AD329" s="431">
        <f t="shared" si="126"/>
        <v>0</v>
      </c>
      <c r="AE329" s="431">
        <f t="shared" si="126"/>
        <v>0</v>
      </c>
      <c r="AF329" s="431">
        <f t="shared" si="126"/>
        <v>0</v>
      </c>
      <c r="AG329" s="431">
        <f t="shared" si="126"/>
        <v>0</v>
      </c>
      <c r="AH329" s="431">
        <f t="shared" si="126"/>
        <v>0</v>
      </c>
      <c r="AI329" s="431">
        <f t="shared" si="126"/>
        <v>0</v>
      </c>
      <c r="AJ329" s="431">
        <f t="shared" si="126"/>
        <v>0</v>
      </c>
      <c r="AK329" s="431">
        <f t="shared" si="126"/>
        <v>0</v>
      </c>
      <c r="AL329" s="431">
        <f t="shared" si="126"/>
        <v>0</v>
      </c>
      <c r="AM329" s="336"/>
    </row>
    <row r="330" spans="1:39" ht="15" hidden="1"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6" hidden="1"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hidden="1"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hidden="1"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27">AA332</f>
        <v>0</v>
      </c>
      <c r="AB333" s="431">
        <f t="shared" si="127"/>
        <v>0</v>
      </c>
      <c r="AC333" s="431">
        <f t="shared" si="127"/>
        <v>0</v>
      </c>
      <c r="AD333" s="431">
        <f t="shared" si="127"/>
        <v>0</v>
      </c>
      <c r="AE333" s="431">
        <f t="shared" si="127"/>
        <v>0</v>
      </c>
      <c r="AF333" s="431">
        <f t="shared" si="127"/>
        <v>0</v>
      </c>
      <c r="AG333" s="431">
        <f t="shared" si="127"/>
        <v>0</v>
      </c>
      <c r="AH333" s="431">
        <f t="shared" si="127"/>
        <v>0</v>
      </c>
      <c r="AI333" s="431">
        <f t="shared" si="127"/>
        <v>0</v>
      </c>
      <c r="AJ333" s="431">
        <f t="shared" si="127"/>
        <v>0</v>
      </c>
      <c r="AK333" s="431">
        <f t="shared" si="127"/>
        <v>0</v>
      </c>
      <c r="AL333" s="431">
        <f t="shared" si="127"/>
        <v>0</v>
      </c>
      <c r="AM333" s="322"/>
    </row>
    <row r="334" spans="1:39" ht="15" hidden="1"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hidden="1"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hidden="1"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28">AA335</f>
        <v>0</v>
      </c>
      <c r="AB336" s="431">
        <f t="shared" si="128"/>
        <v>0</v>
      </c>
      <c r="AC336" s="431">
        <f t="shared" si="128"/>
        <v>0</v>
      </c>
      <c r="AD336" s="431">
        <f t="shared" si="128"/>
        <v>0</v>
      </c>
      <c r="AE336" s="431">
        <f t="shared" si="128"/>
        <v>0</v>
      </c>
      <c r="AF336" s="431">
        <f t="shared" si="128"/>
        <v>0</v>
      </c>
      <c r="AG336" s="431">
        <f t="shared" si="128"/>
        <v>0</v>
      </c>
      <c r="AH336" s="431">
        <f t="shared" si="128"/>
        <v>0</v>
      </c>
      <c r="AI336" s="431">
        <f t="shared" si="128"/>
        <v>0</v>
      </c>
      <c r="AJ336" s="431">
        <f t="shared" si="128"/>
        <v>0</v>
      </c>
      <c r="AK336" s="431">
        <f t="shared" si="128"/>
        <v>0</v>
      </c>
      <c r="AL336" s="431">
        <f t="shared" si="128"/>
        <v>0</v>
      </c>
      <c r="AM336" s="322"/>
    </row>
    <row r="337" spans="1:39" ht="15" hidden="1"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hidden="1"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hidden="1" outlineLevel="1">
      <c r="B339" s="319" t="s">
        <v>252</v>
      </c>
      <c r="C339" s="316" t="s">
        <v>164</v>
      </c>
      <c r="D339" s="320">
        <v>2782013.8319999999</v>
      </c>
      <c r="E339" s="320">
        <f>D339*(E338/D338)</f>
        <v>1140047.980178593</v>
      </c>
      <c r="F339" s="320">
        <f t="shared" ref="F339:K339" si="129">E339*(F338/E338)</f>
        <v>1140047.980178593</v>
      </c>
      <c r="G339" s="320">
        <f t="shared" si="129"/>
        <v>1014819.6973226799</v>
      </c>
      <c r="H339" s="320">
        <f t="shared" si="129"/>
        <v>519112.69233392325</v>
      </c>
      <c r="I339" s="320">
        <f t="shared" si="129"/>
        <v>382109.9201953903</v>
      </c>
      <c r="J339" s="320">
        <f t="shared" si="129"/>
        <v>382109.9201953903</v>
      </c>
      <c r="K339" s="320">
        <f t="shared" si="129"/>
        <v>382109.9201953903</v>
      </c>
      <c r="L339" s="320"/>
      <c r="M339" s="320"/>
      <c r="N339" s="320">
        <f>N338</f>
        <v>12</v>
      </c>
      <c r="O339" s="320">
        <v>179.47800000000001</v>
      </c>
      <c r="P339" s="320">
        <f>O339*(P338/O338)</f>
        <v>40.808781190479017</v>
      </c>
      <c r="Q339" s="320">
        <f t="shared" ref="Q339:W339" si="130">P339*(Q338/P338)</f>
        <v>40.808781190479017</v>
      </c>
      <c r="R339" s="320">
        <f t="shared" si="130"/>
        <v>36.144328171501229</v>
      </c>
      <c r="S339" s="320">
        <f t="shared" si="130"/>
        <v>8.516945697615002</v>
      </c>
      <c r="T339" s="320">
        <f t="shared" si="130"/>
        <v>0.31096353459851933</v>
      </c>
      <c r="U339" s="320">
        <f t="shared" si="130"/>
        <v>0.31096353459851933</v>
      </c>
      <c r="V339" s="320">
        <f t="shared" si="130"/>
        <v>0.31096353459851933</v>
      </c>
      <c r="W339" s="320">
        <f t="shared" si="130"/>
        <v>0</v>
      </c>
      <c r="X339" s="320"/>
      <c r="Y339" s="431">
        <f>Y338</f>
        <v>0</v>
      </c>
      <c r="Z339" s="431">
        <f>Z338</f>
        <v>0</v>
      </c>
      <c r="AA339" s="431">
        <f t="shared" ref="AA339:AL339" si="131">AA338</f>
        <v>1</v>
      </c>
      <c r="AB339" s="431">
        <f t="shared" si="131"/>
        <v>0</v>
      </c>
      <c r="AC339" s="431">
        <f t="shared" si="131"/>
        <v>0</v>
      </c>
      <c r="AD339" s="431">
        <f t="shared" si="131"/>
        <v>0</v>
      </c>
      <c r="AE339" s="431">
        <f t="shared" si="131"/>
        <v>0</v>
      </c>
      <c r="AF339" s="431">
        <f t="shared" si="131"/>
        <v>0</v>
      </c>
      <c r="AG339" s="431">
        <f t="shared" si="131"/>
        <v>0</v>
      </c>
      <c r="AH339" s="431">
        <f t="shared" si="131"/>
        <v>0</v>
      </c>
      <c r="AI339" s="431">
        <f t="shared" si="131"/>
        <v>0</v>
      </c>
      <c r="AJ339" s="431">
        <f t="shared" si="131"/>
        <v>0</v>
      </c>
      <c r="AK339" s="431">
        <f t="shared" si="131"/>
        <v>0</v>
      </c>
      <c r="AL339" s="431">
        <f t="shared" si="131"/>
        <v>0</v>
      </c>
      <c r="AM339" s="331"/>
    </row>
    <row r="340" spans="1:39" ht="15" hidden="1"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hidden="1"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hidden="1"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32">AA341</f>
        <v>0</v>
      </c>
      <c r="AB342" s="431">
        <f t="shared" si="132"/>
        <v>0</v>
      </c>
      <c r="AC342" s="431">
        <f t="shared" si="132"/>
        <v>0</v>
      </c>
      <c r="AD342" s="431">
        <f t="shared" si="132"/>
        <v>0</v>
      </c>
      <c r="AE342" s="431">
        <f t="shared" si="132"/>
        <v>0</v>
      </c>
      <c r="AF342" s="431">
        <f t="shared" si="132"/>
        <v>0</v>
      </c>
      <c r="AG342" s="431">
        <f t="shared" si="132"/>
        <v>0</v>
      </c>
      <c r="AH342" s="431">
        <f t="shared" si="132"/>
        <v>0</v>
      </c>
      <c r="AI342" s="431">
        <f t="shared" si="132"/>
        <v>0</v>
      </c>
      <c r="AJ342" s="431">
        <f t="shared" si="132"/>
        <v>0</v>
      </c>
      <c r="AK342" s="431">
        <f t="shared" si="132"/>
        <v>0</v>
      </c>
      <c r="AL342" s="431">
        <f t="shared" si="132"/>
        <v>0</v>
      </c>
      <c r="AM342" s="322"/>
    </row>
    <row r="343" spans="1:39" ht="15" hidden="1"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hidden="1" outlineLevel="1">
      <c r="A344" s="538">
        <v>22</v>
      </c>
      <c r="B344" s="340" t="s">
        <v>9</v>
      </c>
      <c r="C344" s="316" t="s">
        <v>25</v>
      </c>
      <c r="D344" s="320">
        <v>157656</v>
      </c>
      <c r="E344" s="320"/>
      <c r="F344" s="320"/>
      <c r="G344" s="320"/>
      <c r="H344" s="320"/>
      <c r="I344" s="320"/>
      <c r="J344" s="320"/>
      <c r="K344" s="320"/>
      <c r="L344" s="320"/>
      <c r="M344" s="320"/>
      <c r="N344" s="316"/>
      <c r="O344" s="320">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hidden="1"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33">AA344</f>
        <v>0</v>
      </c>
      <c r="AB345" s="431">
        <f t="shared" si="133"/>
        <v>0</v>
      </c>
      <c r="AC345" s="431">
        <f t="shared" si="133"/>
        <v>0</v>
      </c>
      <c r="AD345" s="431">
        <f t="shared" si="133"/>
        <v>0</v>
      </c>
      <c r="AE345" s="431">
        <f t="shared" si="133"/>
        <v>0</v>
      </c>
      <c r="AF345" s="431">
        <f t="shared" si="133"/>
        <v>0</v>
      </c>
      <c r="AG345" s="431">
        <f t="shared" si="133"/>
        <v>0</v>
      </c>
      <c r="AH345" s="431">
        <f t="shared" si="133"/>
        <v>0</v>
      </c>
      <c r="AI345" s="431">
        <f t="shared" si="133"/>
        <v>0</v>
      </c>
      <c r="AJ345" s="431">
        <f t="shared" si="133"/>
        <v>0</v>
      </c>
      <c r="AK345" s="431">
        <f t="shared" si="133"/>
        <v>0</v>
      </c>
      <c r="AL345" s="431">
        <f t="shared" si="133"/>
        <v>0</v>
      </c>
      <c r="AM345" s="331"/>
    </row>
    <row r="346" spans="1:39" ht="15" hidden="1"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6" hidden="1"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hidden="1" outlineLevel="1">
      <c r="A348" s="538">
        <v>23</v>
      </c>
      <c r="B348" s="340" t="s">
        <v>14</v>
      </c>
      <c r="C348" s="316" t="s">
        <v>25</v>
      </c>
      <c r="D348" s="320">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hidden="1" outlineLevel="1">
      <c r="B349" s="319" t="s">
        <v>252</v>
      </c>
      <c r="C349" s="316" t="s">
        <v>164</v>
      </c>
      <c r="D349" s="320">
        <v>151562.51819999999</v>
      </c>
      <c r="E349" s="320">
        <f>D349*(E348/D348)</f>
        <v>144847.70490497741</v>
      </c>
      <c r="F349" s="320">
        <f t="shared" ref="F349:M349" si="134">E349*(F348/E348)</f>
        <v>144217.65640968265</v>
      </c>
      <c r="G349" s="320">
        <f t="shared" si="134"/>
        <v>128549.64471854748</v>
      </c>
      <c r="H349" s="320">
        <f t="shared" si="134"/>
        <v>121730.74680586217</v>
      </c>
      <c r="I349" s="320">
        <f t="shared" si="134"/>
        <v>116340.94310534073</v>
      </c>
      <c r="J349" s="320">
        <f t="shared" si="134"/>
        <v>109910.50242670694</v>
      </c>
      <c r="K349" s="320">
        <f t="shared" si="134"/>
        <v>107606.24707286491</v>
      </c>
      <c r="L349" s="320">
        <f t="shared" si="134"/>
        <v>40674.974350795324</v>
      </c>
      <c r="M349" s="320">
        <f t="shared" si="134"/>
        <v>40600.617522499459</v>
      </c>
      <c r="N349" s="488"/>
      <c r="O349" s="320">
        <v>31.114999999999998</v>
      </c>
      <c r="P349" s="320">
        <f>O349*(P348/O348)</f>
        <v>30.178012105382173</v>
      </c>
      <c r="Q349" s="320">
        <f t="shared" ref="Q349:X349" si="135">P349*(Q348/P348)</f>
        <v>30.09006617810223</v>
      </c>
      <c r="R349" s="320">
        <f t="shared" si="135"/>
        <v>27.903035679047765</v>
      </c>
      <c r="S349" s="320">
        <f t="shared" si="135"/>
        <v>26.957551442903668</v>
      </c>
      <c r="T349" s="320">
        <f t="shared" si="135"/>
        <v>26.205211841332655</v>
      </c>
      <c r="U349" s="320">
        <f t="shared" si="135"/>
        <v>25.307614221697786</v>
      </c>
      <c r="V349" s="320">
        <f t="shared" si="135"/>
        <v>25.307614221697786</v>
      </c>
      <c r="W349" s="320">
        <f t="shared" si="135"/>
        <v>15.964964826413242</v>
      </c>
      <c r="X349" s="320">
        <f t="shared" si="135"/>
        <v>15.751026281665128</v>
      </c>
      <c r="Y349" s="431">
        <f>Y348</f>
        <v>1</v>
      </c>
      <c r="Z349" s="431">
        <f>Z348</f>
        <v>0</v>
      </c>
      <c r="AA349" s="431">
        <f t="shared" ref="AA349:AL349" si="136">AA348</f>
        <v>0</v>
      </c>
      <c r="AB349" s="431">
        <f t="shared" si="136"/>
        <v>0</v>
      </c>
      <c r="AC349" s="431">
        <f t="shared" si="136"/>
        <v>0</v>
      </c>
      <c r="AD349" s="431">
        <f t="shared" si="136"/>
        <v>0</v>
      </c>
      <c r="AE349" s="431">
        <f t="shared" si="136"/>
        <v>0</v>
      </c>
      <c r="AF349" s="431">
        <f t="shared" si="136"/>
        <v>0</v>
      </c>
      <c r="AG349" s="431">
        <f t="shared" si="136"/>
        <v>0</v>
      </c>
      <c r="AH349" s="431">
        <f t="shared" si="136"/>
        <v>0</v>
      </c>
      <c r="AI349" s="431">
        <f t="shared" si="136"/>
        <v>0</v>
      </c>
      <c r="AJ349" s="431">
        <f t="shared" si="136"/>
        <v>0</v>
      </c>
      <c r="AK349" s="431">
        <f t="shared" si="136"/>
        <v>0</v>
      </c>
      <c r="AL349" s="431">
        <f t="shared" si="136"/>
        <v>0</v>
      </c>
      <c r="AM349" s="322"/>
    </row>
    <row r="350" spans="1:39" ht="15" hidden="1"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6" hidden="1"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hidden="1"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hidden="1"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37">AA352</f>
        <v>0</v>
      </c>
      <c r="AB353" s="431">
        <f t="shared" si="137"/>
        <v>0</v>
      </c>
      <c r="AC353" s="431">
        <f t="shared" si="137"/>
        <v>0</v>
      </c>
      <c r="AD353" s="431">
        <f t="shared" si="137"/>
        <v>0</v>
      </c>
      <c r="AE353" s="431">
        <f t="shared" si="137"/>
        <v>0</v>
      </c>
      <c r="AF353" s="431">
        <f t="shared" si="137"/>
        <v>0</v>
      </c>
      <c r="AG353" s="431">
        <f t="shared" si="137"/>
        <v>0</v>
      </c>
      <c r="AH353" s="431">
        <f t="shared" si="137"/>
        <v>0</v>
      </c>
      <c r="AI353" s="431">
        <f t="shared" si="137"/>
        <v>0</v>
      </c>
      <c r="AJ353" s="431">
        <f t="shared" si="137"/>
        <v>0</v>
      </c>
      <c r="AK353" s="431">
        <f t="shared" si="137"/>
        <v>0</v>
      </c>
      <c r="AL353" s="431">
        <f t="shared" si="137"/>
        <v>0</v>
      </c>
      <c r="AM353" s="322"/>
    </row>
    <row r="354" spans="1:39" s="308" customFormat="1" ht="15" hidden="1"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hidden="1"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hidden="1"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38">AA355</f>
        <v>0</v>
      </c>
      <c r="AB356" s="431">
        <f t="shared" si="138"/>
        <v>0</v>
      </c>
      <c r="AC356" s="431">
        <f t="shared" si="138"/>
        <v>0</v>
      </c>
      <c r="AD356" s="431">
        <f t="shared" si="138"/>
        <v>0</v>
      </c>
      <c r="AE356" s="431">
        <f t="shared" si="138"/>
        <v>0</v>
      </c>
      <c r="AF356" s="431">
        <f t="shared" si="138"/>
        <v>0</v>
      </c>
      <c r="AG356" s="431">
        <f t="shared" si="138"/>
        <v>0</v>
      </c>
      <c r="AH356" s="431">
        <f t="shared" si="138"/>
        <v>0</v>
      </c>
      <c r="AI356" s="431">
        <f t="shared" si="138"/>
        <v>0</v>
      </c>
      <c r="AJ356" s="431">
        <f t="shared" si="138"/>
        <v>0</v>
      </c>
      <c r="AK356" s="431">
        <f t="shared" si="138"/>
        <v>0</v>
      </c>
      <c r="AL356" s="431">
        <f t="shared" si="138"/>
        <v>0</v>
      </c>
      <c r="AM356" s="336"/>
    </row>
    <row r="357" spans="1:39" s="308" customFormat="1" ht="15" hidden="1"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6" hidden="1"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hidden="1"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hidden="1"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39">AA359</f>
        <v>0</v>
      </c>
      <c r="AB360" s="431">
        <f t="shared" si="139"/>
        <v>0</v>
      </c>
      <c r="AC360" s="431">
        <f t="shared" si="139"/>
        <v>0</v>
      </c>
      <c r="AD360" s="431">
        <f t="shared" si="139"/>
        <v>0</v>
      </c>
      <c r="AE360" s="431">
        <f t="shared" si="139"/>
        <v>0</v>
      </c>
      <c r="AF360" s="431">
        <f t="shared" si="139"/>
        <v>0</v>
      </c>
      <c r="AG360" s="431">
        <f t="shared" si="139"/>
        <v>0</v>
      </c>
      <c r="AH360" s="431">
        <f t="shared" si="139"/>
        <v>0</v>
      </c>
      <c r="AI360" s="431">
        <f t="shared" si="139"/>
        <v>0</v>
      </c>
      <c r="AJ360" s="431">
        <f t="shared" si="139"/>
        <v>0</v>
      </c>
      <c r="AK360" s="431">
        <f t="shared" si="139"/>
        <v>0</v>
      </c>
      <c r="AL360" s="431">
        <f t="shared" si="139"/>
        <v>0</v>
      </c>
      <c r="AM360" s="331"/>
    </row>
    <row r="361" spans="1:39" ht="15" hidden="1"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hidden="1"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v>0.17</v>
      </c>
      <c r="AB362" s="435"/>
      <c r="AC362" s="435"/>
      <c r="AD362" s="435"/>
      <c r="AE362" s="435"/>
      <c r="AF362" s="435"/>
      <c r="AG362" s="435"/>
      <c r="AH362" s="435"/>
      <c r="AI362" s="435"/>
      <c r="AJ362" s="435"/>
      <c r="AK362" s="435"/>
      <c r="AL362" s="435"/>
      <c r="AM362" s="321">
        <f>SUM(Y362:AL362)</f>
        <v>0.17</v>
      </c>
    </row>
    <row r="363" spans="1:39" ht="15" hidden="1" outlineLevel="1">
      <c r="B363" s="319" t="s">
        <v>252</v>
      </c>
      <c r="C363" s="316" t="s">
        <v>164</v>
      </c>
      <c r="D363" s="320">
        <v>-18458.640000000003</v>
      </c>
      <c r="E363" s="320">
        <f>D363*(E362/D362)</f>
        <v>-18458.640000000003</v>
      </c>
      <c r="F363" s="320">
        <f t="shared" ref="F363:M363" si="140">E363*(F362/E362)</f>
        <v>-18458.640000000003</v>
      </c>
      <c r="G363" s="320">
        <f t="shared" si="140"/>
        <v>-18458.640000000003</v>
      </c>
      <c r="H363" s="320">
        <f t="shared" si="140"/>
        <v>-18458.640000000003</v>
      </c>
      <c r="I363" s="320">
        <f t="shared" si="140"/>
        <v>-18458.640000000003</v>
      </c>
      <c r="J363" s="320">
        <f t="shared" si="140"/>
        <v>-18458.640000000003</v>
      </c>
      <c r="K363" s="320">
        <f t="shared" si="140"/>
        <v>-18458.640000000003</v>
      </c>
      <c r="L363" s="320">
        <f t="shared" si="140"/>
        <v>-18458.640000000003</v>
      </c>
      <c r="M363" s="320">
        <f t="shared" si="140"/>
        <v>-18458.640000000003</v>
      </c>
      <c r="N363" s="320">
        <f>N362</f>
        <v>12</v>
      </c>
      <c r="O363" s="320">
        <v>-23.24</v>
      </c>
      <c r="P363" s="320">
        <f>O363*(P362/O362)</f>
        <v>-23.24</v>
      </c>
      <c r="Q363" s="320">
        <f t="shared" ref="Q363:X363" si="141">P363*(Q362/P362)</f>
        <v>-23.24</v>
      </c>
      <c r="R363" s="320">
        <f t="shared" si="141"/>
        <v>-23.24</v>
      </c>
      <c r="S363" s="320">
        <f t="shared" si="141"/>
        <v>-23.24</v>
      </c>
      <c r="T363" s="320">
        <f t="shared" si="141"/>
        <v>-23.24</v>
      </c>
      <c r="U363" s="320">
        <f t="shared" si="141"/>
        <v>-23.24</v>
      </c>
      <c r="V363" s="320">
        <f t="shared" si="141"/>
        <v>-23.24</v>
      </c>
      <c r="W363" s="320">
        <f t="shared" si="141"/>
        <v>-23.24</v>
      </c>
      <c r="X363" s="320">
        <f t="shared" si="141"/>
        <v>-23.24</v>
      </c>
      <c r="Y363" s="431">
        <f>Y362</f>
        <v>0</v>
      </c>
      <c r="Z363" s="431">
        <f>Z362</f>
        <v>0</v>
      </c>
      <c r="AA363" s="431">
        <f t="shared" ref="AA363:AL363" si="142">AA362</f>
        <v>0.17</v>
      </c>
      <c r="AB363" s="431">
        <f t="shared" si="142"/>
        <v>0</v>
      </c>
      <c r="AC363" s="431">
        <f t="shared" si="142"/>
        <v>0</v>
      </c>
      <c r="AD363" s="431">
        <f t="shared" si="142"/>
        <v>0</v>
      </c>
      <c r="AE363" s="431">
        <f t="shared" si="142"/>
        <v>0</v>
      </c>
      <c r="AF363" s="431">
        <f t="shared" si="142"/>
        <v>0</v>
      </c>
      <c r="AG363" s="431">
        <f t="shared" si="142"/>
        <v>0</v>
      </c>
      <c r="AH363" s="431">
        <f t="shared" si="142"/>
        <v>0</v>
      </c>
      <c r="AI363" s="431">
        <f t="shared" si="142"/>
        <v>0</v>
      </c>
      <c r="AJ363" s="431">
        <f t="shared" si="142"/>
        <v>0</v>
      </c>
      <c r="AK363" s="431">
        <f t="shared" si="142"/>
        <v>0</v>
      </c>
      <c r="AL363" s="431">
        <f t="shared" si="142"/>
        <v>0</v>
      </c>
      <c r="AM363" s="331"/>
    </row>
    <row r="364" spans="1:39" ht="15.6" hidden="1"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hidden="1"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hidden="1"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43">AA365</f>
        <v>0</v>
      </c>
      <c r="AB366" s="431">
        <f t="shared" si="143"/>
        <v>0</v>
      </c>
      <c r="AC366" s="431">
        <f t="shared" si="143"/>
        <v>0</v>
      </c>
      <c r="AD366" s="431">
        <f t="shared" si="143"/>
        <v>0</v>
      </c>
      <c r="AE366" s="431">
        <f t="shared" si="143"/>
        <v>0</v>
      </c>
      <c r="AF366" s="431">
        <f t="shared" si="143"/>
        <v>0</v>
      </c>
      <c r="AG366" s="431">
        <f t="shared" si="143"/>
        <v>0</v>
      </c>
      <c r="AH366" s="431">
        <f t="shared" si="143"/>
        <v>0</v>
      </c>
      <c r="AI366" s="431">
        <f t="shared" si="143"/>
        <v>0</v>
      </c>
      <c r="AJ366" s="431">
        <f t="shared" si="143"/>
        <v>0</v>
      </c>
      <c r="AK366" s="431">
        <f t="shared" si="143"/>
        <v>0</v>
      </c>
      <c r="AL366" s="431">
        <f t="shared" si="143"/>
        <v>0</v>
      </c>
      <c r="AM366" s="322"/>
    </row>
    <row r="367" spans="1:39" ht="15" hidden="1"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hidden="1"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hidden="1"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44">Z368</f>
        <v>0</v>
      </c>
      <c r="AA369" s="431">
        <f t="shared" si="144"/>
        <v>0</v>
      </c>
      <c r="AB369" s="431">
        <f t="shared" si="144"/>
        <v>0</v>
      </c>
      <c r="AC369" s="431">
        <f t="shared" si="144"/>
        <v>0</v>
      </c>
      <c r="AD369" s="431">
        <f t="shared" si="144"/>
        <v>0</v>
      </c>
      <c r="AE369" s="431">
        <f t="shared" si="144"/>
        <v>0</v>
      </c>
      <c r="AF369" s="431">
        <f t="shared" si="144"/>
        <v>0</v>
      </c>
      <c r="AG369" s="431">
        <f t="shared" si="144"/>
        <v>0</v>
      </c>
      <c r="AH369" s="431">
        <f t="shared" si="144"/>
        <v>0</v>
      </c>
      <c r="AI369" s="431">
        <f t="shared" si="144"/>
        <v>0</v>
      </c>
      <c r="AJ369" s="431">
        <f t="shared" si="144"/>
        <v>0</v>
      </c>
      <c r="AK369" s="431">
        <f t="shared" si="144"/>
        <v>0</v>
      </c>
      <c r="AL369" s="431">
        <f t="shared" si="144"/>
        <v>0</v>
      </c>
      <c r="AM369" s="322"/>
    </row>
    <row r="370" spans="1:39" ht="15" hidden="1"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hidden="1"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hidden="1"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45">Z371</f>
        <v>0</v>
      </c>
      <c r="AA372" s="431">
        <f t="shared" si="145"/>
        <v>0</v>
      </c>
      <c r="AB372" s="431">
        <f t="shared" si="145"/>
        <v>0</v>
      </c>
      <c r="AC372" s="431">
        <f t="shared" si="145"/>
        <v>0</v>
      </c>
      <c r="AD372" s="431">
        <f t="shared" si="145"/>
        <v>0</v>
      </c>
      <c r="AE372" s="431">
        <f t="shared" si="145"/>
        <v>0</v>
      </c>
      <c r="AF372" s="431">
        <f t="shared" si="145"/>
        <v>0</v>
      </c>
      <c r="AG372" s="431">
        <f t="shared" si="145"/>
        <v>0</v>
      </c>
      <c r="AH372" s="431">
        <f t="shared" si="145"/>
        <v>0</v>
      </c>
      <c r="AI372" s="431">
        <f t="shared" si="145"/>
        <v>0</v>
      </c>
      <c r="AJ372" s="431">
        <f t="shared" si="145"/>
        <v>0</v>
      </c>
      <c r="AK372" s="431">
        <f t="shared" si="145"/>
        <v>0</v>
      </c>
      <c r="AL372" s="431">
        <f t="shared" si="145"/>
        <v>0</v>
      </c>
      <c r="AM372" s="322"/>
    </row>
    <row r="373" spans="1:39" s="308" customFormat="1" ht="15" hidden="1"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6" hidden="1"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hidden="1"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hidden="1" outlineLevel="1">
      <c r="A376" s="538"/>
      <c r="B376" s="349" t="s">
        <v>252</v>
      </c>
      <c r="C376" s="316" t="s">
        <v>164</v>
      </c>
      <c r="D376" s="320">
        <v>884779.7</v>
      </c>
      <c r="E376" s="320">
        <f>D376*(E375/D375)</f>
        <v>884779.7</v>
      </c>
      <c r="F376" s="320">
        <f t="shared" ref="F376:I376" si="146">E376*(F375/E375)</f>
        <v>884779.7</v>
      </c>
      <c r="G376" s="320">
        <f t="shared" si="146"/>
        <v>884779.7</v>
      </c>
      <c r="H376" s="320">
        <f t="shared" si="146"/>
        <v>884779.7</v>
      </c>
      <c r="I376" s="320">
        <f t="shared" si="146"/>
        <v>0</v>
      </c>
      <c r="J376" s="320"/>
      <c r="K376" s="320"/>
      <c r="L376" s="320"/>
      <c r="M376" s="320"/>
      <c r="N376" s="320">
        <v>12</v>
      </c>
      <c r="O376" s="320">
        <v>71.622</v>
      </c>
      <c r="P376" s="320">
        <f>O376*(P375/O375)</f>
        <v>71.622</v>
      </c>
      <c r="Q376" s="320">
        <f t="shared" ref="Q376:T376" si="147">P376*(Q375/P375)</f>
        <v>71.622</v>
      </c>
      <c r="R376" s="320">
        <f t="shared" si="147"/>
        <v>71.622</v>
      </c>
      <c r="S376" s="320">
        <f t="shared" si="147"/>
        <v>71.622</v>
      </c>
      <c r="T376" s="320">
        <f t="shared" si="147"/>
        <v>0</v>
      </c>
      <c r="U376" s="320"/>
      <c r="V376" s="320"/>
      <c r="W376" s="320"/>
      <c r="X376" s="320"/>
      <c r="Y376" s="431">
        <f>Y375</f>
        <v>0</v>
      </c>
      <c r="Z376" s="431">
        <f t="shared" ref="Z376:AL376" si="148">Z375</f>
        <v>0</v>
      </c>
      <c r="AA376" s="431">
        <f t="shared" si="148"/>
        <v>1</v>
      </c>
      <c r="AB376" s="431">
        <f t="shared" si="148"/>
        <v>0</v>
      </c>
      <c r="AC376" s="431">
        <f t="shared" si="148"/>
        <v>0</v>
      </c>
      <c r="AD376" s="431">
        <f t="shared" si="148"/>
        <v>0</v>
      </c>
      <c r="AE376" s="431">
        <f t="shared" si="148"/>
        <v>0</v>
      </c>
      <c r="AF376" s="431">
        <f t="shared" si="148"/>
        <v>0</v>
      </c>
      <c r="AG376" s="431">
        <f t="shared" si="148"/>
        <v>0</v>
      </c>
      <c r="AH376" s="431">
        <f t="shared" si="148"/>
        <v>0</v>
      </c>
      <c r="AI376" s="431">
        <f t="shared" si="148"/>
        <v>0</v>
      </c>
      <c r="AJ376" s="431">
        <f t="shared" si="148"/>
        <v>0</v>
      </c>
      <c r="AK376" s="431">
        <f t="shared" si="148"/>
        <v>0</v>
      </c>
      <c r="AL376" s="431">
        <f t="shared" si="148"/>
        <v>0</v>
      </c>
      <c r="AM376" s="322"/>
    </row>
    <row r="377" spans="1:39" s="308" customFormat="1" ht="15" hidden="1"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hidden="1"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hidden="1"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49">Z378</f>
        <v>0</v>
      </c>
      <c r="AA379" s="431">
        <f t="shared" si="149"/>
        <v>0</v>
      </c>
      <c r="AB379" s="431">
        <f t="shared" si="149"/>
        <v>0</v>
      </c>
      <c r="AC379" s="431">
        <f t="shared" si="149"/>
        <v>0</v>
      </c>
      <c r="AD379" s="431">
        <f t="shared" si="149"/>
        <v>0</v>
      </c>
      <c r="AE379" s="431">
        <f t="shared" si="149"/>
        <v>0</v>
      </c>
      <c r="AF379" s="431">
        <f t="shared" si="149"/>
        <v>0</v>
      </c>
      <c r="AG379" s="431">
        <f t="shared" si="149"/>
        <v>0</v>
      </c>
      <c r="AH379" s="431">
        <f t="shared" si="149"/>
        <v>0</v>
      </c>
      <c r="AI379" s="431">
        <f t="shared" si="149"/>
        <v>0</v>
      </c>
      <c r="AJ379" s="431">
        <f t="shared" si="149"/>
        <v>0</v>
      </c>
      <c r="AK379" s="431">
        <f t="shared" si="149"/>
        <v>0</v>
      </c>
      <c r="AL379" s="431">
        <f t="shared" si="149"/>
        <v>0</v>
      </c>
      <c r="AM379" s="322"/>
    </row>
    <row r="380" spans="1:39" s="308" customFormat="1" ht="15" hidden="1"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hidden="1"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hidden="1"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50">Z381</f>
        <v>0</v>
      </c>
      <c r="AA382" s="431">
        <f t="shared" si="150"/>
        <v>0</v>
      </c>
      <c r="AB382" s="431">
        <f t="shared" si="150"/>
        <v>0</v>
      </c>
      <c r="AC382" s="431">
        <f t="shared" si="150"/>
        <v>0</v>
      </c>
      <c r="AD382" s="431">
        <f t="shared" si="150"/>
        <v>0</v>
      </c>
      <c r="AE382" s="431">
        <f t="shared" si="150"/>
        <v>0</v>
      </c>
      <c r="AF382" s="431">
        <f t="shared" si="150"/>
        <v>0</v>
      </c>
      <c r="AG382" s="431">
        <f t="shared" si="150"/>
        <v>0</v>
      </c>
      <c r="AH382" s="431">
        <f t="shared" si="150"/>
        <v>0</v>
      </c>
      <c r="AI382" s="431">
        <f t="shared" si="150"/>
        <v>0</v>
      </c>
      <c r="AJ382" s="431">
        <f t="shared" si="150"/>
        <v>0</v>
      </c>
      <c r="AK382" s="431">
        <f t="shared" si="150"/>
        <v>0</v>
      </c>
      <c r="AL382" s="431">
        <f>AL381</f>
        <v>0</v>
      </c>
      <c r="AM382" s="322"/>
    </row>
    <row r="383" spans="1:39" ht="15" hidden="1"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6" collapsed="1">
      <c r="B384" s="352" t="s">
        <v>253</v>
      </c>
      <c r="C384" s="354"/>
      <c r="D384" s="354">
        <f>SUM(D279:D382)</f>
        <v>58023336.722713992</v>
      </c>
      <c r="E384" s="354"/>
      <c r="F384" s="354"/>
      <c r="G384" s="354"/>
      <c r="H384" s="354"/>
      <c r="I384" s="354"/>
      <c r="J384" s="354"/>
      <c r="K384" s="354"/>
      <c r="L384" s="354"/>
      <c r="M384" s="354"/>
      <c r="N384" s="354"/>
      <c r="O384" s="354">
        <f>SUM(O279:O382)</f>
        <v>32555.017</v>
      </c>
      <c r="P384" s="354"/>
      <c r="Q384" s="354"/>
      <c r="R384" s="354"/>
      <c r="S384" s="354"/>
      <c r="T384" s="354"/>
      <c r="U384" s="354"/>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6">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61" customFormat="1" ht="15">
      <c r="A386" s="756"/>
      <c r="B386" s="757" t="s">
        <v>742</v>
      </c>
      <c r="C386" s="758"/>
      <c r="D386" s="759">
        <v>-1.2207139898091555</v>
      </c>
      <c r="E386" s="758"/>
      <c r="F386" s="758"/>
      <c r="G386" s="758"/>
      <c r="H386" s="758"/>
      <c r="I386" s="758"/>
      <c r="J386" s="758"/>
      <c r="K386" s="758"/>
      <c r="L386" s="758"/>
      <c r="M386" s="758"/>
      <c r="N386" s="758"/>
      <c r="O386" s="315">
        <v>0.37100000000009459</v>
      </c>
      <c r="P386" s="758"/>
      <c r="Q386" s="758"/>
      <c r="R386" s="758"/>
      <c r="S386" s="760"/>
      <c r="T386" s="760"/>
      <c r="U386" s="760"/>
      <c r="V386" s="760"/>
      <c r="W386" s="758"/>
      <c r="X386" s="758"/>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0</v>
      </c>
      <c r="Z387" s="365">
        <f>HLOOKUP(Z$20,'3.  Distribution Rates'!$C$122:$P$133,5,FALSE)</f>
        <v>0</v>
      </c>
      <c r="AA387" s="365">
        <f>HLOOKUP(AA$20,'3.  Distribution Rates'!$C$122:$P$133,5,FALSE)</f>
        <v>0</v>
      </c>
      <c r="AB387" s="365">
        <f>HLOOKUP(AB$20,'3.  Distribution Rates'!$C$122:$P$133,5,FALSE)</f>
        <v>0</v>
      </c>
      <c r="AC387" s="365">
        <f>HLOOKUP(AC$20,'3.  Distribution Rates'!$C$122:$P$133,5,FALSE)</f>
        <v>0</v>
      </c>
      <c r="AD387" s="365">
        <f>HLOOKUP(AD$20,'3.  Distribution Rates'!$C$122:$P$133,5,FALSE)</f>
        <v>0</v>
      </c>
      <c r="AE387" s="365">
        <f>HLOOKUP(AE$20,'3.  Distribution Rates'!$C$122:$P$133,5,FALSE)</f>
        <v>0</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51">Y136*Y387</f>
        <v>0</v>
      </c>
      <c r="Z388" s="402">
        <f t="shared" si="151"/>
        <v>0</v>
      </c>
      <c r="AA388" s="402">
        <f t="shared" si="151"/>
        <v>0</v>
      </c>
      <c r="AB388" s="402">
        <f t="shared" si="151"/>
        <v>0</v>
      </c>
      <c r="AC388" s="402">
        <f t="shared" si="151"/>
        <v>0</v>
      </c>
      <c r="AD388" s="402">
        <f t="shared" si="151"/>
        <v>0</v>
      </c>
      <c r="AE388" s="402">
        <f t="shared" si="151"/>
        <v>0</v>
      </c>
      <c r="AF388" s="402">
        <f t="shared" si="151"/>
        <v>0</v>
      </c>
      <c r="AG388" s="402">
        <f t="shared" si="151"/>
        <v>0</v>
      </c>
      <c r="AH388" s="402">
        <f t="shared" si="151"/>
        <v>0</v>
      </c>
      <c r="AI388" s="402">
        <f t="shared" si="151"/>
        <v>0</v>
      </c>
      <c r="AJ388" s="402">
        <f t="shared" si="151"/>
        <v>0</v>
      </c>
      <c r="AK388" s="402">
        <f t="shared" si="151"/>
        <v>0</v>
      </c>
      <c r="AL388" s="402">
        <f t="shared" si="151"/>
        <v>0</v>
      </c>
      <c r="AM388" s="401">
        <f>SUM(Y388:AL388)</f>
        <v>0</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52">Y265*Y387</f>
        <v>0</v>
      </c>
      <c r="Z389" s="402">
        <f t="shared" si="152"/>
        <v>0</v>
      </c>
      <c r="AA389" s="402">
        <f t="shared" si="152"/>
        <v>0</v>
      </c>
      <c r="AB389" s="402">
        <f t="shared" si="152"/>
        <v>0</v>
      </c>
      <c r="AC389" s="402">
        <f t="shared" si="152"/>
        <v>0</v>
      </c>
      <c r="AD389" s="402">
        <f t="shared" si="152"/>
        <v>0</v>
      </c>
      <c r="AE389" s="402">
        <f t="shared" si="152"/>
        <v>0</v>
      </c>
      <c r="AF389" s="402">
        <f t="shared" si="152"/>
        <v>0</v>
      </c>
      <c r="AG389" s="402">
        <f t="shared" si="152"/>
        <v>0</v>
      </c>
      <c r="AH389" s="402">
        <f t="shared" si="152"/>
        <v>0</v>
      </c>
      <c r="AI389" s="402">
        <f t="shared" si="152"/>
        <v>0</v>
      </c>
      <c r="AJ389" s="402">
        <f t="shared" si="152"/>
        <v>0</v>
      </c>
      <c r="AK389" s="402">
        <f t="shared" si="152"/>
        <v>0</v>
      </c>
      <c r="AL389" s="402">
        <f t="shared" si="152"/>
        <v>0</v>
      </c>
      <c r="AM389" s="401">
        <f t="shared" ref="AM389:AM390" si="153">SUM(Y389:AL389)</f>
        <v>0</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0</v>
      </c>
      <c r="Z390" s="402">
        <f t="shared" ref="Z390:AE390" si="154">Z384*Z387</f>
        <v>0</v>
      </c>
      <c r="AA390" s="402">
        <f t="shared" si="154"/>
        <v>0</v>
      </c>
      <c r="AB390" s="402">
        <f t="shared" si="154"/>
        <v>0</v>
      </c>
      <c r="AC390" s="402">
        <f t="shared" si="154"/>
        <v>0</v>
      </c>
      <c r="AD390" s="402">
        <f t="shared" si="154"/>
        <v>0</v>
      </c>
      <c r="AE390" s="402">
        <f t="shared" si="154"/>
        <v>0</v>
      </c>
      <c r="AF390" s="402">
        <f t="shared" ref="AF390:AL390" si="155">AF384*AF387</f>
        <v>0</v>
      </c>
      <c r="AG390" s="402">
        <f t="shared" si="155"/>
        <v>0</v>
      </c>
      <c r="AH390" s="402">
        <f t="shared" si="155"/>
        <v>0</v>
      </c>
      <c r="AI390" s="402">
        <f t="shared" si="155"/>
        <v>0</v>
      </c>
      <c r="AJ390" s="402">
        <f t="shared" si="155"/>
        <v>0</v>
      </c>
      <c r="AK390" s="402">
        <f t="shared" si="155"/>
        <v>0</v>
      </c>
      <c r="AL390" s="402">
        <f t="shared" si="155"/>
        <v>0</v>
      </c>
      <c r="AM390" s="401">
        <f t="shared" si="153"/>
        <v>0</v>
      </c>
    </row>
    <row r="391" spans="1:41" s="404" customFormat="1" ht="15.6">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0</v>
      </c>
      <c r="Z391" s="370">
        <f>SUM(Z388:Z390)</f>
        <v>0</v>
      </c>
      <c r="AA391" s="370">
        <f t="shared" ref="AA391:AE391" si="156">SUM(AA388:AA390)</f>
        <v>0</v>
      </c>
      <c r="AB391" s="370">
        <f t="shared" si="156"/>
        <v>0</v>
      </c>
      <c r="AC391" s="370">
        <f t="shared" si="156"/>
        <v>0</v>
      </c>
      <c r="AD391" s="370">
        <f t="shared" si="156"/>
        <v>0</v>
      </c>
      <c r="AE391" s="370">
        <f t="shared" si="156"/>
        <v>0</v>
      </c>
      <c r="AF391" s="370">
        <f t="shared" ref="AF391:AL391" si="157">SUM(AF388:AF390)</f>
        <v>0</v>
      </c>
      <c r="AG391" s="370">
        <f t="shared" si="157"/>
        <v>0</v>
      </c>
      <c r="AH391" s="370">
        <f t="shared" si="157"/>
        <v>0</v>
      </c>
      <c r="AI391" s="370">
        <f t="shared" si="157"/>
        <v>0</v>
      </c>
      <c r="AJ391" s="370">
        <f t="shared" si="157"/>
        <v>0</v>
      </c>
      <c r="AK391" s="370">
        <f t="shared" si="157"/>
        <v>0</v>
      </c>
      <c r="AL391" s="370">
        <f t="shared" si="157"/>
        <v>0</v>
      </c>
      <c r="AM391" s="372">
        <f>SUM(AM388:AM390)</f>
        <v>0</v>
      </c>
    </row>
    <row r="392" spans="1:41" s="404" customFormat="1" ht="15.6">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0</v>
      </c>
      <c r="Z392" s="371">
        <f t="shared" ref="Z392:AE392" si="158">Z385*Z387</f>
        <v>0</v>
      </c>
      <c r="AA392" s="371">
        <f t="shared" si="158"/>
        <v>0</v>
      </c>
      <c r="AB392" s="371">
        <f t="shared" si="158"/>
        <v>0</v>
      </c>
      <c r="AC392" s="371">
        <f t="shared" si="158"/>
        <v>0</v>
      </c>
      <c r="AD392" s="371">
        <f t="shared" si="158"/>
        <v>0</v>
      </c>
      <c r="AE392" s="371">
        <f t="shared" si="158"/>
        <v>0</v>
      </c>
      <c r="AF392" s="371">
        <f t="shared" ref="AF392:AL392" si="159">AF385*AF387</f>
        <v>0</v>
      </c>
      <c r="AG392" s="371">
        <f t="shared" si="159"/>
        <v>0</v>
      </c>
      <c r="AH392" s="371">
        <f t="shared" si="159"/>
        <v>0</v>
      </c>
      <c r="AI392" s="371">
        <f t="shared" si="159"/>
        <v>0</v>
      </c>
      <c r="AJ392" s="371">
        <f t="shared" si="159"/>
        <v>0</v>
      </c>
      <c r="AK392" s="371">
        <f t="shared" si="159"/>
        <v>0</v>
      </c>
      <c r="AL392" s="371">
        <f t="shared" si="159"/>
        <v>0</v>
      </c>
      <c r="AM392" s="372">
        <f>SUM(Y392:AL392)</f>
        <v>0</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0</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5752822.1570576895</v>
      </c>
      <c r="Z395" s="316">
        <f>SUMPRODUCT(E279:E382,Z279:Z382)</f>
        <v>9494260.1183987111</v>
      </c>
      <c r="AA395" s="316">
        <f>IF(AA278="kW",SUMPRODUCT(N279:N382,P279:P382,AA279:AA382),SUMPRODUCT(E279:E382,AA279:AA382))</f>
        <v>86245.757401589071</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5661201.5908975834</v>
      </c>
      <c r="Z396" s="316">
        <f>SUMPRODUCT(F279:F382,Z279:Z382)</f>
        <v>9046628.0035732612</v>
      </c>
      <c r="AA396" s="316">
        <f>IF(AA278="kW",SUMPRODUCT(N279:N382,Q279:Q382,AA279:AA382),SUMPRODUCT(F279:F382,AA279:AA382))</f>
        <v>86114.211611656327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5273109.7876477558</v>
      </c>
      <c r="Z397" s="316">
        <f>SUMPRODUCT(G279:G382,Z279:Z382)</f>
        <v>7579946.7152719572</v>
      </c>
      <c r="AA397" s="316">
        <f>IF(AA278="kW",SUMPRODUCT(N279:N382,R279:R382,AA279:AA382),SUMPRODUCT(G279:G382,AA279:AA382))</f>
        <v>85427.97472656428</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5035851.6002914533</v>
      </c>
      <c r="Z398" s="316">
        <f>SUMPRODUCT(H279:H382,Z279:Z382)</f>
        <v>4208328.7205100423</v>
      </c>
      <c r="AA398" s="316">
        <f>IF(AA278="kW",SUMPRODUCT(N279:N382,S279:S382,AA279:AA382),SUMPRODUCT(H279:H382,AA279:AA382))</f>
        <v>79789.479150187166</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4789814.2678665873</v>
      </c>
      <c r="Z399" s="316">
        <f>SUMPRODUCT(I279:I382,Z279:Z382)</f>
        <v>4170654.3550491496</v>
      </c>
      <c r="AA399" s="316">
        <f>IF(AA278="kW",SUMPRODUCT(N279:N382,T279:T382,AA279:AA382),SUMPRODUCT(I279:I382,AA279:AA382))</f>
        <v>77525.249078835826</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4758128.720529018</v>
      </c>
      <c r="Z400" s="316">
        <f>SUMPRODUCT(J279:J382,Z279:Z382)</f>
        <v>4170654.3550491496</v>
      </c>
      <c r="AA400" s="316">
        <f>IF(AA278="kW",SUMPRODUCT(N279:N382,U279:U382,AA279:AA382),SUMPRODUCT(J279:J382,AA279:AA382))</f>
        <v>77525.249078835826</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4745439.4267485319</v>
      </c>
      <c r="Z401" s="351">
        <f>SUMPRODUCT(K279:K382,Z279:Z382)</f>
        <v>4155186.6829275708</v>
      </c>
      <c r="AA401" s="351">
        <f>IF(AA278="kW",SUMPRODUCT(N279:N382,V279:V382,AA279:AA382),SUMPRODUCT(K279:K382,AA279:AA382))</f>
        <v>77503.338629475795</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6">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1220" t="s">
        <v>213</v>
      </c>
      <c r="C405" s="1222" t="s">
        <v>33</v>
      </c>
      <c r="D405" s="309" t="s">
        <v>427</v>
      </c>
      <c r="E405" s="1224" t="s">
        <v>211</v>
      </c>
      <c r="F405" s="1225"/>
      <c r="G405" s="1225"/>
      <c r="H405" s="1225"/>
      <c r="I405" s="1225"/>
      <c r="J405" s="1225"/>
      <c r="K405" s="1225"/>
      <c r="L405" s="1225"/>
      <c r="M405" s="1226"/>
      <c r="N405" s="1227" t="s">
        <v>215</v>
      </c>
      <c r="O405" s="309" t="s">
        <v>428</v>
      </c>
      <c r="P405" s="1224" t="s">
        <v>214</v>
      </c>
      <c r="Q405" s="1225"/>
      <c r="R405" s="1225"/>
      <c r="S405" s="1225"/>
      <c r="T405" s="1225"/>
      <c r="U405" s="1225"/>
      <c r="V405" s="1225"/>
      <c r="W405" s="1225"/>
      <c r="X405" s="1226"/>
      <c r="Y405" s="1217" t="s">
        <v>246</v>
      </c>
      <c r="Z405" s="1218"/>
      <c r="AA405" s="1218"/>
      <c r="AB405" s="1218"/>
      <c r="AC405" s="1218"/>
      <c r="AD405" s="1218"/>
      <c r="AE405" s="1218"/>
      <c r="AF405" s="1218"/>
      <c r="AG405" s="1218"/>
      <c r="AH405" s="1218"/>
      <c r="AI405" s="1218"/>
      <c r="AJ405" s="1218"/>
      <c r="AK405" s="1218"/>
      <c r="AL405" s="1218"/>
      <c r="AM405" s="1219"/>
    </row>
    <row r="406" spans="1:40" ht="45.75" customHeight="1">
      <c r="B406" s="1221"/>
      <c r="C406" s="1223"/>
      <c r="D406" s="310">
        <v>2014</v>
      </c>
      <c r="E406" s="310">
        <v>2015</v>
      </c>
      <c r="F406" s="310">
        <v>2016</v>
      </c>
      <c r="G406" s="310">
        <v>2017</v>
      </c>
      <c r="H406" s="310">
        <v>2018</v>
      </c>
      <c r="I406" s="310">
        <v>2019</v>
      </c>
      <c r="J406" s="310">
        <v>2020</v>
      </c>
      <c r="K406" s="310">
        <v>2021</v>
      </c>
      <c r="L406" s="310">
        <v>2022</v>
      </c>
      <c r="M406" s="310">
        <v>2023</v>
      </c>
      <c r="N406" s="1228"/>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hidden="1" outlineLevel="1">
      <c r="A408" s="538">
        <v>1</v>
      </c>
      <c r="B408" s="319" t="s">
        <v>1</v>
      </c>
      <c r="C408" s="316" t="s">
        <v>25</v>
      </c>
      <c r="D408" s="320">
        <v>434260.22099999996</v>
      </c>
      <c r="E408" s="320">
        <f>'7-d.  2014'!BA24+'7-d.  2014'!BA25</f>
        <v>433855.35548066057</v>
      </c>
      <c r="F408" s="320">
        <f>'7-d.  2014'!BB24+'7-d.  2014'!BB25</f>
        <v>433855.35548066057</v>
      </c>
      <c r="G408" s="320">
        <f>'7-d.  2014'!BC24+'7-d.  2014'!BC25</f>
        <v>433124.49915440695</v>
      </c>
      <c r="H408" s="320">
        <f>'7-d.  2014'!BD24+'7-d.  2014'!BD25</f>
        <v>218798.02783442705</v>
      </c>
      <c r="I408" s="320">
        <f>'7-d.  2014'!BE24+'7-d.  2014'!BE25</f>
        <v>0</v>
      </c>
      <c r="J408" s="320">
        <f>'7-d.  2014'!BF24+'7-d.  2014'!BF25</f>
        <v>0</v>
      </c>
      <c r="K408" s="320">
        <f>'7-d.  2014'!BG24+'7-d.  2014'!BG25</f>
        <v>0</v>
      </c>
      <c r="L408" s="320">
        <f>'7-d.  2014'!BH24+'7-d.  2014'!BH25</f>
        <v>0</v>
      </c>
      <c r="M408" s="320">
        <f>'7-d.  2014'!BI24+'7-d.  2014'!BI25</f>
        <v>0</v>
      </c>
      <c r="N408" s="316"/>
      <c r="O408" s="320">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hidden="1"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60">AA408</f>
        <v>0</v>
      </c>
      <c r="AB409" s="431">
        <f t="shared" si="160"/>
        <v>0</v>
      </c>
      <c r="AC409" s="431">
        <f t="shared" si="160"/>
        <v>0</v>
      </c>
      <c r="AD409" s="431">
        <f t="shared" si="160"/>
        <v>0</v>
      </c>
      <c r="AE409" s="431">
        <f t="shared" si="160"/>
        <v>0</v>
      </c>
      <c r="AF409" s="431">
        <f t="shared" si="160"/>
        <v>0</v>
      </c>
      <c r="AG409" s="431">
        <f t="shared" si="160"/>
        <v>0</v>
      </c>
      <c r="AH409" s="431">
        <f t="shared" si="160"/>
        <v>0</v>
      </c>
      <c r="AI409" s="431">
        <f t="shared" si="160"/>
        <v>0</v>
      </c>
      <c r="AJ409" s="431">
        <f t="shared" si="160"/>
        <v>0</v>
      </c>
      <c r="AK409" s="431">
        <f t="shared" si="160"/>
        <v>0</v>
      </c>
      <c r="AL409" s="431">
        <f t="shared" si="160"/>
        <v>0</v>
      </c>
      <c r="AM409" s="322"/>
    </row>
    <row r="410" spans="1:40" ht="15.6" hidden="1"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hidden="1"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hidden="1"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61">AA411</f>
        <v>0</v>
      </c>
      <c r="AB412" s="431">
        <f t="shared" si="161"/>
        <v>0</v>
      </c>
      <c r="AC412" s="431">
        <f t="shared" si="161"/>
        <v>0</v>
      </c>
      <c r="AD412" s="431">
        <f t="shared" si="161"/>
        <v>0</v>
      </c>
      <c r="AE412" s="431">
        <f t="shared" si="161"/>
        <v>0</v>
      </c>
      <c r="AF412" s="431">
        <f t="shared" si="161"/>
        <v>0</v>
      </c>
      <c r="AG412" s="431">
        <f t="shared" si="161"/>
        <v>0</v>
      </c>
      <c r="AH412" s="431">
        <f t="shared" si="161"/>
        <v>0</v>
      </c>
      <c r="AI412" s="431">
        <f t="shared" si="161"/>
        <v>0</v>
      </c>
      <c r="AJ412" s="431">
        <f t="shared" si="161"/>
        <v>0</v>
      </c>
      <c r="AK412" s="431">
        <f t="shared" si="161"/>
        <v>0</v>
      </c>
      <c r="AL412" s="431">
        <f t="shared" si="161"/>
        <v>0</v>
      </c>
      <c r="AM412" s="322"/>
    </row>
    <row r="413" spans="1:40" ht="15.6" hidden="1"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hidden="1" outlineLevel="1">
      <c r="A414" s="538">
        <v>3</v>
      </c>
      <c r="B414" s="319" t="s">
        <v>3</v>
      </c>
      <c r="C414" s="316" t="s">
        <v>25</v>
      </c>
      <c r="D414" s="320">
        <v>3877284.5189999999</v>
      </c>
      <c r="E414" s="320">
        <f>'7-d.  2014'!BA26</f>
        <v>3877284.5183491469</v>
      </c>
      <c r="F414" s="320">
        <f>'7-d.  2014'!BB26</f>
        <v>3877284.5183491469</v>
      </c>
      <c r="G414" s="320">
        <f>'7-d.  2014'!BC26</f>
        <v>3877284.5183491469</v>
      </c>
      <c r="H414" s="320">
        <f>'7-d.  2014'!BD26</f>
        <v>3877284.5183491469</v>
      </c>
      <c r="I414" s="320">
        <f>'7-d.  2014'!BE26</f>
        <v>3877284.5183491469</v>
      </c>
      <c r="J414" s="320">
        <f>'7-d.  2014'!BF26</f>
        <v>3877284.5183491469</v>
      </c>
      <c r="K414" s="320">
        <f>'7-d.  2014'!BG26</f>
        <v>3877284.5183491469</v>
      </c>
      <c r="L414" s="320">
        <f>'7-d.  2014'!BH26</f>
        <v>3877284.5183491469</v>
      </c>
      <c r="M414" s="320">
        <f>'7-d.  2014'!BI26</f>
        <v>3877284.5183491469</v>
      </c>
      <c r="N414" s="316"/>
      <c r="O414" s="320">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hidden="1"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62">AA414</f>
        <v>0</v>
      </c>
      <c r="AB415" s="431">
        <f t="shared" si="162"/>
        <v>0</v>
      </c>
      <c r="AC415" s="431">
        <f t="shared" si="162"/>
        <v>0</v>
      </c>
      <c r="AD415" s="431">
        <f t="shared" si="162"/>
        <v>0</v>
      </c>
      <c r="AE415" s="431">
        <f t="shared" si="162"/>
        <v>0</v>
      </c>
      <c r="AF415" s="431">
        <f t="shared" si="162"/>
        <v>0</v>
      </c>
      <c r="AG415" s="431">
        <f t="shared" si="162"/>
        <v>0</v>
      </c>
      <c r="AH415" s="431">
        <f t="shared" si="162"/>
        <v>0</v>
      </c>
      <c r="AI415" s="431">
        <f t="shared" si="162"/>
        <v>0</v>
      </c>
      <c r="AJ415" s="431">
        <f t="shared" si="162"/>
        <v>0</v>
      </c>
      <c r="AK415" s="431">
        <f t="shared" si="162"/>
        <v>0</v>
      </c>
      <c r="AL415" s="431">
        <f t="shared" si="162"/>
        <v>0</v>
      </c>
      <c r="AM415" s="322"/>
    </row>
    <row r="416" spans="1:40" ht="15" hidden="1"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hidden="1" outlineLevel="1">
      <c r="A417" s="538">
        <v>4</v>
      </c>
      <c r="B417" s="319" t="s">
        <v>4</v>
      </c>
      <c r="C417" s="316" t="s">
        <v>25</v>
      </c>
      <c r="D417" s="320">
        <v>10176482.447999999</v>
      </c>
      <c r="E417" s="320">
        <f>'7-d.  2014'!BA27+'7-d.  2014'!BA28</f>
        <v>8952293.7031585854</v>
      </c>
      <c r="F417" s="320">
        <f>'7-d.  2014'!BB27+'7-d.  2014'!BB28</f>
        <v>8312428.8554046843</v>
      </c>
      <c r="G417" s="320">
        <f>'7-d.  2014'!BC27+'7-d.  2014'!BC28</f>
        <v>8312428.8554046843</v>
      </c>
      <c r="H417" s="320">
        <f>'7-d.  2014'!BD27+'7-d.  2014'!BD28</f>
        <v>8312428.8554046843</v>
      </c>
      <c r="I417" s="320">
        <f>'7-d.  2014'!BE27+'7-d.  2014'!BE28</f>
        <v>8312428.8554046843</v>
      </c>
      <c r="J417" s="320">
        <f>'7-d.  2014'!BF27+'7-d.  2014'!BF28</f>
        <v>8312428.8554046843</v>
      </c>
      <c r="K417" s="320">
        <f>'7-d.  2014'!BG27+'7-d.  2014'!BG28</f>
        <v>8306344.2637298442</v>
      </c>
      <c r="L417" s="320">
        <f>'7-d.  2014'!BH27+'7-d.  2014'!BH28</f>
        <v>8306344.2637298442</v>
      </c>
      <c r="M417" s="320">
        <f>'7-d.  2014'!BI27+'7-d.  2014'!BI28</f>
        <v>7604973.8971913364</v>
      </c>
      <c r="N417" s="316"/>
      <c r="O417" s="320">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hidden="1"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63">AA417</f>
        <v>0</v>
      </c>
      <c r="AB418" s="431">
        <f t="shared" si="163"/>
        <v>0</v>
      </c>
      <c r="AC418" s="431">
        <f t="shared" si="163"/>
        <v>0</v>
      </c>
      <c r="AD418" s="431">
        <f t="shared" si="163"/>
        <v>0</v>
      </c>
      <c r="AE418" s="431">
        <f t="shared" si="163"/>
        <v>0</v>
      </c>
      <c r="AF418" s="431">
        <f t="shared" si="163"/>
        <v>0</v>
      </c>
      <c r="AG418" s="431">
        <f t="shared" si="163"/>
        <v>0</v>
      </c>
      <c r="AH418" s="431">
        <f t="shared" si="163"/>
        <v>0</v>
      </c>
      <c r="AI418" s="431">
        <f t="shared" si="163"/>
        <v>0</v>
      </c>
      <c r="AJ418" s="431">
        <f t="shared" si="163"/>
        <v>0</v>
      </c>
      <c r="AK418" s="431">
        <f t="shared" si="163"/>
        <v>0</v>
      </c>
      <c r="AL418" s="431">
        <f t="shared" si="163"/>
        <v>0</v>
      </c>
      <c r="AM418" s="322"/>
    </row>
    <row r="419" spans="1:39" ht="15" hidden="1"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hidden="1"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hidden="1"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64">AA420</f>
        <v>0</v>
      </c>
      <c r="AB421" s="431">
        <f t="shared" si="164"/>
        <v>0</v>
      </c>
      <c r="AC421" s="431">
        <f t="shared" si="164"/>
        <v>0</v>
      </c>
      <c r="AD421" s="431">
        <f t="shared" si="164"/>
        <v>0</v>
      </c>
      <c r="AE421" s="431">
        <f t="shared" si="164"/>
        <v>0</v>
      </c>
      <c r="AF421" s="431">
        <f t="shared" si="164"/>
        <v>0</v>
      </c>
      <c r="AG421" s="431">
        <f t="shared" si="164"/>
        <v>0</v>
      </c>
      <c r="AH421" s="431">
        <f t="shared" si="164"/>
        <v>0</v>
      </c>
      <c r="AI421" s="431">
        <f t="shared" si="164"/>
        <v>0</v>
      </c>
      <c r="AJ421" s="431">
        <f t="shared" si="164"/>
        <v>0</v>
      </c>
      <c r="AK421" s="431">
        <f t="shared" si="164"/>
        <v>0</v>
      </c>
      <c r="AL421" s="431">
        <f t="shared" si="164"/>
        <v>0</v>
      </c>
      <c r="AM421" s="322"/>
    </row>
    <row r="422" spans="1:39" ht="15" hidden="1"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hidden="1"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hidden="1"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65">AA423</f>
        <v>0</v>
      </c>
      <c r="AB424" s="431">
        <f t="shared" si="165"/>
        <v>0</v>
      </c>
      <c r="AC424" s="431">
        <f t="shared" si="165"/>
        <v>0</v>
      </c>
      <c r="AD424" s="431">
        <f t="shared" si="165"/>
        <v>0</v>
      </c>
      <c r="AE424" s="431">
        <f t="shared" si="165"/>
        <v>0</v>
      </c>
      <c r="AF424" s="431">
        <f t="shared" si="165"/>
        <v>0</v>
      </c>
      <c r="AG424" s="431">
        <f t="shared" si="165"/>
        <v>0</v>
      </c>
      <c r="AH424" s="431">
        <f t="shared" si="165"/>
        <v>0</v>
      </c>
      <c r="AI424" s="431">
        <f t="shared" si="165"/>
        <v>0</v>
      </c>
      <c r="AJ424" s="431">
        <f t="shared" si="165"/>
        <v>0</v>
      </c>
      <c r="AK424" s="431">
        <f t="shared" si="165"/>
        <v>0</v>
      </c>
      <c r="AL424" s="431">
        <f t="shared" si="165"/>
        <v>0</v>
      </c>
      <c r="AM424" s="322"/>
    </row>
    <row r="425" spans="1:39" ht="15" hidden="1"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hidden="1" outlineLevel="1">
      <c r="A426" s="538">
        <v>7</v>
      </c>
      <c r="B426" s="319" t="s">
        <v>42</v>
      </c>
      <c r="C426" s="316" t="s">
        <v>25</v>
      </c>
      <c r="D426" s="320">
        <v>1218.877</v>
      </c>
      <c r="E426" s="320"/>
      <c r="F426" s="320"/>
      <c r="G426" s="320"/>
      <c r="H426" s="320"/>
      <c r="I426" s="320"/>
      <c r="J426" s="320"/>
      <c r="K426" s="320"/>
      <c r="L426" s="320"/>
      <c r="M426" s="320"/>
      <c r="N426" s="316"/>
      <c r="O426" s="320">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hidden="1"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66">AA426</f>
        <v>0</v>
      </c>
      <c r="AB427" s="431">
        <f t="shared" si="166"/>
        <v>0</v>
      </c>
      <c r="AC427" s="431">
        <f t="shared" si="166"/>
        <v>0</v>
      </c>
      <c r="AD427" s="431">
        <f t="shared" si="166"/>
        <v>0</v>
      </c>
      <c r="AE427" s="431">
        <f t="shared" si="166"/>
        <v>0</v>
      </c>
      <c r="AF427" s="431">
        <f t="shared" si="166"/>
        <v>0</v>
      </c>
      <c r="AG427" s="431">
        <f t="shared" si="166"/>
        <v>0</v>
      </c>
      <c r="AH427" s="431">
        <f t="shared" si="166"/>
        <v>0</v>
      </c>
      <c r="AI427" s="431">
        <f t="shared" si="166"/>
        <v>0</v>
      </c>
      <c r="AJ427" s="431">
        <f t="shared" si="166"/>
        <v>0</v>
      </c>
      <c r="AK427" s="431">
        <f t="shared" si="166"/>
        <v>0</v>
      </c>
      <c r="AL427" s="431">
        <f t="shared" si="166"/>
        <v>0</v>
      </c>
      <c r="AM427" s="322"/>
    </row>
    <row r="428" spans="1:39" ht="15" hidden="1"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hidden="1"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hidden="1"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67">AA429</f>
        <v>0</v>
      </c>
      <c r="AB430" s="431">
        <f t="shared" si="167"/>
        <v>0</v>
      </c>
      <c r="AC430" s="431">
        <f t="shared" si="167"/>
        <v>0</v>
      </c>
      <c r="AD430" s="431">
        <f t="shared" si="167"/>
        <v>0</v>
      </c>
      <c r="AE430" s="431">
        <f t="shared" si="167"/>
        <v>0</v>
      </c>
      <c r="AF430" s="431">
        <f t="shared" si="167"/>
        <v>0</v>
      </c>
      <c r="AG430" s="431">
        <f t="shared" si="167"/>
        <v>0</v>
      </c>
      <c r="AH430" s="431">
        <f t="shared" si="167"/>
        <v>0</v>
      </c>
      <c r="AI430" s="431">
        <f t="shared" si="167"/>
        <v>0</v>
      </c>
      <c r="AJ430" s="431">
        <f t="shared" si="167"/>
        <v>0</v>
      </c>
      <c r="AK430" s="431">
        <f t="shared" si="167"/>
        <v>0</v>
      </c>
      <c r="AL430" s="431">
        <f t="shared" si="167"/>
        <v>0</v>
      </c>
      <c r="AM430" s="322"/>
    </row>
    <row r="431" spans="1:39" s="308" customFormat="1" ht="15" hidden="1"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hidden="1" outlineLevel="1">
      <c r="A432" s="538">
        <v>9</v>
      </c>
      <c r="B432" s="319" t="s">
        <v>7</v>
      </c>
      <c r="C432" s="316" t="s">
        <v>25</v>
      </c>
      <c r="D432" s="320">
        <v>150061.05600000001</v>
      </c>
      <c r="E432" s="320">
        <f>'7-d.  2014'!BA29</f>
        <v>150061.05603907959</v>
      </c>
      <c r="F432" s="320">
        <f>'7-d.  2014'!BB29</f>
        <v>150061.05603907959</v>
      </c>
      <c r="G432" s="320">
        <f>'7-d.  2014'!BC29</f>
        <v>150061.05603907959</v>
      </c>
      <c r="H432" s="320">
        <f>'7-d.  2014'!BD29</f>
        <v>150061.05603907959</v>
      </c>
      <c r="I432" s="320">
        <f>'7-d.  2014'!BE29</f>
        <v>150061.05603907959</v>
      </c>
      <c r="J432" s="320">
        <f>'7-d.  2014'!BF29</f>
        <v>150061.05603907959</v>
      </c>
      <c r="K432" s="320">
        <f>'7-d.  2014'!BG29</f>
        <v>150061.05603907959</v>
      </c>
      <c r="L432" s="320">
        <f>'7-d.  2014'!BH29</f>
        <v>150061.05603907959</v>
      </c>
      <c r="M432" s="320">
        <f>'7-d.  2014'!BI29</f>
        <v>150061.05603907959</v>
      </c>
      <c r="N432" s="316"/>
      <c r="O432" s="320">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hidden="1"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68">AA432</f>
        <v>0</v>
      </c>
      <c r="AB433" s="431">
        <f t="shared" si="168"/>
        <v>0</v>
      </c>
      <c r="AC433" s="431">
        <f t="shared" si="168"/>
        <v>0</v>
      </c>
      <c r="AD433" s="431">
        <f t="shared" si="168"/>
        <v>0</v>
      </c>
      <c r="AE433" s="431">
        <f t="shared" si="168"/>
        <v>0</v>
      </c>
      <c r="AF433" s="431">
        <f t="shared" si="168"/>
        <v>0</v>
      </c>
      <c r="AG433" s="431">
        <f t="shared" si="168"/>
        <v>0</v>
      </c>
      <c r="AH433" s="431">
        <f t="shared" si="168"/>
        <v>0</v>
      </c>
      <c r="AI433" s="431">
        <f t="shared" si="168"/>
        <v>0</v>
      </c>
      <c r="AJ433" s="431">
        <f t="shared" si="168"/>
        <v>0</v>
      </c>
      <c r="AK433" s="431">
        <f t="shared" si="168"/>
        <v>0</v>
      </c>
      <c r="AL433" s="431">
        <f t="shared" si="168"/>
        <v>0</v>
      </c>
      <c r="AM433" s="322"/>
    </row>
    <row r="434" spans="1:40" ht="15" hidden="1"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6" hidden="1"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hidden="1" outlineLevel="1">
      <c r="A436" s="538">
        <v>10</v>
      </c>
      <c r="B436" s="335" t="s">
        <v>22</v>
      </c>
      <c r="C436" s="316" t="s">
        <v>25</v>
      </c>
      <c r="D436" s="320">
        <v>43902734.590000004</v>
      </c>
      <c r="E436" s="320">
        <f>'7-d.  2014'!BA30</f>
        <v>43900082.198972739</v>
      </c>
      <c r="F436" s="320">
        <f>'7-d.  2014'!BB30</f>
        <v>43900082.198972739</v>
      </c>
      <c r="G436" s="320">
        <f>'7-d.  2014'!BC30</f>
        <v>43507635.427374281</v>
      </c>
      <c r="H436" s="320">
        <f>'7-d.  2014'!BD30</f>
        <v>43507635.427374281</v>
      </c>
      <c r="I436" s="320">
        <f>'7-d.  2014'!BE30</f>
        <v>43507635.427374281</v>
      </c>
      <c r="J436" s="320">
        <f>'7-d.  2014'!BF30</f>
        <v>41962233.701938249</v>
      </c>
      <c r="K436" s="320">
        <f>'7-d.  2014'!BG30</f>
        <v>41962233.701938249</v>
      </c>
      <c r="L436" s="320">
        <f>'7-d.  2014'!BH30</f>
        <v>40321102.050443739</v>
      </c>
      <c r="M436" s="320">
        <f>'7-d.  2014'!BI30</f>
        <v>33509881.417418275</v>
      </c>
      <c r="N436" s="320">
        <v>12</v>
      </c>
      <c r="O436" s="320">
        <v>6546.0029999999997</v>
      </c>
      <c r="P436" s="320">
        <f>'7-d.  2014'!V30</f>
        <v>6545.2415869042288</v>
      </c>
      <c r="Q436" s="320">
        <f>'7-d.  2014'!W30</f>
        <v>6545.2415869042288</v>
      </c>
      <c r="R436" s="320">
        <f>'7-d.  2014'!X30</f>
        <v>6433.7638180459526</v>
      </c>
      <c r="S436" s="320">
        <f>'7-d.  2014'!Y30</f>
        <v>6433.7638180459526</v>
      </c>
      <c r="T436" s="320">
        <f>'7-d.  2014'!Z30</f>
        <v>6433.7638180459526</v>
      </c>
      <c r="U436" s="320">
        <f>'7-d.  2014'!AA30</f>
        <v>6190.1881759207909</v>
      </c>
      <c r="V436" s="320">
        <f>'7-d.  2014'!AB30</f>
        <v>6190.1881759207909</v>
      </c>
      <c r="W436" s="320">
        <f>'7-d.  2014'!AC30</f>
        <v>5880.4653932920355</v>
      </c>
      <c r="X436" s="320">
        <f>'7-d.  2014'!AD30</f>
        <v>4848.5606842145971</v>
      </c>
      <c r="Y436" s="435"/>
      <c r="Z436" s="489">
        <v>0.14000000000000001</v>
      </c>
      <c r="AA436" s="489">
        <v>0.86</v>
      </c>
      <c r="AB436" s="489"/>
      <c r="AC436" s="435"/>
      <c r="AD436" s="435"/>
      <c r="AE436" s="435"/>
      <c r="AF436" s="435"/>
      <c r="AG436" s="435"/>
      <c r="AH436" s="435"/>
      <c r="AI436" s="435"/>
      <c r="AJ436" s="435"/>
      <c r="AK436" s="435"/>
      <c r="AL436" s="435"/>
      <c r="AM436" s="321">
        <f>SUM(Y436:AL436)</f>
        <v>1</v>
      </c>
      <c r="AN436" s="278">
        <f>D436*Z436</f>
        <v>6146382.842600001</v>
      </c>
    </row>
    <row r="437" spans="1:40" ht="15" hidden="1"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69">AA436</f>
        <v>0.86</v>
      </c>
      <c r="AB437" s="431">
        <f t="shared" si="169"/>
        <v>0</v>
      </c>
      <c r="AC437" s="431">
        <f t="shared" si="169"/>
        <v>0</v>
      </c>
      <c r="AD437" s="431">
        <f t="shared" si="169"/>
        <v>0</v>
      </c>
      <c r="AE437" s="431">
        <f t="shared" si="169"/>
        <v>0</v>
      </c>
      <c r="AF437" s="431">
        <f t="shared" si="169"/>
        <v>0</v>
      </c>
      <c r="AG437" s="431">
        <f t="shared" si="169"/>
        <v>0</v>
      </c>
      <c r="AH437" s="431">
        <f t="shared" si="169"/>
        <v>0</v>
      </c>
      <c r="AI437" s="431">
        <f t="shared" si="169"/>
        <v>0</v>
      </c>
      <c r="AJ437" s="431">
        <f t="shared" si="169"/>
        <v>0</v>
      </c>
      <c r="AK437" s="431">
        <f t="shared" si="169"/>
        <v>0</v>
      </c>
      <c r="AL437" s="431">
        <f t="shared" si="169"/>
        <v>0</v>
      </c>
      <c r="AM437" s="336"/>
    </row>
    <row r="438" spans="1:40" ht="15" hidden="1"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hidden="1" outlineLevel="1">
      <c r="A439" s="538">
        <v>11</v>
      </c>
      <c r="B439" s="339" t="s">
        <v>21</v>
      </c>
      <c r="C439" s="316" t="s">
        <v>25</v>
      </c>
      <c r="D439" s="320">
        <v>9552857.3389999997</v>
      </c>
      <c r="E439" s="320">
        <f>'7-d.  2014'!BA31</f>
        <v>9343642.7932204176</v>
      </c>
      <c r="F439" s="320">
        <f>'7-d.  2014'!BB31</f>
        <v>8837067.000298975</v>
      </c>
      <c r="G439" s="320">
        <f>'7-d.  2014'!BC31</f>
        <v>5978873.4096308798</v>
      </c>
      <c r="H439" s="320">
        <f>'7-d.  2014'!BD31</f>
        <v>5978873.4096308798</v>
      </c>
      <c r="I439" s="320">
        <f>'7-d.  2014'!BE31</f>
        <v>5978873.4096308798</v>
      </c>
      <c r="J439" s="320">
        <f>'7-d.  2014'!BF31</f>
        <v>5978873.4096308798</v>
      </c>
      <c r="K439" s="320">
        <f>'7-d.  2014'!BG31</f>
        <v>5978303.3119615503</v>
      </c>
      <c r="L439" s="320">
        <f>'7-d.  2014'!BH31</f>
        <v>5978303.3119615503</v>
      </c>
      <c r="M439" s="320">
        <f>'7-d.  2014'!BI31</f>
        <v>5978303.3119615503</v>
      </c>
      <c r="N439" s="320">
        <v>12</v>
      </c>
      <c r="O439" s="320">
        <v>2609.2710000000002</v>
      </c>
      <c r="P439" s="320">
        <f>'7-d.  2014'!V31</f>
        <v>2556.333917970142</v>
      </c>
      <c r="Q439" s="320">
        <f>'7-d.  2014'!W31</f>
        <v>2429.3302230663262</v>
      </c>
      <c r="R439" s="320">
        <f>'7-d.  2014'!X31</f>
        <v>1560.5574203414417</v>
      </c>
      <c r="S439" s="320">
        <f>'7-d.  2014'!Y31</f>
        <v>1560.5574203414417</v>
      </c>
      <c r="T439" s="320">
        <f>'7-d.  2014'!Z31</f>
        <v>1560.5574203414417</v>
      </c>
      <c r="U439" s="320">
        <f>'7-d.  2014'!AA31</f>
        <v>1560.5574203414417</v>
      </c>
      <c r="V439" s="320">
        <f>'7-d.  2014'!AB31</f>
        <v>1559.9869160952985</v>
      </c>
      <c r="W439" s="320">
        <f>'7-d.  2014'!AC31</f>
        <v>1559.9869160952985</v>
      </c>
      <c r="X439" s="320">
        <f>'7-d.  2014'!AD31</f>
        <v>1559.9869160952985</v>
      </c>
      <c r="Y439" s="435"/>
      <c r="Z439" s="489">
        <v>1</v>
      </c>
      <c r="AA439" s="435"/>
      <c r="AB439" s="435"/>
      <c r="AC439" s="435"/>
      <c r="AD439" s="435"/>
      <c r="AE439" s="435"/>
      <c r="AF439" s="435"/>
      <c r="AG439" s="435"/>
      <c r="AH439" s="435"/>
      <c r="AI439" s="435"/>
      <c r="AJ439" s="435"/>
      <c r="AK439" s="435"/>
      <c r="AL439" s="435"/>
      <c r="AM439" s="321">
        <f>SUM(Y439:AL439)</f>
        <v>1</v>
      </c>
      <c r="AN439" s="771">
        <f>D439</f>
        <v>9552857.3389999997</v>
      </c>
    </row>
    <row r="440" spans="1:40" ht="15" hidden="1"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70">AA439</f>
        <v>0</v>
      </c>
      <c r="AB440" s="431">
        <f t="shared" si="170"/>
        <v>0</v>
      </c>
      <c r="AC440" s="431">
        <f t="shared" si="170"/>
        <v>0</v>
      </c>
      <c r="AD440" s="431">
        <f t="shared" si="170"/>
        <v>0</v>
      </c>
      <c r="AE440" s="431">
        <f t="shared" si="170"/>
        <v>0</v>
      </c>
      <c r="AF440" s="431">
        <f t="shared" si="170"/>
        <v>0</v>
      </c>
      <c r="AG440" s="431">
        <f t="shared" si="170"/>
        <v>0</v>
      </c>
      <c r="AH440" s="431">
        <f t="shared" si="170"/>
        <v>0</v>
      </c>
      <c r="AI440" s="431">
        <f t="shared" si="170"/>
        <v>0</v>
      </c>
      <c r="AJ440" s="431">
        <f t="shared" si="170"/>
        <v>0</v>
      </c>
      <c r="AK440" s="431">
        <f t="shared" si="170"/>
        <v>0</v>
      </c>
      <c r="AL440" s="431">
        <f t="shared" si="170"/>
        <v>0</v>
      </c>
      <c r="AM440" s="336"/>
    </row>
    <row r="441" spans="1:40" ht="15" hidden="1"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hidden="1" outlineLevel="1">
      <c r="A442" s="538">
        <v>12</v>
      </c>
      <c r="B442" s="339" t="s">
        <v>23</v>
      </c>
      <c r="C442" s="316" t="s">
        <v>25</v>
      </c>
      <c r="D442" s="320">
        <v>109536.539</v>
      </c>
      <c r="E442" s="320">
        <f>'7-d.  2014'!BA32</f>
        <v>109536.53913711356</v>
      </c>
      <c r="F442" s="320">
        <f>'7-d.  2014'!BB32</f>
        <v>109536.53913711356</v>
      </c>
      <c r="G442" s="320">
        <f>'7-d.  2014'!BC32</f>
        <v>0</v>
      </c>
      <c r="H442" s="320">
        <f>'7-d.  2014'!BD32</f>
        <v>0</v>
      </c>
      <c r="I442" s="320">
        <f>'7-d.  2014'!BE32</f>
        <v>0</v>
      </c>
      <c r="J442" s="320">
        <f>'7-d.  2014'!BF32</f>
        <v>0</v>
      </c>
      <c r="K442" s="320">
        <f>'7-d.  2014'!BG32</f>
        <v>0</v>
      </c>
      <c r="L442" s="320">
        <f>'7-d.  2014'!BH32</f>
        <v>0</v>
      </c>
      <c r="M442" s="320">
        <f>'7-d.  2014'!BI32</f>
        <v>0</v>
      </c>
      <c r="N442" s="320">
        <v>3</v>
      </c>
      <c r="O442" s="320">
        <v>57.588000000000001</v>
      </c>
      <c r="P442" s="320">
        <f>'7-d.  2014'!V32</f>
        <v>57.587547169811316</v>
      </c>
      <c r="Q442" s="320">
        <f>'7-d.  2014'!W32</f>
        <v>57.587547169811316</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hidden="1"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71">AB442</f>
        <v>0</v>
      </c>
      <c r="AC443" s="431">
        <f t="shared" si="171"/>
        <v>0</v>
      </c>
      <c r="AD443" s="431">
        <f t="shared" si="171"/>
        <v>0</v>
      </c>
      <c r="AE443" s="431">
        <f t="shared" si="171"/>
        <v>0</v>
      </c>
      <c r="AF443" s="431">
        <f t="shared" si="171"/>
        <v>0</v>
      </c>
      <c r="AG443" s="431">
        <f t="shared" si="171"/>
        <v>0</v>
      </c>
      <c r="AH443" s="431">
        <f t="shared" si="171"/>
        <v>0</v>
      </c>
      <c r="AI443" s="431">
        <f t="shared" si="171"/>
        <v>0</v>
      </c>
      <c r="AJ443" s="431">
        <f t="shared" si="171"/>
        <v>0</v>
      </c>
      <c r="AK443" s="431">
        <f t="shared" si="171"/>
        <v>0</v>
      </c>
      <c r="AL443" s="431">
        <f t="shared" si="171"/>
        <v>0</v>
      </c>
      <c r="AM443" s="336"/>
    </row>
    <row r="444" spans="1:40" ht="15" hidden="1"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hidden="1" outlineLevel="1">
      <c r="A445" s="538">
        <v>13</v>
      </c>
      <c r="B445" s="339" t="s">
        <v>24</v>
      </c>
      <c r="C445" s="316" t="s">
        <v>25</v>
      </c>
      <c r="D445" s="320">
        <v>7971153.716</v>
      </c>
      <c r="E445" s="320">
        <f>'7-d.  2014'!BA33</f>
        <v>7971153.7155833421</v>
      </c>
      <c r="F445" s="320">
        <f>'7-d.  2014'!BB33</f>
        <v>7971153.7155833421</v>
      </c>
      <c r="G445" s="320">
        <f>'7-d.  2014'!BC33</f>
        <v>7971153.7155833421</v>
      </c>
      <c r="H445" s="320">
        <f>'7-d.  2014'!BD33</f>
        <v>7971153.7155833421</v>
      </c>
      <c r="I445" s="320">
        <f>'7-d.  2014'!BE33</f>
        <v>7971153.7155833421</v>
      </c>
      <c r="J445" s="320">
        <f>'7-d.  2014'!BF33</f>
        <v>7971153.7155833421</v>
      </c>
      <c r="K445" s="320">
        <f>'7-d.  2014'!BG33</f>
        <v>7971153.7155833421</v>
      </c>
      <c r="L445" s="320">
        <f>'7-d.  2014'!BH33</f>
        <v>7971153.7155833421</v>
      </c>
      <c r="M445" s="320">
        <f>'7-d.  2014'!BI33</f>
        <v>7971153.7155833421</v>
      </c>
      <c r="N445" s="320">
        <v>12</v>
      </c>
      <c r="O445" s="320">
        <v>2554.5120000000002</v>
      </c>
      <c r="P445" s="320">
        <f>'7-d.  2014'!V33</f>
        <v>2554.5116966428336</v>
      </c>
      <c r="Q445" s="320">
        <f>'7-d.  2014'!W33</f>
        <v>2554.5116966428336</v>
      </c>
      <c r="R445" s="320">
        <f>'7-d.  2014'!X33</f>
        <v>2554.5116966428336</v>
      </c>
      <c r="S445" s="320">
        <f>'7-d.  2014'!Y33</f>
        <v>2554.5116966428336</v>
      </c>
      <c r="T445" s="320">
        <f>'7-d.  2014'!Z33</f>
        <v>2554.5116966428336</v>
      </c>
      <c r="U445" s="320">
        <f>'7-d.  2014'!AA33</f>
        <v>2554.5116966428336</v>
      </c>
      <c r="V445" s="320">
        <f>'7-d.  2014'!AB33</f>
        <v>2554.5116966428336</v>
      </c>
      <c r="W445" s="320">
        <f>'7-d.  2014'!AC33</f>
        <v>2554.5116966428336</v>
      </c>
      <c r="X445" s="320">
        <f>'7-d.  2014'!AD33</f>
        <v>2554.5116966428336</v>
      </c>
      <c r="Y445" s="435"/>
      <c r="Z445" s="435"/>
      <c r="AA445" s="435">
        <v>1</v>
      </c>
      <c r="AB445" s="435"/>
      <c r="AC445" s="435"/>
      <c r="AD445" s="435"/>
      <c r="AE445" s="435"/>
      <c r="AF445" s="435"/>
      <c r="AG445" s="435"/>
      <c r="AH445" s="435"/>
      <c r="AI445" s="435"/>
      <c r="AJ445" s="435"/>
      <c r="AK445" s="435"/>
      <c r="AL445" s="435"/>
      <c r="AM445" s="321">
        <f>SUM(Y445:AL445)</f>
        <v>1</v>
      </c>
    </row>
    <row r="446" spans="1:40" ht="15" hidden="1"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72">AB445</f>
        <v>0</v>
      </c>
      <c r="AC446" s="431">
        <f t="shared" si="172"/>
        <v>0</v>
      </c>
      <c r="AD446" s="431">
        <f t="shared" si="172"/>
        <v>0</v>
      </c>
      <c r="AE446" s="431">
        <f t="shared" si="172"/>
        <v>0</v>
      </c>
      <c r="AF446" s="431">
        <f t="shared" si="172"/>
        <v>0</v>
      </c>
      <c r="AG446" s="431">
        <f t="shared" si="172"/>
        <v>0</v>
      </c>
      <c r="AH446" s="431">
        <f t="shared" si="172"/>
        <v>0</v>
      </c>
      <c r="AI446" s="431">
        <f t="shared" si="172"/>
        <v>0</v>
      </c>
      <c r="AJ446" s="431">
        <f t="shared" si="172"/>
        <v>0</v>
      </c>
      <c r="AK446" s="431">
        <f t="shared" si="172"/>
        <v>0</v>
      </c>
      <c r="AL446" s="431">
        <f t="shared" si="172"/>
        <v>0</v>
      </c>
      <c r="AM446" s="336"/>
    </row>
    <row r="447" spans="1:40" ht="15" hidden="1"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hidden="1" outlineLevel="1">
      <c r="A448" s="538">
        <v>14</v>
      </c>
      <c r="B448" s="339" t="s">
        <v>20</v>
      </c>
      <c r="C448" s="316" t="s">
        <v>25</v>
      </c>
      <c r="D448" s="320">
        <v>1958207.102</v>
      </c>
      <c r="E448" s="320">
        <f>'7-d.  2014'!BA34</f>
        <v>1958207.1016667034</v>
      </c>
      <c r="F448" s="320">
        <f>'7-d.  2014'!BB34</f>
        <v>1958207.1016667034</v>
      </c>
      <c r="G448" s="320">
        <f>'7-d.  2014'!BC34</f>
        <v>1958207.1016667034</v>
      </c>
      <c r="H448" s="320">
        <f>'7-d.  2014'!BD34</f>
        <v>0</v>
      </c>
      <c r="I448" s="320">
        <f>'7-d.  2014'!BE34</f>
        <v>0</v>
      </c>
      <c r="J448" s="320">
        <f>'7-d.  2014'!BF34</f>
        <v>0</v>
      </c>
      <c r="K448" s="320">
        <f>'7-d.  2014'!BG34</f>
        <v>0</v>
      </c>
      <c r="L448" s="320">
        <f>'7-d.  2014'!BH34</f>
        <v>0</v>
      </c>
      <c r="M448" s="320">
        <f>'7-d.  2014'!BI34</f>
        <v>0</v>
      </c>
      <c r="N448" s="320">
        <v>12</v>
      </c>
      <c r="O448" s="320">
        <v>401.00799999999998</v>
      </c>
      <c r="P448" s="320">
        <f>'7-d.  2014'!V34</f>
        <v>401.00791547459272</v>
      </c>
      <c r="Q448" s="320">
        <f>'7-d.  2014'!W34</f>
        <v>401.00791547459272</v>
      </c>
      <c r="R448" s="320">
        <f>'7-d.  2014'!X34</f>
        <v>401.00791547459272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hidden="1"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73">AA448</f>
        <v>1</v>
      </c>
      <c r="AB449" s="431">
        <f t="shared" si="173"/>
        <v>0</v>
      </c>
      <c r="AC449" s="431">
        <f t="shared" si="173"/>
        <v>0</v>
      </c>
      <c r="AD449" s="431">
        <f t="shared" si="173"/>
        <v>0</v>
      </c>
      <c r="AE449" s="431">
        <f t="shared" si="173"/>
        <v>0</v>
      </c>
      <c r="AF449" s="431">
        <f t="shared" si="173"/>
        <v>0</v>
      </c>
      <c r="AG449" s="431">
        <f t="shared" si="173"/>
        <v>0</v>
      </c>
      <c r="AH449" s="431">
        <f t="shared" si="173"/>
        <v>0</v>
      </c>
      <c r="AI449" s="431">
        <f t="shared" si="173"/>
        <v>0</v>
      </c>
      <c r="AJ449" s="431">
        <f t="shared" si="173"/>
        <v>0</v>
      </c>
      <c r="AK449" s="431">
        <f t="shared" si="173"/>
        <v>0</v>
      </c>
      <c r="AL449" s="431">
        <f t="shared" si="173"/>
        <v>0</v>
      </c>
      <c r="AM449" s="336"/>
    </row>
    <row r="450" spans="1:39" ht="15" hidden="1"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hidden="1"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hidden="1"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74">AA451</f>
        <v>0</v>
      </c>
      <c r="AB452" s="431">
        <f t="shared" si="174"/>
        <v>0</v>
      </c>
      <c r="AC452" s="431">
        <f t="shared" si="174"/>
        <v>0</v>
      </c>
      <c r="AD452" s="431">
        <f t="shared" si="174"/>
        <v>0</v>
      </c>
      <c r="AE452" s="431">
        <f t="shared" si="174"/>
        <v>0</v>
      </c>
      <c r="AF452" s="431">
        <f t="shared" si="174"/>
        <v>0</v>
      </c>
      <c r="AG452" s="431">
        <f t="shared" si="174"/>
        <v>0</v>
      </c>
      <c r="AH452" s="431">
        <f t="shared" si="174"/>
        <v>0</v>
      </c>
      <c r="AI452" s="431">
        <f t="shared" si="174"/>
        <v>0</v>
      </c>
      <c r="AJ452" s="431">
        <f t="shared" si="174"/>
        <v>0</v>
      </c>
      <c r="AK452" s="431">
        <f t="shared" si="174"/>
        <v>0</v>
      </c>
      <c r="AL452" s="431">
        <f t="shared" si="174"/>
        <v>0</v>
      </c>
      <c r="AM452" s="336"/>
    </row>
    <row r="453" spans="1:39" s="308" customFormat="1" ht="15" hidden="1"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8" customFormat="1" ht="15" hidden="1" outlineLevel="1">
      <c r="A454" s="772">
        <v>16</v>
      </c>
      <c r="B454" s="773" t="s">
        <v>126</v>
      </c>
      <c r="C454" s="774" t="s">
        <v>25</v>
      </c>
      <c r="D454" s="775">
        <v>5842823.9999999991</v>
      </c>
      <c r="E454" s="775">
        <v>3557624.0419146363</v>
      </c>
      <c r="F454" s="775">
        <v>3557624.0419146363</v>
      </c>
      <c r="G454" s="775">
        <v>3557624.0419146363</v>
      </c>
      <c r="H454" s="775">
        <v>3557624.0419146363</v>
      </c>
      <c r="I454" s="775">
        <v>3163086.858424508</v>
      </c>
      <c r="J454" s="775">
        <v>3163086.858424508</v>
      </c>
      <c r="K454" s="775">
        <v>3163086.858424508</v>
      </c>
      <c r="L454" s="775">
        <v>3163086.858424508</v>
      </c>
      <c r="M454" s="775">
        <v>3163086.858424508</v>
      </c>
      <c r="N454" s="775">
        <v>12</v>
      </c>
      <c r="O454" s="775">
        <v>818</v>
      </c>
      <c r="P454" s="775">
        <v>509.0301708626917</v>
      </c>
      <c r="Q454" s="775">
        <v>509.0301708626917</v>
      </c>
      <c r="R454" s="775">
        <v>509.0301708626917</v>
      </c>
      <c r="S454" s="775">
        <v>509.0301708626917</v>
      </c>
      <c r="T454" s="775">
        <v>452.57920033923472</v>
      </c>
      <c r="U454" s="775">
        <v>452.57920033923472</v>
      </c>
      <c r="V454" s="775">
        <v>452.57920033923472</v>
      </c>
      <c r="W454" s="775">
        <v>452.57920033923472</v>
      </c>
      <c r="X454" s="775">
        <v>452.57920033923472</v>
      </c>
      <c r="Y454" s="776"/>
      <c r="Z454" s="776">
        <v>0.85</v>
      </c>
      <c r="AA454" s="776">
        <v>0.15</v>
      </c>
      <c r="AB454" s="776"/>
      <c r="AC454" s="776"/>
      <c r="AD454" s="776"/>
      <c r="AE454" s="776"/>
      <c r="AF454" s="776"/>
      <c r="AG454" s="776"/>
      <c r="AH454" s="776"/>
      <c r="AI454" s="776"/>
      <c r="AJ454" s="776"/>
      <c r="AK454" s="776"/>
      <c r="AL454" s="776"/>
      <c r="AM454" s="777">
        <f>SUM(Y454:AL454)</f>
        <v>1</v>
      </c>
    </row>
    <row r="455" spans="1:39" s="778" customFormat="1" ht="15" hidden="1" outlineLevel="1">
      <c r="A455" s="772"/>
      <c r="B455" s="773" t="s">
        <v>262</v>
      </c>
      <c r="C455" s="774" t="s">
        <v>164</v>
      </c>
      <c r="D455" s="775"/>
      <c r="E455" s="775"/>
      <c r="F455" s="775"/>
      <c r="G455" s="775"/>
      <c r="H455" s="775"/>
      <c r="I455" s="775"/>
      <c r="J455" s="775"/>
      <c r="K455" s="775"/>
      <c r="L455" s="775"/>
      <c r="M455" s="775"/>
      <c r="N455" s="775">
        <f>N454</f>
        <v>12</v>
      </c>
      <c r="O455" s="775"/>
      <c r="P455" s="775"/>
      <c r="Q455" s="775"/>
      <c r="R455" s="775"/>
      <c r="S455" s="775"/>
      <c r="T455" s="775"/>
      <c r="U455" s="775"/>
      <c r="V455" s="775"/>
      <c r="W455" s="775"/>
      <c r="X455" s="775"/>
      <c r="Y455" s="780">
        <f>Y454</f>
        <v>0</v>
      </c>
      <c r="Z455" s="780">
        <f>Z454</f>
        <v>0.85</v>
      </c>
      <c r="AA455" s="780">
        <f t="shared" ref="AA455:AL455" si="175">AA454</f>
        <v>0.15</v>
      </c>
      <c r="AB455" s="780">
        <f t="shared" si="175"/>
        <v>0</v>
      </c>
      <c r="AC455" s="780">
        <f t="shared" si="175"/>
        <v>0</v>
      </c>
      <c r="AD455" s="780">
        <f t="shared" si="175"/>
        <v>0</v>
      </c>
      <c r="AE455" s="780">
        <f t="shared" si="175"/>
        <v>0</v>
      </c>
      <c r="AF455" s="780">
        <f t="shared" si="175"/>
        <v>0</v>
      </c>
      <c r="AG455" s="780">
        <f t="shared" si="175"/>
        <v>0</v>
      </c>
      <c r="AH455" s="780">
        <f t="shared" si="175"/>
        <v>0</v>
      </c>
      <c r="AI455" s="780">
        <f t="shared" si="175"/>
        <v>0</v>
      </c>
      <c r="AJ455" s="780">
        <f t="shared" si="175"/>
        <v>0</v>
      </c>
      <c r="AK455" s="780">
        <f t="shared" si="175"/>
        <v>0</v>
      </c>
      <c r="AL455" s="780">
        <f t="shared" si="175"/>
        <v>0</v>
      </c>
      <c r="AM455" s="781"/>
    </row>
    <row r="456" spans="1:39" s="308" customFormat="1" ht="15" hidden="1"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hidden="1" outlineLevel="1">
      <c r="A457" s="538">
        <v>17</v>
      </c>
      <c r="B457" s="339" t="s">
        <v>9</v>
      </c>
      <c r="C457" s="316" t="s">
        <v>25</v>
      </c>
      <c r="D457" s="320"/>
      <c r="E457" s="320"/>
      <c r="F457" s="320"/>
      <c r="G457" s="320"/>
      <c r="H457" s="320"/>
      <c r="I457" s="320"/>
      <c r="J457" s="320"/>
      <c r="K457" s="320"/>
      <c r="L457" s="320"/>
      <c r="M457" s="320"/>
      <c r="N457" s="316"/>
      <c r="O457" s="320">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hidden="1"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76">AA457</f>
        <v>0</v>
      </c>
      <c r="AB458" s="431">
        <f t="shared" si="176"/>
        <v>0</v>
      </c>
      <c r="AC458" s="431">
        <f t="shared" si="176"/>
        <v>0</v>
      </c>
      <c r="AD458" s="431">
        <f t="shared" si="176"/>
        <v>0</v>
      </c>
      <c r="AE458" s="431">
        <f t="shared" si="176"/>
        <v>0</v>
      </c>
      <c r="AF458" s="431">
        <f t="shared" si="176"/>
        <v>0</v>
      </c>
      <c r="AG458" s="431">
        <f t="shared" si="176"/>
        <v>0</v>
      </c>
      <c r="AH458" s="431">
        <f t="shared" si="176"/>
        <v>0</v>
      </c>
      <c r="AI458" s="431">
        <f t="shared" si="176"/>
        <v>0</v>
      </c>
      <c r="AJ458" s="431">
        <f t="shared" si="176"/>
        <v>0</v>
      </c>
      <c r="AK458" s="431">
        <f t="shared" si="176"/>
        <v>0</v>
      </c>
      <c r="AL458" s="431">
        <f t="shared" si="176"/>
        <v>0</v>
      </c>
      <c r="AM458" s="336"/>
    </row>
    <row r="459" spans="1:39" ht="15" hidden="1"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6" hidden="1"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hidden="1"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hidden="1"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77">AA461</f>
        <v>0</v>
      </c>
      <c r="AB462" s="431">
        <f t="shared" si="177"/>
        <v>0</v>
      </c>
      <c r="AC462" s="431">
        <f t="shared" si="177"/>
        <v>0</v>
      </c>
      <c r="AD462" s="431">
        <f t="shared" si="177"/>
        <v>0</v>
      </c>
      <c r="AE462" s="431">
        <f t="shared" si="177"/>
        <v>0</v>
      </c>
      <c r="AF462" s="431">
        <f t="shared" si="177"/>
        <v>0</v>
      </c>
      <c r="AG462" s="431">
        <f t="shared" si="177"/>
        <v>0</v>
      </c>
      <c r="AH462" s="431">
        <f t="shared" si="177"/>
        <v>0</v>
      </c>
      <c r="AI462" s="431">
        <f t="shared" si="177"/>
        <v>0</v>
      </c>
      <c r="AJ462" s="431">
        <f t="shared" si="177"/>
        <v>0</v>
      </c>
      <c r="AK462" s="431">
        <f t="shared" si="177"/>
        <v>0</v>
      </c>
      <c r="AL462" s="431">
        <f t="shared" si="177"/>
        <v>0</v>
      </c>
      <c r="AM462" s="322"/>
    </row>
    <row r="463" spans="1:39" ht="15" hidden="1"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hidden="1"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hidden="1"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78">AA464</f>
        <v>0</v>
      </c>
      <c r="AB465" s="431">
        <f t="shared" si="178"/>
        <v>0</v>
      </c>
      <c r="AC465" s="431">
        <f t="shared" si="178"/>
        <v>0</v>
      </c>
      <c r="AD465" s="431">
        <f t="shared" si="178"/>
        <v>0</v>
      </c>
      <c r="AE465" s="431">
        <f t="shared" si="178"/>
        <v>0</v>
      </c>
      <c r="AF465" s="431">
        <f t="shared" si="178"/>
        <v>0</v>
      </c>
      <c r="AG465" s="431">
        <f t="shared" si="178"/>
        <v>0</v>
      </c>
      <c r="AH465" s="431">
        <f t="shared" si="178"/>
        <v>0</v>
      </c>
      <c r="AI465" s="431">
        <f t="shared" si="178"/>
        <v>0</v>
      </c>
      <c r="AJ465" s="431">
        <f t="shared" si="178"/>
        <v>0</v>
      </c>
      <c r="AK465" s="431">
        <f t="shared" si="178"/>
        <v>0</v>
      </c>
      <c r="AL465" s="431">
        <f t="shared" si="178"/>
        <v>0</v>
      </c>
      <c r="AM465" s="322"/>
    </row>
    <row r="466" spans="1:39" ht="15" hidden="1"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hidden="1" outlineLevel="1">
      <c r="A467" s="538">
        <v>20</v>
      </c>
      <c r="B467" s="340" t="s">
        <v>13</v>
      </c>
      <c r="C467" s="316" t="s">
        <v>25</v>
      </c>
      <c r="D467" s="320">
        <v>1185180.9580000001</v>
      </c>
      <c r="E467" s="320">
        <f>'7-d.  2014'!BA35</f>
        <v>1183172.15808</v>
      </c>
      <c r="F467" s="320">
        <f>'7-d.  2014'!BB35</f>
        <v>1183172.15808</v>
      </c>
      <c r="G467" s="320">
        <f>'7-d.  2014'!BC35</f>
        <v>1183172.15808</v>
      </c>
      <c r="H467" s="320">
        <f>'7-d.  2014'!BD35</f>
        <v>1183172.15808</v>
      </c>
      <c r="I467" s="320">
        <f>'7-d.  2014'!BE35</f>
        <v>1183172.15808</v>
      </c>
      <c r="J467" s="320">
        <f>'7-d.  2014'!BF35</f>
        <v>1183172.15808</v>
      </c>
      <c r="K467" s="320">
        <f>'7-d.  2014'!BG35</f>
        <v>1183172.15808</v>
      </c>
      <c r="L467" s="320">
        <f>'7-d.  2014'!BH35</f>
        <v>1183172.15808</v>
      </c>
      <c r="M467" s="320">
        <f>'7-d.  2014'!BI35</f>
        <v>1183172.15808</v>
      </c>
      <c r="N467" s="320">
        <v>12</v>
      </c>
      <c r="O467" s="320">
        <v>221.45699999999999</v>
      </c>
      <c r="P467" s="320">
        <f>'7-d.  2014'!V35</f>
        <v>204.6760443</v>
      </c>
      <c r="Q467" s="320">
        <f>'7-d.  2014'!W35</f>
        <v>204.6760443</v>
      </c>
      <c r="R467" s="320">
        <f>'7-d.  2014'!X35</f>
        <v>204.6760443</v>
      </c>
      <c r="S467" s="320">
        <f>'7-d.  2014'!Y35</f>
        <v>204.6760443</v>
      </c>
      <c r="T467" s="320">
        <f>'7-d.  2014'!Z35</f>
        <v>204.6760443</v>
      </c>
      <c r="U467" s="320">
        <f>'7-d.  2014'!AA35</f>
        <v>204.6760443</v>
      </c>
      <c r="V467" s="320">
        <f>'7-d.  2014'!AB35</f>
        <v>204.6760443</v>
      </c>
      <c r="W467" s="320">
        <f>'7-d.  2014'!AC35</f>
        <v>204.6760443</v>
      </c>
      <c r="X467" s="320">
        <f>'7-d.  2014'!AD35</f>
        <v>204.6760443</v>
      </c>
      <c r="Y467" s="430"/>
      <c r="Z467" s="435"/>
      <c r="AA467" s="435">
        <v>1</v>
      </c>
      <c r="AB467" s="435"/>
      <c r="AC467" s="435"/>
      <c r="AD467" s="435"/>
      <c r="AE467" s="435"/>
      <c r="AF467" s="435"/>
      <c r="AG467" s="435"/>
      <c r="AH467" s="435"/>
      <c r="AI467" s="435"/>
      <c r="AJ467" s="435"/>
      <c r="AK467" s="435"/>
      <c r="AL467" s="435"/>
      <c r="AM467" s="321">
        <f>SUM(Y467:AL467)</f>
        <v>1</v>
      </c>
    </row>
    <row r="468" spans="1:39" ht="15" hidden="1"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79">AA467</f>
        <v>1</v>
      </c>
      <c r="AB468" s="431">
        <f t="shared" si="179"/>
        <v>0</v>
      </c>
      <c r="AC468" s="431">
        <f t="shared" si="179"/>
        <v>0</v>
      </c>
      <c r="AD468" s="431">
        <f t="shared" si="179"/>
        <v>0</v>
      </c>
      <c r="AE468" s="431">
        <f t="shared" si="179"/>
        <v>0</v>
      </c>
      <c r="AF468" s="431">
        <f t="shared" si="179"/>
        <v>0</v>
      </c>
      <c r="AG468" s="431">
        <f t="shared" si="179"/>
        <v>0</v>
      </c>
      <c r="AH468" s="431">
        <f t="shared" si="179"/>
        <v>0</v>
      </c>
      <c r="AI468" s="431">
        <f t="shared" si="179"/>
        <v>0</v>
      </c>
      <c r="AJ468" s="431">
        <f t="shared" si="179"/>
        <v>0</v>
      </c>
      <c r="AK468" s="431">
        <f t="shared" si="179"/>
        <v>0</v>
      </c>
      <c r="AL468" s="431">
        <f t="shared" si="179"/>
        <v>0</v>
      </c>
      <c r="AM468" s="331"/>
    </row>
    <row r="469" spans="1:39" ht="15" hidden="1"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hidden="1"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hidden="1"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80">AA470</f>
        <v>0</v>
      </c>
      <c r="AB471" s="431">
        <f t="shared" si="180"/>
        <v>0</v>
      </c>
      <c r="AC471" s="431">
        <f t="shared" si="180"/>
        <v>0</v>
      </c>
      <c r="AD471" s="431">
        <f t="shared" si="180"/>
        <v>0</v>
      </c>
      <c r="AE471" s="431">
        <f t="shared" si="180"/>
        <v>0</v>
      </c>
      <c r="AF471" s="431">
        <f t="shared" si="180"/>
        <v>0</v>
      </c>
      <c r="AG471" s="431">
        <f t="shared" si="180"/>
        <v>0</v>
      </c>
      <c r="AH471" s="431">
        <f t="shared" si="180"/>
        <v>0</v>
      </c>
      <c r="AI471" s="431">
        <f t="shared" si="180"/>
        <v>0</v>
      </c>
      <c r="AJ471" s="431">
        <f t="shared" si="180"/>
        <v>0</v>
      </c>
      <c r="AK471" s="431">
        <f t="shared" si="180"/>
        <v>0</v>
      </c>
      <c r="AL471" s="431">
        <f t="shared" si="180"/>
        <v>0</v>
      </c>
      <c r="AM471" s="322"/>
    </row>
    <row r="472" spans="1:39" ht="15" hidden="1"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hidden="1" outlineLevel="1">
      <c r="A473" s="538">
        <v>22</v>
      </c>
      <c r="B473" s="340" t="s">
        <v>9</v>
      </c>
      <c r="C473" s="316" t="s">
        <v>25</v>
      </c>
      <c r="D473" s="320"/>
      <c r="E473" s="320"/>
      <c r="F473" s="320"/>
      <c r="G473" s="320"/>
      <c r="H473" s="320"/>
      <c r="I473" s="320"/>
      <c r="J473" s="320"/>
      <c r="K473" s="320"/>
      <c r="L473" s="320"/>
      <c r="M473" s="320"/>
      <c r="N473" s="316"/>
      <c r="O473" s="320">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hidden="1"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81">AA473</f>
        <v>0</v>
      </c>
      <c r="AB474" s="431">
        <f t="shared" si="181"/>
        <v>0</v>
      </c>
      <c r="AC474" s="431">
        <f t="shared" si="181"/>
        <v>0</v>
      </c>
      <c r="AD474" s="431">
        <f t="shared" si="181"/>
        <v>0</v>
      </c>
      <c r="AE474" s="431">
        <f t="shared" si="181"/>
        <v>0</v>
      </c>
      <c r="AF474" s="431">
        <f t="shared" si="181"/>
        <v>0</v>
      </c>
      <c r="AG474" s="431">
        <f t="shared" si="181"/>
        <v>0</v>
      </c>
      <c r="AH474" s="431">
        <f t="shared" si="181"/>
        <v>0</v>
      </c>
      <c r="AI474" s="431">
        <f t="shared" si="181"/>
        <v>0</v>
      </c>
      <c r="AJ474" s="431">
        <f t="shared" si="181"/>
        <v>0</v>
      </c>
      <c r="AK474" s="431">
        <f t="shared" si="181"/>
        <v>0</v>
      </c>
      <c r="AL474" s="431">
        <f t="shared" si="181"/>
        <v>0</v>
      </c>
      <c r="AM474" s="331"/>
    </row>
    <row r="475" spans="1:39" ht="15" hidden="1"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6" hidden="1"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hidden="1" outlineLevel="1">
      <c r="A477" s="538">
        <v>23</v>
      </c>
      <c r="B477" s="340" t="s">
        <v>14</v>
      </c>
      <c r="C477" s="316" t="s">
        <v>25</v>
      </c>
      <c r="D477" s="320">
        <v>433704.489</v>
      </c>
      <c r="E477" s="320">
        <f>'7-d.  2014'!BA37</f>
        <v>432415.08488082886</v>
      </c>
      <c r="F477" s="320">
        <f>'7-d.  2014'!BB37</f>
        <v>386153.50380516052</v>
      </c>
      <c r="G477" s="320">
        <f>'7-d.  2014'!BC37</f>
        <v>368180.33403015137</v>
      </c>
      <c r="H477" s="320">
        <f>'7-d.  2014'!BD37</f>
        <v>343591.57210159302</v>
      </c>
      <c r="I477" s="320">
        <f>'7-d.  2014'!BE37</f>
        <v>343591.57210159302</v>
      </c>
      <c r="J477" s="320">
        <f>'7-d.  2014'!BF37</f>
        <v>334783.46976089478</v>
      </c>
      <c r="K477" s="320">
        <f>'7-d.  2014'!BG37</f>
        <v>329674.17865753174</v>
      </c>
      <c r="L477" s="320">
        <f>'7-d.  2014'!BH37</f>
        <v>132538.97710418701</v>
      </c>
      <c r="M477" s="320">
        <f>'7-d.  2014'!BI37</f>
        <v>132140.97710418701</v>
      </c>
      <c r="N477" s="316"/>
      <c r="O477" s="320">
        <v>34.344999999999999</v>
      </c>
      <c r="P477" s="320">
        <f>'7-d.  2014'!V37</f>
        <v>34.278555250028148</v>
      </c>
      <c r="Q477" s="320">
        <f>'7-d.  2014'!W37</f>
        <v>31.873392577748746</v>
      </c>
      <c r="R477" s="320">
        <f>'7-d.  2014'!X37</f>
        <v>30.935661838622764</v>
      </c>
      <c r="S477" s="320">
        <f>'7-d.  2014'!Y37</f>
        <v>29.942977347411215</v>
      </c>
      <c r="T477" s="320">
        <f>'7-d.  2014'!Z37</f>
        <v>29.942977347411215</v>
      </c>
      <c r="U477" s="320">
        <f>'7-d.  2014'!AA37</f>
        <v>29.483831593766809</v>
      </c>
      <c r="V477" s="320">
        <f>'7-d.  2014'!AB37</f>
        <v>29.483831593766809</v>
      </c>
      <c r="W477" s="320">
        <f>'7-d.  2014'!AC37</f>
        <v>19.230608698911965</v>
      </c>
      <c r="X477" s="320">
        <f>'7-d.  2014'!AD37</f>
        <v>18.804508683271706</v>
      </c>
      <c r="Y477" s="490">
        <v>1</v>
      </c>
      <c r="Z477" s="430"/>
      <c r="AA477" s="430"/>
      <c r="AB477" s="430"/>
      <c r="AC477" s="430"/>
      <c r="AD477" s="430"/>
      <c r="AE477" s="430"/>
      <c r="AF477" s="430"/>
      <c r="AG477" s="430"/>
      <c r="AH477" s="430"/>
      <c r="AI477" s="430"/>
      <c r="AJ477" s="430"/>
      <c r="AK477" s="430"/>
      <c r="AL477" s="430"/>
      <c r="AM477" s="321">
        <f>SUM(Y477:AL477)</f>
        <v>1</v>
      </c>
    </row>
    <row r="478" spans="1:39" ht="15" hidden="1"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82">AA477</f>
        <v>0</v>
      </c>
      <c r="AB478" s="431">
        <f t="shared" si="182"/>
        <v>0</v>
      </c>
      <c r="AC478" s="431">
        <f t="shared" si="182"/>
        <v>0</v>
      </c>
      <c r="AD478" s="431">
        <f t="shared" si="182"/>
        <v>0</v>
      </c>
      <c r="AE478" s="431">
        <f t="shared" si="182"/>
        <v>0</v>
      </c>
      <c r="AF478" s="431">
        <f t="shared" si="182"/>
        <v>0</v>
      </c>
      <c r="AG478" s="431">
        <f t="shared" si="182"/>
        <v>0</v>
      </c>
      <c r="AH478" s="431">
        <f t="shared" si="182"/>
        <v>0</v>
      </c>
      <c r="AI478" s="431">
        <f t="shared" si="182"/>
        <v>0</v>
      </c>
      <c r="AJ478" s="431">
        <f t="shared" si="182"/>
        <v>0</v>
      </c>
      <c r="AK478" s="431">
        <f t="shared" si="182"/>
        <v>0</v>
      </c>
      <c r="AL478" s="431">
        <f t="shared" si="182"/>
        <v>0</v>
      </c>
      <c r="AM478" s="322"/>
    </row>
    <row r="479" spans="1:39" ht="15" hidden="1"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6" hidden="1"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hidden="1"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hidden="1"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83">AA481</f>
        <v>0</v>
      </c>
      <c r="AB482" s="431">
        <f t="shared" si="183"/>
        <v>0</v>
      </c>
      <c r="AC482" s="431">
        <f t="shared" si="183"/>
        <v>0</v>
      </c>
      <c r="AD482" s="431">
        <f t="shared" si="183"/>
        <v>0</v>
      </c>
      <c r="AE482" s="431">
        <f t="shared" si="183"/>
        <v>0</v>
      </c>
      <c r="AF482" s="431">
        <f t="shared" si="183"/>
        <v>0</v>
      </c>
      <c r="AG482" s="431">
        <f t="shared" si="183"/>
        <v>0</v>
      </c>
      <c r="AH482" s="431">
        <f t="shared" si="183"/>
        <v>0</v>
      </c>
      <c r="AI482" s="431">
        <f t="shared" si="183"/>
        <v>0</v>
      </c>
      <c r="AJ482" s="431">
        <f t="shared" si="183"/>
        <v>0</v>
      </c>
      <c r="AK482" s="431">
        <f t="shared" si="183"/>
        <v>0</v>
      </c>
      <c r="AL482" s="431">
        <f t="shared" si="183"/>
        <v>0</v>
      </c>
      <c r="AM482" s="322"/>
    </row>
    <row r="483" spans="1:39" s="308" customFormat="1" ht="15" hidden="1"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hidden="1"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hidden="1"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84">AA484</f>
        <v>0</v>
      </c>
      <c r="AB485" s="431">
        <f t="shared" si="184"/>
        <v>0</v>
      </c>
      <c r="AC485" s="431">
        <f t="shared" si="184"/>
        <v>0</v>
      </c>
      <c r="AD485" s="431">
        <f t="shared" si="184"/>
        <v>0</v>
      </c>
      <c r="AE485" s="431">
        <f t="shared" si="184"/>
        <v>0</v>
      </c>
      <c r="AF485" s="431">
        <f t="shared" si="184"/>
        <v>0</v>
      </c>
      <c r="AG485" s="431">
        <f t="shared" si="184"/>
        <v>0</v>
      </c>
      <c r="AH485" s="431">
        <f t="shared" si="184"/>
        <v>0</v>
      </c>
      <c r="AI485" s="431">
        <f t="shared" si="184"/>
        <v>0</v>
      </c>
      <c r="AJ485" s="431">
        <f t="shared" si="184"/>
        <v>0</v>
      </c>
      <c r="AK485" s="431">
        <f t="shared" si="184"/>
        <v>0</v>
      </c>
      <c r="AL485" s="431">
        <f t="shared" si="184"/>
        <v>0</v>
      </c>
      <c r="AM485" s="336"/>
    </row>
    <row r="486" spans="1:39" s="308" customFormat="1" ht="15" hidden="1"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6" hidden="1"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hidden="1"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hidden="1"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85">AA488</f>
        <v>0</v>
      </c>
      <c r="AB489" s="431">
        <f t="shared" si="185"/>
        <v>0</v>
      </c>
      <c r="AC489" s="431">
        <f t="shared" si="185"/>
        <v>0</v>
      </c>
      <c r="AD489" s="431">
        <f t="shared" si="185"/>
        <v>0</v>
      </c>
      <c r="AE489" s="431">
        <f t="shared" si="185"/>
        <v>0</v>
      </c>
      <c r="AF489" s="431">
        <f t="shared" si="185"/>
        <v>0</v>
      </c>
      <c r="AG489" s="431">
        <f t="shared" si="185"/>
        <v>0</v>
      </c>
      <c r="AH489" s="431">
        <f t="shared" si="185"/>
        <v>0</v>
      </c>
      <c r="AI489" s="431">
        <f t="shared" si="185"/>
        <v>0</v>
      </c>
      <c r="AJ489" s="431">
        <f t="shared" si="185"/>
        <v>0</v>
      </c>
      <c r="AK489" s="431">
        <f t="shared" si="185"/>
        <v>0</v>
      </c>
      <c r="AL489" s="431">
        <f t="shared" si="185"/>
        <v>0</v>
      </c>
      <c r="AM489" s="331"/>
    </row>
    <row r="490" spans="1:39" ht="15" hidden="1"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hidden="1"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hidden="1"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86">AA491</f>
        <v>0</v>
      </c>
      <c r="AB492" s="431">
        <f t="shared" si="186"/>
        <v>0</v>
      </c>
      <c r="AC492" s="431">
        <f t="shared" si="186"/>
        <v>0</v>
      </c>
      <c r="AD492" s="431">
        <f t="shared" si="186"/>
        <v>0</v>
      </c>
      <c r="AE492" s="431">
        <f t="shared" si="186"/>
        <v>0</v>
      </c>
      <c r="AF492" s="431">
        <f t="shared" si="186"/>
        <v>0</v>
      </c>
      <c r="AG492" s="431">
        <f t="shared" si="186"/>
        <v>0</v>
      </c>
      <c r="AH492" s="431">
        <f t="shared" si="186"/>
        <v>0</v>
      </c>
      <c r="AI492" s="431">
        <f t="shared" si="186"/>
        <v>0</v>
      </c>
      <c r="AJ492" s="431">
        <f t="shared" si="186"/>
        <v>0</v>
      </c>
      <c r="AK492" s="431">
        <f t="shared" si="186"/>
        <v>0</v>
      </c>
      <c r="AL492" s="431">
        <f t="shared" si="186"/>
        <v>0</v>
      </c>
      <c r="AM492" s="331"/>
    </row>
    <row r="493" spans="1:39" ht="15.6" hidden="1"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hidden="1"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hidden="1"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87">AA494</f>
        <v>0</v>
      </c>
      <c r="AB495" s="431">
        <f t="shared" si="187"/>
        <v>0</v>
      </c>
      <c r="AC495" s="431">
        <f t="shared" si="187"/>
        <v>0</v>
      </c>
      <c r="AD495" s="431">
        <f t="shared" si="187"/>
        <v>0</v>
      </c>
      <c r="AE495" s="431">
        <f t="shared" si="187"/>
        <v>0</v>
      </c>
      <c r="AF495" s="431">
        <f t="shared" si="187"/>
        <v>0</v>
      </c>
      <c r="AG495" s="431">
        <f t="shared" si="187"/>
        <v>0</v>
      </c>
      <c r="AH495" s="431">
        <f t="shared" si="187"/>
        <v>0</v>
      </c>
      <c r="AI495" s="431">
        <f t="shared" si="187"/>
        <v>0</v>
      </c>
      <c r="AJ495" s="431">
        <f t="shared" si="187"/>
        <v>0</v>
      </c>
      <c r="AK495" s="431">
        <f t="shared" si="187"/>
        <v>0</v>
      </c>
      <c r="AL495" s="431">
        <f t="shared" si="187"/>
        <v>0</v>
      </c>
      <c r="AM495" s="322"/>
    </row>
    <row r="496" spans="1:39" ht="15" hidden="1"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hidden="1"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hidden="1"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88">Z497</f>
        <v>0</v>
      </c>
      <c r="AA498" s="431">
        <f t="shared" si="188"/>
        <v>0</v>
      </c>
      <c r="AB498" s="431">
        <f t="shared" si="188"/>
        <v>0</v>
      </c>
      <c r="AC498" s="431">
        <f t="shared" si="188"/>
        <v>0</v>
      </c>
      <c r="AD498" s="431">
        <f t="shared" si="188"/>
        <v>0</v>
      </c>
      <c r="AE498" s="431">
        <f t="shared" si="188"/>
        <v>0</v>
      </c>
      <c r="AF498" s="431">
        <f t="shared" si="188"/>
        <v>0</v>
      </c>
      <c r="AG498" s="431">
        <f t="shared" si="188"/>
        <v>0</v>
      </c>
      <c r="AH498" s="431">
        <f t="shared" si="188"/>
        <v>0</v>
      </c>
      <c r="AI498" s="431">
        <f t="shared" si="188"/>
        <v>0</v>
      </c>
      <c r="AJ498" s="431">
        <f t="shared" si="188"/>
        <v>0</v>
      </c>
      <c r="AK498" s="431">
        <f t="shared" si="188"/>
        <v>0</v>
      </c>
      <c r="AL498" s="431">
        <f t="shared" si="188"/>
        <v>0</v>
      </c>
      <c r="AM498" s="322"/>
    </row>
    <row r="499" spans="1:39" ht="15" hidden="1"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800" customFormat="1" ht="15" hidden="1" outlineLevel="1">
      <c r="A500" s="796">
        <v>30</v>
      </c>
      <c r="B500" s="797" t="s">
        <v>773</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8"/>
      <c r="Z500" s="798"/>
      <c r="AA500" s="798"/>
      <c r="AB500" s="798"/>
      <c r="AC500" s="798"/>
      <c r="AD500" s="798"/>
      <c r="AE500" s="798"/>
      <c r="AF500" s="798"/>
      <c r="AG500" s="798"/>
      <c r="AH500" s="798"/>
      <c r="AI500" s="798"/>
      <c r="AJ500" s="798"/>
      <c r="AK500" s="798"/>
      <c r="AL500" s="798"/>
      <c r="AM500" s="799">
        <f>SUM(Y500:AL500)</f>
        <v>0</v>
      </c>
    </row>
    <row r="501" spans="1:39" s="800" customFormat="1" ht="15" hidden="1" outlineLevel="1">
      <c r="A501" s="796"/>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801">
        <f>Y500</f>
        <v>0</v>
      </c>
      <c r="Z501" s="801">
        <f t="shared" ref="Z501:AL501" si="189">Z500</f>
        <v>0</v>
      </c>
      <c r="AA501" s="801">
        <f t="shared" si="189"/>
        <v>0</v>
      </c>
      <c r="AB501" s="801">
        <f t="shared" si="189"/>
        <v>0</v>
      </c>
      <c r="AC501" s="801">
        <f t="shared" si="189"/>
        <v>0</v>
      </c>
      <c r="AD501" s="801">
        <f t="shared" si="189"/>
        <v>0</v>
      </c>
      <c r="AE501" s="801">
        <f t="shared" si="189"/>
        <v>0</v>
      </c>
      <c r="AF501" s="801">
        <f t="shared" si="189"/>
        <v>0</v>
      </c>
      <c r="AG501" s="801">
        <f t="shared" si="189"/>
        <v>0</v>
      </c>
      <c r="AH501" s="801">
        <f t="shared" si="189"/>
        <v>0</v>
      </c>
      <c r="AI501" s="801">
        <f t="shared" si="189"/>
        <v>0</v>
      </c>
      <c r="AJ501" s="801">
        <f t="shared" si="189"/>
        <v>0</v>
      </c>
      <c r="AK501" s="801">
        <f t="shared" si="189"/>
        <v>0</v>
      </c>
      <c r="AL501" s="801">
        <f t="shared" si="189"/>
        <v>0</v>
      </c>
      <c r="AM501" s="802"/>
    </row>
    <row r="502" spans="1:39" s="308" customFormat="1" ht="15" hidden="1"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6" hidden="1"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hidden="1" outlineLevel="1">
      <c r="A504" s="538">
        <v>31</v>
      </c>
      <c r="B504" s="349" t="s">
        <v>505</v>
      </c>
      <c r="C504" s="316" t="s">
        <v>25</v>
      </c>
      <c r="D504" s="320">
        <v>1373950.06</v>
      </c>
      <c r="E504" s="320">
        <f>'7-d.  2014'!BA39</f>
        <v>1291513.0563999999</v>
      </c>
      <c r="F504" s="320">
        <f>'7-d.  2014'!BB39</f>
        <v>1291513.0563999999</v>
      </c>
      <c r="G504" s="320">
        <f>'7-d.  2014'!BC39</f>
        <v>1291513.0563999999</v>
      </c>
      <c r="H504" s="320">
        <f>'7-d.  2014'!BD39</f>
        <v>1291513.0563999999</v>
      </c>
      <c r="I504" s="320">
        <f>'7-d.  2014'!BE39</f>
        <v>112075.82399999998</v>
      </c>
      <c r="J504" s="320">
        <f>'7-d.  2014'!BF39</f>
        <v>112075.82399999998</v>
      </c>
      <c r="K504" s="320">
        <f>'7-d.  2014'!BG39</f>
        <v>112075.82399999998</v>
      </c>
      <c r="L504" s="320">
        <f>'7-d.  2014'!BH39</f>
        <v>112075.82399999998</v>
      </c>
      <c r="M504" s="320">
        <f>'7-d.  2014'!BI39</f>
        <v>112075.82399999998</v>
      </c>
      <c r="N504" s="320">
        <v>12</v>
      </c>
      <c r="O504" s="320">
        <v>241.65</v>
      </c>
      <c r="P504" s="320">
        <f>'7-d.  2014'!V39</f>
        <v>217.48500000000001</v>
      </c>
      <c r="Q504" s="320">
        <f>'7-d.  2014'!W39</f>
        <v>217.48500000000001</v>
      </c>
      <c r="R504" s="320">
        <f>'7-d.  2014'!X39</f>
        <v>217.48500000000001</v>
      </c>
      <c r="S504" s="320">
        <f>'7-d.  2014'!Y39</f>
        <v>217.48500000000001</v>
      </c>
      <c r="T504" s="320">
        <f>'7-d.  2014'!Z39</f>
        <v>12.231</v>
      </c>
      <c r="U504" s="320">
        <f>'7-d.  2014'!AA39</f>
        <v>12.231</v>
      </c>
      <c r="V504" s="320">
        <f>'7-d.  2014'!AB39</f>
        <v>12.231</v>
      </c>
      <c r="W504" s="320">
        <f>'7-d.  2014'!AC39</f>
        <v>12.231</v>
      </c>
      <c r="X504" s="320">
        <f>'7-d.  2014'!AD39</f>
        <v>12.231</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hidden="1"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90">Z504</f>
        <v>0</v>
      </c>
      <c r="AA505" s="431">
        <f t="shared" si="190"/>
        <v>1</v>
      </c>
      <c r="AB505" s="431">
        <f t="shared" si="190"/>
        <v>0</v>
      </c>
      <c r="AC505" s="431">
        <f t="shared" si="190"/>
        <v>0</v>
      </c>
      <c r="AD505" s="431">
        <f t="shared" si="190"/>
        <v>0</v>
      </c>
      <c r="AE505" s="431">
        <f t="shared" si="190"/>
        <v>0</v>
      </c>
      <c r="AF505" s="431">
        <f t="shared" si="190"/>
        <v>0</v>
      </c>
      <c r="AG505" s="431">
        <f t="shared" si="190"/>
        <v>0</v>
      </c>
      <c r="AH505" s="431">
        <f t="shared" si="190"/>
        <v>0</v>
      </c>
      <c r="AI505" s="431">
        <f t="shared" si="190"/>
        <v>0</v>
      </c>
      <c r="AJ505" s="431">
        <f t="shared" si="190"/>
        <v>0</v>
      </c>
      <c r="AK505" s="431">
        <f t="shared" si="190"/>
        <v>0</v>
      </c>
      <c r="AL505" s="431">
        <f t="shared" si="190"/>
        <v>0</v>
      </c>
      <c r="AM505" s="322"/>
    </row>
    <row r="506" spans="1:39" s="308" customFormat="1" ht="15" hidden="1"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hidden="1" outlineLevel="1">
      <c r="A507" s="538">
        <v>32</v>
      </c>
      <c r="B507" s="349" t="s">
        <v>506</v>
      </c>
      <c r="C507" s="316" t="s">
        <v>25</v>
      </c>
      <c r="D507" s="320"/>
      <c r="E507" s="320"/>
      <c r="F507" s="320"/>
      <c r="G507" s="320"/>
      <c r="H507" s="320"/>
      <c r="I507" s="320"/>
      <c r="J507" s="320"/>
      <c r="K507" s="320"/>
      <c r="L507" s="320"/>
      <c r="M507" s="320"/>
      <c r="N507" s="320">
        <v>0</v>
      </c>
      <c r="O507" s="320">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hidden="1"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91">Z507</f>
        <v>0</v>
      </c>
      <c r="AA508" s="431">
        <f t="shared" si="191"/>
        <v>0</v>
      </c>
      <c r="AB508" s="431">
        <f t="shared" si="191"/>
        <v>0</v>
      </c>
      <c r="AC508" s="431">
        <f t="shared" si="191"/>
        <v>0</v>
      </c>
      <c r="AD508" s="431">
        <f t="shared" si="191"/>
        <v>0</v>
      </c>
      <c r="AE508" s="431">
        <f t="shared" si="191"/>
        <v>0</v>
      </c>
      <c r="AF508" s="431">
        <f t="shared" si="191"/>
        <v>0</v>
      </c>
      <c r="AG508" s="431">
        <f t="shared" si="191"/>
        <v>0</v>
      </c>
      <c r="AH508" s="431">
        <f t="shared" si="191"/>
        <v>0</v>
      </c>
      <c r="AI508" s="431">
        <f t="shared" si="191"/>
        <v>0</v>
      </c>
      <c r="AJ508" s="431">
        <f t="shared" si="191"/>
        <v>0</v>
      </c>
      <c r="AK508" s="431">
        <f t="shared" si="191"/>
        <v>0</v>
      </c>
      <c r="AL508" s="431">
        <f t="shared" si="191"/>
        <v>0</v>
      </c>
      <c r="AM508" s="322"/>
    </row>
    <row r="509" spans="1:39" s="308" customFormat="1" ht="15" hidden="1"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hidden="1" outlineLevel="1">
      <c r="A510" s="538">
        <v>33</v>
      </c>
      <c r="B510" s="349" t="s">
        <v>507</v>
      </c>
      <c r="C510" s="316" t="s">
        <v>25</v>
      </c>
      <c r="D510" s="320">
        <v>771514.29500000004</v>
      </c>
      <c r="E510" s="320">
        <v>0</v>
      </c>
      <c r="F510" s="320">
        <v>0</v>
      </c>
      <c r="G510" s="320">
        <v>0</v>
      </c>
      <c r="H510" s="320">
        <v>0</v>
      </c>
      <c r="I510" s="320">
        <v>0</v>
      </c>
      <c r="J510" s="320">
        <v>0</v>
      </c>
      <c r="K510" s="320">
        <v>0</v>
      </c>
      <c r="L510" s="320">
        <v>0</v>
      </c>
      <c r="M510" s="320">
        <v>0</v>
      </c>
      <c r="N510" s="320">
        <v>0</v>
      </c>
      <c r="O510" s="320">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hidden="1"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92">Z510</f>
        <v>0</v>
      </c>
      <c r="AA511" s="431">
        <f t="shared" si="192"/>
        <v>0</v>
      </c>
      <c r="AB511" s="431">
        <f t="shared" si="192"/>
        <v>0</v>
      </c>
      <c r="AC511" s="431">
        <f t="shared" si="192"/>
        <v>0</v>
      </c>
      <c r="AD511" s="431">
        <f t="shared" si="192"/>
        <v>0</v>
      </c>
      <c r="AE511" s="431">
        <f t="shared" si="192"/>
        <v>0</v>
      </c>
      <c r="AF511" s="431">
        <f t="shared" si="192"/>
        <v>0</v>
      </c>
      <c r="AG511" s="431">
        <f t="shared" si="192"/>
        <v>0</v>
      </c>
      <c r="AH511" s="431">
        <f t="shared" si="192"/>
        <v>0</v>
      </c>
      <c r="AI511" s="431">
        <f t="shared" si="192"/>
        <v>0</v>
      </c>
      <c r="AJ511" s="431">
        <f t="shared" si="192"/>
        <v>0</v>
      </c>
      <c r="AK511" s="431">
        <f t="shared" si="192"/>
        <v>0</v>
      </c>
      <c r="AL511" s="431">
        <f>AL510</f>
        <v>0</v>
      </c>
      <c r="AM511" s="322"/>
    </row>
    <row r="512" spans="1:39" ht="15" hidden="1"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6" collapsed="1">
      <c r="B513" s="352" t="s">
        <v>263</v>
      </c>
      <c r="C513" s="354"/>
      <c r="D513" s="354">
        <f>SUM(D408:D511)</f>
        <v>87740970.209000006</v>
      </c>
      <c r="E513" s="354"/>
      <c r="F513" s="354"/>
      <c r="G513" s="354"/>
      <c r="H513" s="354"/>
      <c r="I513" s="354"/>
      <c r="J513" s="354"/>
      <c r="K513" s="354"/>
      <c r="L513" s="354"/>
      <c r="M513" s="354"/>
      <c r="N513" s="354"/>
      <c r="O513" s="354">
        <f>SUM(O408:O511)</f>
        <v>42675.187000000005</v>
      </c>
      <c r="P513" s="354"/>
      <c r="Q513" s="354"/>
      <c r="R513" s="354"/>
      <c r="S513" s="354"/>
      <c r="T513" s="354"/>
      <c r="U513" s="354"/>
      <c r="V513" s="354"/>
      <c r="W513" s="354"/>
      <c r="X513" s="354"/>
      <c r="Y513" s="875">
        <f>IF(Y407="kWh",SUMPRODUCT(D408:D511,Y408:Y511))</f>
        <v>15843307.027999999</v>
      </c>
      <c r="Z513" s="875">
        <f>IF(Z407="kWh",SUMPRODUCT(D408:D511,Z408:Z511))</f>
        <v>20665640.581599999</v>
      </c>
      <c r="AA513" s="875">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6">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61" customFormat="1" ht="15">
      <c r="A515" s="756"/>
      <c r="B515" s="757" t="s">
        <v>742</v>
      </c>
      <c r="C515" s="758"/>
      <c r="D515" s="759">
        <v>-8.3819031715393066E-9</v>
      </c>
      <c r="E515" s="758"/>
      <c r="F515" s="758"/>
      <c r="G515" s="758"/>
      <c r="H515" s="758"/>
      <c r="I515" s="758"/>
      <c r="J515" s="758"/>
      <c r="K515" s="758"/>
      <c r="L515" s="758"/>
      <c r="M515" s="758"/>
      <c r="N515" s="758"/>
      <c r="O515" s="315">
        <v>-7.2759576141834259E-12</v>
      </c>
      <c r="P515" s="758"/>
      <c r="Q515" s="758"/>
      <c r="R515" s="758"/>
      <c r="S515" s="760"/>
      <c r="T515" s="760"/>
      <c r="U515" s="760"/>
      <c r="V515" s="760"/>
      <c r="W515" s="758"/>
      <c r="X515" s="758"/>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0</v>
      </c>
      <c r="Z516" s="365">
        <f>HLOOKUP(Z$20,'3.  Distribution Rates'!$C$122:$P$133,6,FALSE)</f>
        <v>0</v>
      </c>
      <c r="AA516" s="365">
        <f>HLOOKUP(AA$20,'3.  Distribution Rates'!$C$122:$P$133,6,FALSE)</f>
        <v>0</v>
      </c>
      <c r="AB516" s="365">
        <f>HLOOKUP(AB$20,'3.  Distribution Rates'!$C$122:$P$133,6,FALSE)</f>
        <v>0</v>
      </c>
      <c r="AC516" s="365">
        <f>HLOOKUP(AC$20,'3.  Distribution Rates'!$C$122:$P$133,6,FALSE)</f>
        <v>0</v>
      </c>
      <c r="AD516" s="365">
        <f>HLOOKUP(AD$20,'3.  Distribution Rates'!$C$122:$P$133,6,FALSE)</f>
        <v>0</v>
      </c>
      <c r="AE516" s="365">
        <f>HLOOKUP(AE$20,'3.  Distribution Rates'!$C$122:$P$133,6,FALSE)</f>
        <v>0</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0</v>
      </c>
      <c r="Z517" s="402">
        <f t="shared" ref="Z517:AL517" si="193">Z137*Z516</f>
        <v>0</v>
      </c>
      <c r="AA517" s="402">
        <f t="shared" si="193"/>
        <v>0</v>
      </c>
      <c r="AB517" s="402">
        <f t="shared" si="193"/>
        <v>0</v>
      </c>
      <c r="AC517" s="402">
        <f t="shared" si="193"/>
        <v>0</v>
      </c>
      <c r="AD517" s="402">
        <f t="shared" si="193"/>
        <v>0</v>
      </c>
      <c r="AE517" s="402">
        <f t="shared" si="193"/>
        <v>0</v>
      </c>
      <c r="AF517" s="402">
        <f t="shared" si="193"/>
        <v>0</v>
      </c>
      <c r="AG517" s="402">
        <f t="shared" si="193"/>
        <v>0</v>
      </c>
      <c r="AH517" s="402">
        <f t="shared" si="193"/>
        <v>0</v>
      </c>
      <c r="AI517" s="402">
        <f t="shared" si="193"/>
        <v>0</v>
      </c>
      <c r="AJ517" s="402">
        <f t="shared" si="193"/>
        <v>0</v>
      </c>
      <c r="AK517" s="402">
        <f t="shared" si="193"/>
        <v>0</v>
      </c>
      <c r="AL517" s="402">
        <f t="shared" si="193"/>
        <v>0</v>
      </c>
      <c r="AM517" s="401">
        <f t="shared" ref="AM517:AM519" si="194">SUM(Y517:AL517)</f>
        <v>0</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0</v>
      </c>
      <c r="Z518" s="402">
        <f t="shared" ref="Z518:AL518" si="195">Z266*Z516</f>
        <v>0</v>
      </c>
      <c r="AA518" s="402">
        <f t="shared" si="195"/>
        <v>0</v>
      </c>
      <c r="AB518" s="402">
        <f t="shared" si="195"/>
        <v>0</v>
      </c>
      <c r="AC518" s="402">
        <f t="shared" si="195"/>
        <v>0</v>
      </c>
      <c r="AD518" s="402">
        <f t="shared" si="195"/>
        <v>0</v>
      </c>
      <c r="AE518" s="402">
        <f t="shared" si="195"/>
        <v>0</v>
      </c>
      <c r="AF518" s="402">
        <f t="shared" si="195"/>
        <v>0</v>
      </c>
      <c r="AG518" s="402">
        <f t="shared" si="195"/>
        <v>0</v>
      </c>
      <c r="AH518" s="402">
        <f t="shared" si="195"/>
        <v>0</v>
      </c>
      <c r="AI518" s="402">
        <f t="shared" si="195"/>
        <v>0</v>
      </c>
      <c r="AJ518" s="402">
        <f t="shared" si="195"/>
        <v>0</v>
      </c>
      <c r="AK518" s="402">
        <f t="shared" si="195"/>
        <v>0</v>
      </c>
      <c r="AL518" s="402">
        <f t="shared" si="195"/>
        <v>0</v>
      </c>
      <c r="AM518" s="401">
        <f t="shared" si="194"/>
        <v>0</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0</v>
      </c>
      <c r="Z519" s="402">
        <f t="shared" ref="Z519:AL519" si="196">Z395*Z516</f>
        <v>0</v>
      </c>
      <c r="AA519" s="402">
        <f t="shared" si="196"/>
        <v>0</v>
      </c>
      <c r="AB519" s="402">
        <f t="shared" si="196"/>
        <v>0</v>
      </c>
      <c r="AC519" s="402">
        <f t="shared" si="196"/>
        <v>0</v>
      </c>
      <c r="AD519" s="402">
        <f t="shared" si="196"/>
        <v>0</v>
      </c>
      <c r="AE519" s="402">
        <f t="shared" si="196"/>
        <v>0</v>
      </c>
      <c r="AF519" s="402">
        <f t="shared" si="196"/>
        <v>0</v>
      </c>
      <c r="AG519" s="402">
        <f t="shared" si="196"/>
        <v>0</v>
      </c>
      <c r="AH519" s="402">
        <f t="shared" si="196"/>
        <v>0</v>
      </c>
      <c r="AI519" s="402">
        <f t="shared" si="196"/>
        <v>0</v>
      </c>
      <c r="AJ519" s="402">
        <f t="shared" si="196"/>
        <v>0</v>
      </c>
      <c r="AK519" s="402">
        <f t="shared" si="196"/>
        <v>0</v>
      </c>
      <c r="AL519" s="402">
        <f t="shared" si="196"/>
        <v>0</v>
      </c>
      <c r="AM519" s="401">
        <f t="shared" si="194"/>
        <v>0</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0</v>
      </c>
      <c r="Z520" s="402">
        <f t="shared" ref="Z520:AE520" si="197">Z513*Z516</f>
        <v>0</v>
      </c>
      <c r="AA520" s="402">
        <f t="shared" si="197"/>
        <v>0</v>
      </c>
      <c r="AB520" s="402">
        <f t="shared" si="197"/>
        <v>0</v>
      </c>
      <c r="AC520" s="402">
        <f t="shared" si="197"/>
        <v>0</v>
      </c>
      <c r="AD520" s="402">
        <f t="shared" si="197"/>
        <v>0</v>
      </c>
      <c r="AE520" s="402">
        <f t="shared" si="197"/>
        <v>0</v>
      </c>
      <c r="AF520" s="402">
        <f t="shared" ref="AF520:AL520" si="198">SUM(AF517:AF519)</f>
        <v>0</v>
      </c>
      <c r="AG520" s="402">
        <f t="shared" si="198"/>
        <v>0</v>
      </c>
      <c r="AH520" s="402">
        <f t="shared" si="198"/>
        <v>0</v>
      </c>
      <c r="AI520" s="402">
        <f t="shared" si="198"/>
        <v>0</v>
      </c>
      <c r="AJ520" s="402">
        <f t="shared" si="198"/>
        <v>0</v>
      </c>
      <c r="AK520" s="402">
        <f t="shared" si="198"/>
        <v>0</v>
      </c>
      <c r="AL520" s="402">
        <f t="shared" si="198"/>
        <v>0</v>
      </c>
      <c r="AM520" s="401">
        <f>SUM(Y520:AL520)</f>
        <v>0</v>
      </c>
    </row>
    <row r="521" spans="1:41" ht="15.6">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0</v>
      </c>
      <c r="Z521" s="370">
        <f t="shared" ref="Z521:AK521" si="199">SUM(Z517:Z520)</f>
        <v>0</v>
      </c>
      <c r="AA521" s="370">
        <f>SUM(AA517:AA520)</f>
        <v>0</v>
      </c>
      <c r="AB521" s="370">
        <f t="shared" si="199"/>
        <v>0</v>
      </c>
      <c r="AC521" s="370">
        <f t="shared" si="199"/>
        <v>0</v>
      </c>
      <c r="AD521" s="370">
        <f t="shared" si="199"/>
        <v>0</v>
      </c>
      <c r="AE521" s="370">
        <f>SUM(AE517:AE520)</f>
        <v>0</v>
      </c>
      <c r="AF521" s="370">
        <f t="shared" si="199"/>
        <v>0</v>
      </c>
      <c r="AG521" s="370">
        <f t="shared" si="199"/>
        <v>0</v>
      </c>
      <c r="AH521" s="370">
        <f t="shared" si="199"/>
        <v>0</v>
      </c>
      <c r="AI521" s="370">
        <f t="shared" si="199"/>
        <v>0</v>
      </c>
      <c r="AJ521" s="370">
        <f t="shared" si="199"/>
        <v>0</v>
      </c>
      <c r="AK521" s="370">
        <f t="shared" si="199"/>
        <v>0</v>
      </c>
      <c r="AL521" s="370">
        <f>SUM(AL517:AL520)</f>
        <v>0</v>
      </c>
      <c r="AM521" s="372">
        <f>SUM(AM517:AM520)</f>
        <v>0</v>
      </c>
    </row>
    <row r="522" spans="1:41" ht="15.6">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0</v>
      </c>
      <c r="Z522" s="371">
        <f t="shared" ref="Z522:AJ522" si="200">Z514*Z516</f>
        <v>0</v>
      </c>
      <c r="AA522" s="371">
        <f t="shared" si="200"/>
        <v>0</v>
      </c>
      <c r="AB522" s="371">
        <f t="shared" si="200"/>
        <v>0</v>
      </c>
      <c r="AC522" s="371">
        <f t="shared" si="200"/>
        <v>0</v>
      </c>
      <c r="AD522" s="371">
        <f t="shared" si="200"/>
        <v>0</v>
      </c>
      <c r="AE522" s="371">
        <f t="shared" si="200"/>
        <v>0</v>
      </c>
      <c r="AF522" s="371">
        <f t="shared" si="200"/>
        <v>0</v>
      </c>
      <c r="AG522" s="371">
        <f t="shared" si="200"/>
        <v>0</v>
      </c>
      <c r="AH522" s="371">
        <f t="shared" si="200"/>
        <v>0</v>
      </c>
      <c r="AI522" s="371">
        <f t="shared" si="200"/>
        <v>0</v>
      </c>
      <c r="AJ522" s="371">
        <f t="shared" si="200"/>
        <v>0</v>
      </c>
      <c r="AK522" s="371">
        <f>AK514*AK516</f>
        <v>0</v>
      </c>
      <c r="AL522" s="371">
        <f>AL514*AL516</f>
        <v>0</v>
      </c>
      <c r="AM522" s="372">
        <f>SUM(Y522:AL522)</f>
        <v>0</v>
      </c>
    </row>
    <row r="523" spans="1:41" ht="15.6">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0</v>
      </c>
    </row>
    <row r="524" spans="1:41" ht="15.6">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6">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13845909.7179083</v>
      </c>
      <c r="Z526" s="316">
        <f>SUMPRODUCT(E408:E511,Z408:Z511)</f>
        <v>18513634.736704044</v>
      </c>
      <c r="AA526" s="316">
        <f>IF(AA407="kW",SUMPRODUCT(N408:N511,P408:P511,AA408:AA511),SUMPRODUCT(E408:E511,AA408:AA511))</f>
        <v>109168.07800292304</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13159783.289078731</v>
      </c>
      <c r="Z527" s="316">
        <f>SUMPRODUCT(F408:F511,Z408:Z511)</f>
        <v>18007058.943782602</v>
      </c>
      <c r="AA527" s="316">
        <f>IF(AA407="kW",SUMPRODUCT(N408:N511,Q408:Q511,AA408:AA511),SUMPRODUCT(F408:F511,AA408:AA511))</f>
        <v>109168.07800292304</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13141079.26297747</v>
      </c>
      <c r="Z528" s="316">
        <f>SUMPRODUCT(G408:G511,Z408:Z511)</f>
        <v>15093922.805090722</v>
      </c>
      <c r="AA528" s="316">
        <f>IF(AA407="kW",SUMPRODUCT(N408:N511,R408:R511,AA408:AA511),SUMPRODUCT(G408:G511,AA408:AA511))</f>
        <v>107844.8647867962</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12902164.02972893</v>
      </c>
      <c r="Z529" s="316">
        <f>SUMPRODUCT(H408:H511,Z408:Z511)</f>
        <v>15093922.805090722</v>
      </c>
      <c r="AA529" s="316">
        <f>IF(AA407="kW",SUMPRODUCT(N408:N511,S408:S511,AA408:AA511),SUMPRODUCT(H408:H511,AA408:AA511))</f>
        <v>103032.76980110108</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12683366.001894504</v>
      </c>
      <c r="Z530" s="316">
        <f>SUMPRODUCT(I408:I511,Z408:Z511)</f>
        <v>14758566.199124113</v>
      </c>
      <c r="AA530" s="316">
        <f>IF(AA407="kW",SUMPRODUCT(N408:N511,T408:T511,AA408:AA511),SUMPRODUCT(I408:I511,AA408:AA511))</f>
        <v>100468.11005415884</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12674557.899553806</v>
      </c>
      <c r="Z531" s="351">
        <f>SUMPRODUCT(J408:J511,Z408:Z511)</f>
        <v>14542209.957563069</v>
      </c>
      <c r="AA531" s="351">
        <f>IF(AA407="kW",SUMPRODUCT(N408:N511,U408:U511,AA408:AA511),SUMPRODUCT(J408:J511,AA408:AA511))</f>
        <v>97954.409427427177</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4.4">
      <c r="B534" s="624" t="s">
        <v>588</v>
      </c>
    </row>
    <row r="538" spans="2:39">
      <c r="Y538" s="785"/>
      <c r="Z538" s="785"/>
      <c r="AA538" s="785"/>
    </row>
    <row r="539" spans="2:39">
      <c r="Y539" s="785"/>
      <c r="Z539" s="785"/>
      <c r="AA539" s="785"/>
    </row>
    <row r="540" spans="2:39">
      <c r="Y540" s="785"/>
      <c r="Z540" s="785"/>
      <c r="AA540" s="785"/>
    </row>
    <row r="541" spans="2:39">
      <c r="Y541" s="786"/>
      <c r="Z541" s="786"/>
      <c r="AA541" s="786"/>
    </row>
    <row r="542" spans="2:39">
      <c r="Y542" s="787"/>
      <c r="Z542" s="787"/>
      <c r="AA542" s="787"/>
      <c r="AB542" s="787"/>
    </row>
    <row r="546" spans="4:29">
      <c r="Y546" s="785"/>
      <c r="Z546" s="785"/>
      <c r="AA546" s="785"/>
    </row>
    <row r="547" spans="4:29">
      <c r="Y547" s="785"/>
      <c r="Z547" s="785"/>
      <c r="AA547" s="785"/>
    </row>
    <row r="548" spans="4:29">
      <c r="Y548" s="785"/>
      <c r="Z548" s="785"/>
      <c r="AA548" s="785"/>
    </row>
    <row r="550" spans="4:29">
      <c r="Y550" s="787"/>
      <c r="Z550" s="787"/>
      <c r="AA550" s="787"/>
      <c r="AB550" s="787"/>
    </row>
    <row r="553" spans="4:29" hidden="1" outlineLevel="1"/>
    <row r="554" spans="4:29" hidden="1" outlineLevel="1"/>
    <row r="555" spans="4:29" ht="41.4" hidden="1" outlineLevel="1">
      <c r="D555" s="793" t="s">
        <v>748</v>
      </c>
      <c r="E555" s="793"/>
      <c r="F555" s="793"/>
      <c r="G555" s="793"/>
      <c r="H555" s="793"/>
      <c r="I555" s="793"/>
      <c r="J555" s="793"/>
      <c r="K555" s="793"/>
      <c r="L555" s="793"/>
      <c r="M555" s="793"/>
      <c r="N555" s="793"/>
      <c r="O555" s="793" t="s">
        <v>747</v>
      </c>
      <c r="P555" s="793"/>
      <c r="Q555" s="793"/>
      <c r="R555" s="793"/>
      <c r="S555" s="793"/>
      <c r="T555" s="793"/>
      <c r="U555" s="793"/>
      <c r="V555" s="793"/>
      <c r="W555" s="793"/>
      <c r="X555" s="793"/>
      <c r="Y555" s="794" t="s">
        <v>745</v>
      </c>
      <c r="Z555" s="794" t="s">
        <v>746</v>
      </c>
      <c r="AA555" s="794" t="s">
        <v>772</v>
      </c>
      <c r="AB555" s="795" t="s">
        <v>769</v>
      </c>
      <c r="AC555" s="794" t="s">
        <v>770</v>
      </c>
    </row>
    <row r="556" spans="4:29" hidden="1" outlineLevel="1">
      <c r="D556" s="404" t="s">
        <v>730</v>
      </c>
      <c r="E556" s="278" t="s">
        <v>730</v>
      </c>
      <c r="F556" s="278" t="s">
        <v>730</v>
      </c>
      <c r="G556" s="278" t="s">
        <v>730</v>
      </c>
      <c r="H556" s="278" t="s">
        <v>730</v>
      </c>
      <c r="I556" s="278" t="s">
        <v>730</v>
      </c>
      <c r="J556" s="278" t="s">
        <v>730</v>
      </c>
      <c r="K556" s="278" t="s">
        <v>730</v>
      </c>
      <c r="L556" s="278" t="s">
        <v>730</v>
      </c>
      <c r="M556" s="278" t="s">
        <v>730</v>
      </c>
      <c r="N556" s="278" t="s">
        <v>730</v>
      </c>
      <c r="O556" s="790" t="s">
        <v>27</v>
      </c>
      <c r="Y556" s="788">
        <f>Y513*2</f>
        <v>31686614.055999998</v>
      </c>
      <c r="Z556" s="788">
        <f>Y556/2</f>
        <v>15843307.027999999</v>
      </c>
      <c r="AA556" s="792">
        <f>Y556-Z556</f>
        <v>15843307.027999999</v>
      </c>
      <c r="AB556" s="786">
        <f>Y516</f>
        <v>0</v>
      </c>
      <c r="AC556" s="787">
        <f>AA556*AB556</f>
        <v>0</v>
      </c>
    </row>
    <row r="557" spans="4:29" hidden="1" outlineLevel="1">
      <c r="D557" s="404" t="s">
        <v>731</v>
      </c>
      <c r="E557" s="278" t="s">
        <v>749</v>
      </c>
      <c r="F557" s="278" t="s">
        <v>750</v>
      </c>
      <c r="G557" s="278" t="s">
        <v>751</v>
      </c>
      <c r="H557" s="278" t="s">
        <v>752</v>
      </c>
      <c r="I557" s="278" t="s">
        <v>753</v>
      </c>
      <c r="J557" s="278" t="s">
        <v>754</v>
      </c>
      <c r="K557" s="278" t="s">
        <v>755</v>
      </c>
      <c r="L557" s="278" t="s">
        <v>756</v>
      </c>
      <c r="M557" s="278" t="s">
        <v>757</v>
      </c>
      <c r="N557" s="278" t="s">
        <v>758</v>
      </c>
      <c r="O557" s="790" t="s">
        <v>27</v>
      </c>
      <c r="Y557" s="788">
        <f>Z513*2</f>
        <v>41331281.163199998</v>
      </c>
      <c r="Z557" s="788">
        <f t="shared" ref="Z557:Z558" si="201">Y557/2</f>
        <v>20665640.581599999</v>
      </c>
      <c r="AA557" s="792">
        <f t="shared" ref="AA557:AA558" si="202">Y557-Z557</f>
        <v>20665640.581599999</v>
      </c>
      <c r="AB557" s="786">
        <f>Z516</f>
        <v>0</v>
      </c>
      <c r="AC557" s="787">
        <f t="shared" ref="AC557:AC558" si="203">AA557*AB557</f>
        <v>0</v>
      </c>
    </row>
    <row r="558" spans="4:29" ht="14.4" hidden="1" outlineLevel="1" thickBot="1">
      <c r="D558" s="404" t="s">
        <v>732</v>
      </c>
      <c r="E558" s="278" t="s">
        <v>759</v>
      </c>
      <c r="F558" s="278" t="s">
        <v>760</v>
      </c>
      <c r="G558" s="278" t="s">
        <v>761</v>
      </c>
      <c r="H558" s="278" t="s">
        <v>762</v>
      </c>
      <c r="I558" s="278" t="s">
        <v>763</v>
      </c>
      <c r="J558" s="278" t="s">
        <v>764</v>
      </c>
      <c r="K558" s="278" t="s">
        <v>765</v>
      </c>
      <c r="L558" s="278" t="s">
        <v>766</v>
      </c>
      <c r="M558" s="278" t="s">
        <v>767</v>
      </c>
      <c r="N558" s="278" t="s">
        <v>768</v>
      </c>
      <c r="O558" s="790" t="s">
        <v>28</v>
      </c>
      <c r="Y558" s="788">
        <f>AA513*2</f>
        <v>220446.87791999997</v>
      </c>
      <c r="Z558" s="788">
        <f t="shared" si="201"/>
        <v>110223.43895999998</v>
      </c>
      <c r="AA558" s="792">
        <f t="shared" si="202"/>
        <v>110223.43895999998</v>
      </c>
      <c r="AB558" s="786">
        <f>AA516</f>
        <v>0</v>
      </c>
      <c r="AC558" s="787">
        <f t="shared" si="203"/>
        <v>0</v>
      </c>
    </row>
    <row r="559" spans="4:29" ht="14.4" hidden="1" outlineLevel="1" thickBot="1">
      <c r="AB559" s="789" t="s">
        <v>470</v>
      </c>
      <c r="AC559" s="791">
        <f>SUM(AC556:AC558)</f>
        <v>0</v>
      </c>
    </row>
    <row r="560" spans="4:29" hidden="1" outlineLevel="1"/>
    <row r="561" spans="4:29" hidden="1" outlineLevel="1"/>
    <row r="562" spans="4:29" hidden="1" outlineLevel="1"/>
    <row r="563" spans="4:29" ht="41.4" hidden="1" outlineLevel="1">
      <c r="D563" s="793" t="s">
        <v>748</v>
      </c>
      <c r="E563" s="793"/>
      <c r="F563" s="793"/>
      <c r="G563" s="793"/>
      <c r="H563" s="793"/>
      <c r="I563" s="793"/>
      <c r="J563" s="793"/>
      <c r="K563" s="793"/>
      <c r="L563" s="793"/>
      <c r="M563" s="793"/>
      <c r="N563" s="793"/>
      <c r="O563" s="793" t="s">
        <v>747</v>
      </c>
      <c r="P563" s="793"/>
      <c r="Q563" s="793"/>
      <c r="R563" s="793"/>
      <c r="S563" s="793"/>
      <c r="T563" s="793"/>
      <c r="U563" s="793"/>
      <c r="V563" s="793"/>
      <c r="W563" s="793"/>
      <c r="X563" s="793"/>
      <c r="Y563" s="794" t="s">
        <v>745</v>
      </c>
      <c r="Z563" s="794" t="s">
        <v>746</v>
      </c>
      <c r="AA563" s="794" t="s">
        <v>771</v>
      </c>
      <c r="AB563" s="795" t="s">
        <v>769</v>
      </c>
      <c r="AC563" s="794" t="s">
        <v>770</v>
      </c>
    </row>
    <row r="564" spans="4:29" hidden="1" outlineLevel="1">
      <c r="D564" s="404" t="s">
        <v>730</v>
      </c>
      <c r="E564" s="278" t="s">
        <v>730</v>
      </c>
      <c r="F564" s="278" t="s">
        <v>730</v>
      </c>
      <c r="G564" s="278" t="s">
        <v>730</v>
      </c>
      <c r="H564" s="278" t="s">
        <v>730</v>
      </c>
      <c r="I564" s="278" t="s">
        <v>730</v>
      </c>
      <c r="J564" s="278" t="s">
        <v>730</v>
      </c>
      <c r="K564" s="278" t="s">
        <v>730</v>
      </c>
      <c r="L564" s="278" t="s">
        <v>730</v>
      </c>
      <c r="M564" s="278" t="s">
        <v>730</v>
      </c>
      <c r="N564" s="278" t="s">
        <v>730</v>
      </c>
      <c r="O564" s="790" t="s">
        <v>27</v>
      </c>
      <c r="Y564" s="788">
        <f>'5.  2015-2020 LRAM'!Y195*2</f>
        <v>37354622</v>
      </c>
      <c r="Z564" s="788">
        <f>'5.  2015-2020 LRAM'!Y195</f>
        <v>18677311</v>
      </c>
      <c r="AA564" s="792">
        <f>Y564-Z564</f>
        <v>18677311</v>
      </c>
      <c r="AB564" s="786">
        <f>'5.  2015-2020 LRAM'!Y198</f>
        <v>0</v>
      </c>
      <c r="AC564" s="787">
        <f>AA564*AB564</f>
        <v>0</v>
      </c>
    </row>
    <row r="565" spans="4:29" hidden="1" outlineLevel="1">
      <c r="D565" s="404" t="s">
        <v>731</v>
      </c>
      <c r="E565" s="278" t="s">
        <v>749</v>
      </c>
      <c r="F565" s="278" t="s">
        <v>750</v>
      </c>
      <c r="G565" s="278" t="s">
        <v>751</v>
      </c>
      <c r="H565" s="278" t="s">
        <v>752</v>
      </c>
      <c r="I565" s="278" t="s">
        <v>753</v>
      </c>
      <c r="J565" s="278" t="s">
        <v>754</v>
      </c>
      <c r="K565" s="278" t="s">
        <v>755</v>
      </c>
      <c r="L565" s="278" t="s">
        <v>756</v>
      </c>
      <c r="M565" s="278" t="s">
        <v>757</v>
      </c>
      <c r="N565" s="278" t="s">
        <v>758</v>
      </c>
      <c r="O565" s="790" t="s">
        <v>27</v>
      </c>
      <c r="Y565" s="788">
        <f>'5.  2015-2020 LRAM'!Z195*2</f>
        <v>23926162.879999999</v>
      </c>
      <c r="Z565" s="788">
        <f>'5.  2015-2020 LRAM'!Z195</f>
        <v>11963081.439999999</v>
      </c>
      <c r="AA565" s="792">
        <f t="shared" ref="AA565:AA566" si="204">Y565-Z565</f>
        <v>11963081.439999999</v>
      </c>
      <c r="AB565" s="786">
        <f>'5.  2015-2020 LRAM'!Z198</f>
        <v>0</v>
      </c>
      <c r="AC565" s="787">
        <f t="shared" ref="AC565:AC566" si="205">AA565*AB565</f>
        <v>0</v>
      </c>
    </row>
    <row r="566" spans="4:29" ht="14.4" hidden="1" outlineLevel="1" thickBot="1">
      <c r="D566" s="404" t="s">
        <v>732</v>
      </c>
      <c r="E566" s="278" t="s">
        <v>759</v>
      </c>
      <c r="F566" s="278" t="s">
        <v>760</v>
      </c>
      <c r="G566" s="278" t="s">
        <v>761</v>
      </c>
      <c r="H566" s="278" t="s">
        <v>762</v>
      </c>
      <c r="I566" s="278" t="s">
        <v>763</v>
      </c>
      <c r="J566" s="278" t="s">
        <v>764</v>
      </c>
      <c r="K566" s="278" t="s">
        <v>765</v>
      </c>
      <c r="L566" s="278" t="s">
        <v>766</v>
      </c>
      <c r="M566" s="278" t="s">
        <v>767</v>
      </c>
      <c r="N566" s="278" t="s">
        <v>768</v>
      </c>
      <c r="O566" s="790" t="s">
        <v>28</v>
      </c>
      <c r="Y566" s="788">
        <f>'5.  2015-2020 LRAM'!AA195*2</f>
        <v>223740.47999999998</v>
      </c>
      <c r="Z566" s="788">
        <f>'5.  2015-2020 LRAM'!AA195</f>
        <v>111870.23999999999</v>
      </c>
      <c r="AA566" s="792">
        <f t="shared" si="204"/>
        <v>111870.23999999999</v>
      </c>
      <c r="AB566" s="786">
        <f>'5.  2015-2020 LRAM'!AA198</f>
        <v>0</v>
      </c>
      <c r="AC566" s="787">
        <f t="shared" si="205"/>
        <v>0</v>
      </c>
    </row>
    <row r="567" spans="4:29" ht="14.4" hidden="1" outlineLevel="1" thickBot="1">
      <c r="AB567" s="789" t="s">
        <v>471</v>
      </c>
      <c r="AC567" s="791">
        <f>SUM(AC564:AC566)</f>
        <v>0</v>
      </c>
    </row>
    <row r="568" spans="4:29" hidden="1" outlineLevel="1"/>
    <row r="569" spans="4:29" hidden="1" outlineLevel="1"/>
    <row r="570" spans="4:29" collapsed="1"/>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39"/>
  <sheetViews>
    <sheetView topLeftCell="A393" zoomScale="85" zoomScaleNormal="85" workbookViewId="0">
      <pane xSplit="2" topLeftCell="C1" activePane="topRight" state="frozen"/>
      <selection activeCell="C28" sqref="C28"/>
      <selection pane="topRight" activeCell="Y571" sqref="Y571"/>
    </sheetView>
  </sheetViews>
  <sheetFormatPr defaultColWidth="9.109375" defaultRowHeight="14.4" outlineLevelRow="1" outlineLevelCol="1"/>
  <cols>
    <col min="1" max="1" width="4.5546875" style="550" customWidth="1"/>
    <col min="2" max="2" width="44.109375" style="447" customWidth="1"/>
    <col min="3" max="3" width="13.44140625" style="447" customWidth="1"/>
    <col min="4" max="4" width="17" style="447" customWidth="1"/>
    <col min="5" max="14" width="12" style="447" hidden="1" customWidth="1" outlineLevel="1"/>
    <col min="15" max="15" width="15.6640625" style="447" customWidth="1" collapsed="1"/>
    <col min="16" max="24" width="9.109375" style="447" hidden="1" customWidth="1" outlineLevel="1"/>
    <col min="25" max="25" width="16.5546875" style="447" customWidth="1" collapsed="1"/>
    <col min="26" max="26" width="16.44140625" style="447" bestFit="1" customWidth="1"/>
    <col min="27" max="27" width="18.33203125" style="447" bestFit="1" customWidth="1"/>
    <col min="28" max="28" width="17.6640625" style="447" customWidth="1"/>
    <col min="29" max="29" width="19.6640625" style="447" customWidth="1"/>
    <col min="30" max="30" width="18.6640625" style="447" customWidth="1"/>
    <col min="31" max="35" width="14.88671875" style="447" customWidth="1"/>
    <col min="36" max="38" width="17.33203125" style="447" customWidth="1"/>
    <col min="39" max="39" width="21.109375" style="447" bestFit="1" customWidth="1"/>
    <col min="40" max="40" width="11.6640625" style="447" customWidth="1"/>
    <col min="41" max="16384" width="9.109375" style="447"/>
  </cols>
  <sheetData>
    <row r="13" spans="2:39" ht="15" thickBot="1"/>
    <row r="14" spans="2:39" ht="26.25" customHeight="1" thickBot="1">
      <c r="B14" s="1230"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1230"/>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1230"/>
      <c r="C16" s="1213" t="s">
        <v>624</v>
      </c>
      <c r="D16" s="1214"/>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6">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1230" t="s">
        <v>520</v>
      </c>
      <c r="C18" s="1229" t="s">
        <v>651</v>
      </c>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643"/>
      <c r="Z18" s="643"/>
      <c r="AA18" s="643"/>
      <c r="AB18" s="643"/>
      <c r="AC18" s="643"/>
      <c r="AD18" s="643"/>
      <c r="AE18" s="295"/>
      <c r="AF18" s="290"/>
      <c r="AG18" s="290"/>
      <c r="AH18" s="290"/>
      <c r="AI18" s="290"/>
      <c r="AJ18" s="290"/>
      <c r="AK18" s="290"/>
      <c r="AL18" s="290"/>
      <c r="AM18" s="290"/>
    </row>
    <row r="19" spans="2:39" ht="56.25" customHeight="1">
      <c r="B19" s="1230"/>
      <c r="C19" s="1229" t="s">
        <v>648</v>
      </c>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643"/>
      <c r="Z19" s="643"/>
      <c r="AA19" s="643"/>
      <c r="AB19" s="643"/>
      <c r="AC19" s="643"/>
      <c r="AD19" s="643"/>
      <c r="AE19" s="295"/>
      <c r="AF19" s="290"/>
      <c r="AG19" s="290"/>
      <c r="AH19" s="290"/>
      <c r="AI19" s="290"/>
      <c r="AJ19" s="290"/>
      <c r="AK19" s="290"/>
      <c r="AL19" s="290"/>
      <c r="AM19" s="290"/>
    </row>
    <row r="20" spans="2:39" ht="62.25" customHeight="1">
      <c r="B20" s="298"/>
      <c r="C20" s="1229" t="s">
        <v>652</v>
      </c>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643"/>
      <c r="Z20" s="643"/>
      <c r="AA20" s="643"/>
      <c r="AB20" s="643"/>
      <c r="AC20" s="643"/>
      <c r="AD20" s="643"/>
      <c r="AE20" s="448"/>
      <c r="AF20" s="290"/>
      <c r="AG20" s="290"/>
      <c r="AH20" s="290"/>
      <c r="AI20" s="290"/>
      <c r="AJ20" s="290"/>
      <c r="AK20" s="290"/>
      <c r="AL20" s="290"/>
      <c r="AM20" s="290"/>
    </row>
    <row r="21" spans="2:39" ht="51" customHeight="1">
      <c r="B21" s="298"/>
      <c r="C21" s="1229" t="s">
        <v>653</v>
      </c>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643"/>
      <c r="Z21" s="643"/>
      <c r="AA21" s="643"/>
      <c r="AB21" s="643"/>
      <c r="AC21" s="643"/>
      <c r="AD21" s="643"/>
      <c r="AE21" s="301"/>
      <c r="AF21" s="290"/>
      <c r="AG21" s="290"/>
      <c r="AH21" s="290"/>
      <c r="AI21" s="290"/>
      <c r="AJ21" s="290"/>
      <c r="AK21" s="290"/>
      <c r="AL21" s="290"/>
      <c r="AM21" s="290"/>
    </row>
    <row r="22" spans="2:39" ht="72.75" customHeight="1">
      <c r="B22" s="298"/>
      <c r="C22" s="1229" t="s">
        <v>665</v>
      </c>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643"/>
      <c r="Z22" s="643"/>
      <c r="AA22" s="643"/>
      <c r="AB22" s="643"/>
      <c r="AC22" s="643"/>
      <c r="AD22" s="643"/>
      <c r="AE22" s="448"/>
      <c r="AF22" s="290"/>
      <c r="AG22" s="290"/>
      <c r="AH22" s="290"/>
      <c r="AI22" s="290"/>
      <c r="AJ22" s="290"/>
      <c r="AK22" s="290"/>
      <c r="AL22" s="290"/>
      <c r="AM22" s="290"/>
    </row>
    <row r="23" spans="2:39" ht="15.6">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6">
      <c r="B24" s="1230"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6">
      <c r="B25" s="1230"/>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6">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6">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6">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6">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6">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6">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6">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1220" t="s">
        <v>213</v>
      </c>
      <c r="C34" s="1222" t="s">
        <v>33</v>
      </c>
      <c r="D34" s="309" t="s">
        <v>427</v>
      </c>
      <c r="E34" s="1224" t="s">
        <v>211</v>
      </c>
      <c r="F34" s="1225"/>
      <c r="G34" s="1225"/>
      <c r="H34" s="1225"/>
      <c r="I34" s="1225"/>
      <c r="J34" s="1225"/>
      <c r="K34" s="1225"/>
      <c r="L34" s="1225"/>
      <c r="M34" s="1226"/>
      <c r="N34" s="1227" t="s">
        <v>215</v>
      </c>
      <c r="O34" s="309" t="s">
        <v>428</v>
      </c>
      <c r="P34" s="1224" t="s">
        <v>214</v>
      </c>
      <c r="Q34" s="1225"/>
      <c r="R34" s="1225"/>
      <c r="S34" s="1225"/>
      <c r="T34" s="1225"/>
      <c r="U34" s="1225"/>
      <c r="V34" s="1225"/>
      <c r="W34" s="1225"/>
      <c r="X34" s="1226"/>
      <c r="Y34" s="1217" t="s">
        <v>246</v>
      </c>
      <c r="Z34" s="1218"/>
      <c r="AA34" s="1218"/>
      <c r="AB34" s="1218"/>
      <c r="AC34" s="1218"/>
      <c r="AD34" s="1218"/>
      <c r="AE34" s="1218"/>
      <c r="AF34" s="1218"/>
      <c r="AG34" s="1218"/>
      <c r="AH34" s="1218"/>
      <c r="AI34" s="1218"/>
      <c r="AJ34" s="1218"/>
      <c r="AK34" s="1218"/>
      <c r="AL34" s="1218"/>
      <c r="AM34" s="1219"/>
    </row>
    <row r="35" spans="1:39" ht="65.25" customHeight="1">
      <c r="B35" s="1221"/>
      <c r="C35" s="1223"/>
      <c r="D35" s="310">
        <v>2015</v>
      </c>
      <c r="E35" s="310">
        <v>2016</v>
      </c>
      <c r="F35" s="310">
        <v>2017</v>
      </c>
      <c r="G35" s="310">
        <v>2018</v>
      </c>
      <c r="H35" s="310">
        <v>2019</v>
      </c>
      <c r="I35" s="310">
        <v>2020</v>
      </c>
      <c r="J35" s="310">
        <v>2021</v>
      </c>
      <c r="K35" s="310">
        <v>2022</v>
      </c>
      <c r="L35" s="310">
        <v>2023</v>
      </c>
      <c r="M35" s="449">
        <v>2024</v>
      </c>
      <c r="N35" s="1228"/>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t="15"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t="15"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6"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t="15"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t="15"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6"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t="15"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t="15"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t="15"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t="15"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t="15"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t="15"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t="15"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t="15"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t="15"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t="15"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t="15"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v>0.14000000000000001</v>
      </c>
      <c r="AA57" s="561">
        <v>0.86</v>
      </c>
      <c r="AB57" s="430"/>
      <c r="AC57" s="561"/>
      <c r="AD57" s="430"/>
      <c r="AE57" s="430"/>
      <c r="AF57" s="435"/>
      <c r="AG57" s="435"/>
      <c r="AH57" s="435"/>
      <c r="AI57" s="435"/>
      <c r="AJ57" s="435"/>
      <c r="AK57" s="435"/>
      <c r="AL57" s="435"/>
      <c r="AM57" s="321">
        <f>SUM(Y57:AL57)</f>
        <v>1</v>
      </c>
    </row>
    <row r="58" spans="1:39" ht="15" outlineLevel="1">
      <c r="B58" s="319" t="s">
        <v>270</v>
      </c>
      <c r="C58" s="316" t="s">
        <v>164</v>
      </c>
      <c r="D58" s="320">
        <v>2316888</v>
      </c>
      <c r="E58" s="320">
        <f>D58*(E57/D57)</f>
        <v>2316888</v>
      </c>
      <c r="F58" s="320">
        <f t="shared" ref="F58:M58" si="71">E58*(F57/E57)</f>
        <v>2311390.7681208947</v>
      </c>
      <c r="G58" s="320">
        <f t="shared" si="71"/>
        <v>2311390.7681208947</v>
      </c>
      <c r="H58" s="320">
        <f t="shared" si="71"/>
        <v>2311390.7681208947</v>
      </c>
      <c r="I58" s="320">
        <f t="shared" si="71"/>
        <v>2311390.7681208947</v>
      </c>
      <c r="J58" s="320">
        <f t="shared" si="71"/>
        <v>2268173.4349453007</v>
      </c>
      <c r="K58" s="320">
        <f t="shared" si="71"/>
        <v>2268173.4349453007</v>
      </c>
      <c r="L58" s="320">
        <f t="shared" si="71"/>
        <v>2207341.8995226128</v>
      </c>
      <c r="M58" s="320">
        <f t="shared" si="71"/>
        <v>2051473.800455326</v>
      </c>
      <c r="N58" s="320">
        <f>N57</f>
        <v>12</v>
      </c>
      <c r="O58" s="320">
        <v>399</v>
      </c>
      <c r="P58" s="320">
        <f>O58*(P57/O57)</f>
        <v>399</v>
      </c>
      <c r="Q58" s="320">
        <f t="shared" ref="Q58:X58" si="72">P58*(Q57/P57)</f>
        <v>399</v>
      </c>
      <c r="R58" s="320">
        <f t="shared" si="72"/>
        <v>396.51302541153905</v>
      </c>
      <c r="S58" s="320">
        <f t="shared" si="72"/>
        <v>396.51302541153905</v>
      </c>
      <c r="T58" s="320">
        <f t="shared" si="72"/>
        <v>396.51302541153905</v>
      </c>
      <c r="U58" s="320">
        <f t="shared" si="72"/>
        <v>396.51302541153905</v>
      </c>
      <c r="V58" s="320">
        <f t="shared" si="72"/>
        <v>385.60859836982576</v>
      </c>
      <c r="W58" s="320">
        <f t="shared" si="72"/>
        <v>385.60859836982576</v>
      </c>
      <c r="X58" s="320">
        <f t="shared" si="72"/>
        <v>373.62010548186026</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t="15"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t="15" outlineLevel="1">
      <c r="B61" s="319" t="s">
        <v>270</v>
      </c>
      <c r="C61" s="316" t="s">
        <v>164</v>
      </c>
      <c r="D61" s="320"/>
      <c r="E61" s="320"/>
      <c r="F61" s="320"/>
      <c r="G61" s="320"/>
      <c r="H61" s="320"/>
      <c r="I61" s="320"/>
      <c r="J61" s="320"/>
      <c r="K61" s="320"/>
      <c r="L61" s="320"/>
      <c r="M61" s="320"/>
      <c r="N61" s="320">
        <f>N60</f>
        <v>12</v>
      </c>
      <c r="O61" s="320"/>
      <c r="P61" s="320"/>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t="15"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t="15"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t="15"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t="15"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t="15"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6"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t="15"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t="15"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30"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t="15"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t="15"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t="15"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t="15"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6"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t="15"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t="15"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t="15"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6"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t="15"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t="15"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t="15"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t="15"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t="15"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t="15"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6"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t="15"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t="15"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t="15"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t="15"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t="15"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t="15"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t="15"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t="15"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t="15"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t="15"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t="15"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6"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6"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6"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t="15"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t="15"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t="15"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t="15"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t="15"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t="15" outlineLevel="1">
      <c r="B112" s="319" t="s">
        <v>270</v>
      </c>
      <c r="C112" s="316" t="s">
        <v>164</v>
      </c>
      <c r="D112" s="320">
        <v>992</v>
      </c>
      <c r="E112" s="320">
        <f>D112</f>
        <v>992</v>
      </c>
      <c r="F112" s="320">
        <f t="shared" ref="F112:M112" si="215">E112</f>
        <v>992</v>
      </c>
      <c r="G112" s="320">
        <f t="shared" si="215"/>
        <v>992</v>
      </c>
      <c r="H112" s="320">
        <f t="shared" si="215"/>
        <v>992</v>
      </c>
      <c r="I112" s="320">
        <f t="shared" si="215"/>
        <v>992</v>
      </c>
      <c r="J112" s="320">
        <f t="shared" si="215"/>
        <v>992</v>
      </c>
      <c r="K112" s="320">
        <f t="shared" si="215"/>
        <v>992</v>
      </c>
      <c r="L112" s="320">
        <f t="shared" si="215"/>
        <v>992</v>
      </c>
      <c r="M112" s="320">
        <f t="shared" si="215"/>
        <v>992</v>
      </c>
      <c r="N112" s="316"/>
      <c r="O112" s="320">
        <v>0</v>
      </c>
      <c r="P112" s="320"/>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t="15"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15"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t="15"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t="15"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6"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t="15"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t="15"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t="15"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t="15" outlineLevel="1">
      <c r="A121" s="550">
        <v>26</v>
      </c>
      <c r="B121" s="885"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v>0.14000000000000001</v>
      </c>
      <c r="AA121" s="561">
        <v>0.86</v>
      </c>
      <c r="AB121" s="430"/>
      <c r="AC121" s="561"/>
      <c r="AD121" s="430"/>
      <c r="AE121" s="430"/>
      <c r="AF121" s="435"/>
      <c r="AG121" s="435"/>
      <c r="AH121" s="435"/>
      <c r="AI121" s="435"/>
      <c r="AJ121" s="435"/>
      <c r="AK121" s="435"/>
      <c r="AL121" s="435"/>
      <c r="AM121" s="321">
        <f>SUM(Y121:AL121)</f>
        <v>1</v>
      </c>
    </row>
    <row r="122" spans="1:39" ht="15" outlineLevel="1">
      <c r="B122" s="886" t="s">
        <v>270</v>
      </c>
      <c r="C122" s="316" t="s">
        <v>164</v>
      </c>
      <c r="D122" s="320">
        <v>12562665</v>
      </c>
      <c r="E122" s="320">
        <f>D122*(E121/D121)</f>
        <v>12562665</v>
      </c>
      <c r="F122" s="320">
        <f t="shared" ref="F122:M122" si="257">E122*(F121/E121)</f>
        <v>12464613.744653722</v>
      </c>
      <c r="G122" s="320">
        <f t="shared" si="257"/>
        <v>12464613.744653722</v>
      </c>
      <c r="H122" s="320">
        <f t="shared" si="257"/>
        <v>12464613.744653722</v>
      </c>
      <c r="I122" s="320">
        <f t="shared" si="257"/>
        <v>12464613.744653722</v>
      </c>
      <c r="J122" s="320">
        <f t="shared" si="257"/>
        <v>11973120.697730225</v>
      </c>
      <c r="K122" s="320">
        <f t="shared" si="257"/>
        <v>11973120.697730225</v>
      </c>
      <c r="L122" s="320">
        <f t="shared" si="257"/>
        <v>11859647.032604087</v>
      </c>
      <c r="M122" s="320">
        <f t="shared" si="257"/>
        <v>10254299.282986941</v>
      </c>
      <c r="N122" s="320">
        <f>N121</f>
        <v>12</v>
      </c>
      <c r="O122" s="320">
        <v>1734</v>
      </c>
      <c r="P122" s="320">
        <f t="shared" ref="P122:X122" si="258">O122*(P121/O121)</f>
        <v>1734</v>
      </c>
      <c r="Q122" s="320">
        <f t="shared" si="258"/>
        <v>1734</v>
      </c>
      <c r="R122" s="320">
        <f t="shared" si="258"/>
        <v>1701.7804054054054</v>
      </c>
      <c r="S122" s="320">
        <f t="shared" si="258"/>
        <v>1701.7804054054054</v>
      </c>
      <c r="T122" s="320">
        <f t="shared" si="258"/>
        <v>1701.7804054054054</v>
      </c>
      <c r="U122" s="320">
        <f t="shared" si="258"/>
        <v>1701.7804054054054</v>
      </c>
      <c r="V122" s="320">
        <f t="shared" si="258"/>
        <v>1619.7668918918919</v>
      </c>
      <c r="W122" s="320">
        <f t="shared" si="258"/>
        <v>1619.7668918918919</v>
      </c>
      <c r="X122" s="320">
        <f t="shared" si="258"/>
        <v>1587.5472972972973</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t="15"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t="15"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t="15"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t="15"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t="15"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t="15"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t="15"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t="15"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t="15"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t="15"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t="15"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15"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t="15"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t="15"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6"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t="15"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t="15"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t="15"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t="15"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t="15"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t="15"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t="15"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t="15"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t="15"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6"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t="15"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t="15"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t="15"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t="15"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t="15"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t="15"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t="15"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t="15"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t="15"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t="15"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t="15"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t="15"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t="15"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30"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t="15"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t="15"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15"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t="15"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t="15"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t="15"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t="15"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t="15"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t="15"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t="15"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t="15"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t="15"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t="15"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30"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t="15"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t="15"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t="15"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t="15"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6">
      <c r="B195" s="352" t="s">
        <v>274</v>
      </c>
      <c r="C195" s="354"/>
      <c r="D195" s="354">
        <f>SUM(D38:D193)</f>
        <v>99706929</v>
      </c>
      <c r="E195" s="354"/>
      <c r="F195" s="354"/>
      <c r="G195" s="354"/>
      <c r="H195" s="354"/>
      <c r="I195" s="354"/>
      <c r="J195" s="354"/>
      <c r="K195" s="354"/>
      <c r="L195" s="354"/>
      <c r="M195" s="354"/>
      <c r="N195" s="354"/>
      <c r="O195" s="354">
        <f>SUM(O38:O193)</f>
        <v>15543</v>
      </c>
      <c r="P195" s="354"/>
      <c r="Q195" s="354"/>
      <c r="R195" s="354"/>
      <c r="S195" s="354"/>
      <c r="T195" s="354"/>
      <c r="U195" s="354"/>
      <c r="V195" s="354"/>
      <c r="W195" s="354"/>
      <c r="X195" s="354"/>
      <c r="Y195" s="875">
        <f>IF(Y36="kWh",SUMPRODUCT(D38:D193,Y38:Y193))</f>
        <v>18677311</v>
      </c>
      <c r="Z195" s="875">
        <f>IF(Z36="kWh",SUMPRODUCT(D38:D193,Z38:Z193))</f>
        <v>11963081.439999999</v>
      </c>
      <c r="AA195" s="875">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6">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9" customFormat="1" ht="15">
      <c r="A197" s="762"/>
      <c r="B197" s="763" t="s">
        <v>743</v>
      </c>
      <c r="C197" s="764"/>
      <c r="D197" s="770">
        <v>0</v>
      </c>
      <c r="E197" s="764"/>
      <c r="F197" s="764"/>
      <c r="G197" s="764"/>
      <c r="H197" s="764"/>
      <c r="I197" s="764"/>
      <c r="J197" s="764"/>
      <c r="K197" s="764"/>
      <c r="L197" s="764"/>
      <c r="M197" s="764"/>
      <c r="N197" s="764"/>
      <c r="O197" s="770">
        <v>0</v>
      </c>
      <c r="P197" s="764"/>
      <c r="Q197" s="764"/>
      <c r="R197" s="764"/>
      <c r="S197" s="766"/>
      <c r="T197" s="766"/>
      <c r="U197" s="766"/>
      <c r="V197" s="766"/>
      <c r="W197" s="764"/>
      <c r="X197" s="764"/>
      <c r="Y197" s="765"/>
      <c r="Z197" s="765"/>
      <c r="AA197" s="765"/>
      <c r="AB197" s="765"/>
      <c r="AC197" s="765"/>
      <c r="AD197" s="765"/>
      <c r="AE197" s="765"/>
      <c r="AF197" s="767"/>
      <c r="AG197" s="767"/>
      <c r="AH197" s="767"/>
      <c r="AI197" s="767"/>
      <c r="AJ197" s="767"/>
      <c r="AK197" s="767"/>
      <c r="AL197" s="767"/>
      <c r="AM197" s="768"/>
    </row>
    <row r="198" spans="1:39" ht="15">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0</v>
      </c>
      <c r="Z198" s="365">
        <f>HLOOKUP(Z$35,'3.  Distribution Rates'!$C$122:$P$133,7,FALSE)</f>
        <v>0</v>
      </c>
      <c r="AA198" s="365">
        <f>HLOOKUP(AA$35,'3.  Distribution Rates'!$C$122:$P$133,7,FALSE)</f>
        <v>0</v>
      </c>
      <c r="AB198" s="365">
        <f>HLOOKUP(AB$35,'3.  Distribution Rates'!$C$122:$P$133,7,FALSE)</f>
        <v>0</v>
      </c>
      <c r="AC198" s="365">
        <f>HLOOKUP(AC$35,'3.  Distribution Rates'!$C$122:$P$133,7,FALSE)</f>
        <v>0</v>
      </c>
      <c r="AD198" s="365">
        <f>HLOOKUP(AD$35,'3.  Distribution Rates'!$C$122:$P$133,7,FALSE)</f>
        <v>0</v>
      </c>
      <c r="AE198" s="365">
        <f>HLOOKUP(AE$35,'3.  Distribution Rates'!$C$122:$P$133,7,FALSE)</f>
        <v>0</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ht="15">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0</v>
      </c>
      <c r="Z199" s="402">
        <f>'4.  2011-2014 LRAM'!Z138*Z198</f>
        <v>0</v>
      </c>
      <c r="AA199" s="402">
        <f>'4.  2011-2014 LRAM'!AA138*AA198</f>
        <v>0</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0</v>
      </c>
    </row>
    <row r="200" spans="1:39" ht="15">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0</v>
      </c>
      <c r="Z200" s="402">
        <f>'4.  2011-2014 LRAM'!Z267*Z198</f>
        <v>0</v>
      </c>
      <c r="AA200" s="402">
        <f>'4.  2011-2014 LRAM'!AA267*AA198</f>
        <v>0</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0</v>
      </c>
    </row>
    <row r="201" spans="1:39" ht="15">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0</v>
      </c>
      <c r="Z201" s="402">
        <f>'4.  2011-2014 LRAM'!Z396*Z198</f>
        <v>0</v>
      </c>
      <c r="AA201" s="402">
        <f>'4.  2011-2014 LRAM'!AA396*AA198</f>
        <v>0</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0</v>
      </c>
    </row>
    <row r="202" spans="1:39" ht="15">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0</v>
      </c>
      <c r="Z202" s="402">
        <f>'4.  2011-2014 LRAM'!Z526*Z198</f>
        <v>0</v>
      </c>
      <c r="AA202" s="402">
        <f>'4.  2011-2014 LRAM'!AA526*AA198</f>
        <v>0</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0</v>
      </c>
    </row>
    <row r="203" spans="1:39" ht="15">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0</v>
      </c>
      <c r="Z203" s="402">
        <f t="shared" ref="Z203:AL203" si="571">Z195*Z198</f>
        <v>0</v>
      </c>
      <c r="AA203" s="402">
        <f t="shared" si="571"/>
        <v>0</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0</v>
      </c>
    </row>
    <row r="204" spans="1:39" ht="15.6">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0</v>
      </c>
      <c r="Z204" s="370">
        <f>SUM(Z199:Z203)</f>
        <v>0</v>
      </c>
      <c r="AA204" s="370">
        <f t="shared" ref="AA204:AE204" si="572">SUM(AA199:AA203)</f>
        <v>0</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0</v>
      </c>
    </row>
    <row r="205" spans="1:39" ht="15.6">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0</v>
      </c>
      <c r="Z205" s="371">
        <f t="shared" ref="Z205:AE205" si="574">Z196*Z198</f>
        <v>0</v>
      </c>
      <c r="AA205" s="371">
        <f t="shared" si="574"/>
        <v>0</v>
      </c>
      <c r="AB205" s="371">
        <f t="shared" si="574"/>
        <v>0</v>
      </c>
      <c r="AC205" s="371">
        <f t="shared" si="574"/>
        <v>0</v>
      </c>
      <c r="AD205" s="371">
        <f t="shared" si="574"/>
        <v>0</v>
      </c>
      <c r="AE205" s="371">
        <f t="shared" si="574"/>
        <v>0</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0</v>
      </c>
    </row>
    <row r="206" spans="1:39" ht="15.6">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0</v>
      </c>
    </row>
    <row r="207" spans="1:39" ht="15">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ht="15">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18498335.104514599</v>
      </c>
      <c r="Z208" s="316">
        <f>SUMPRODUCT(E38:E193,Z38:Z193)</f>
        <v>11869887.439999999</v>
      </c>
      <c r="AA208" s="316">
        <f>IF(AA36="kw",SUMPRODUCT(N38:N193,P38:P193,AA38:AA193),SUMPRODUCT(E38:E193,AA38:AA193))</f>
        <v>110298.23999999999</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ht="15">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18493785.104514599</v>
      </c>
      <c r="Z209" s="316">
        <f>SUMPRODUCT(F38:F193,Z38:Z193)</f>
        <v>11241822.851788448</v>
      </c>
      <c r="AA209" s="316">
        <f>IF(AA36="kw",SUMPRODUCT(N38:N193,Q38:Q193,AA38:AA193),SUMPRODUCT(F38:F193,AA38:AA193))</f>
        <v>109650.23999999999</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ht="15">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18488713.104514599</v>
      </c>
      <c r="Z210" s="316">
        <f>SUMPRODUCT(G38:G193,Z38:Z193)</f>
        <v>11241822.851788448</v>
      </c>
      <c r="AA210" s="316">
        <f>IF(AA36="kw",SUMPRODUCT(N38:N193,R38:R193,AA38:AA193),SUMPRODUCT(G38:G193,AA38:AA193))</f>
        <v>108212.06820603088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ht="15">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18426148.104514599</v>
      </c>
      <c r="Z211" s="316">
        <f>SUMPRODUCT(H38:H193,Z38:Z193)</f>
        <v>11241822.851788448</v>
      </c>
      <c r="AA211" s="316">
        <f>IF(AA36="kw",SUMPRODUCT(N38:N193,S38:S193,AA38:AA193),SUMPRODUCT(H38:H193,AA38:AA193))</f>
        <v>108212.06820603088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ht="15">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18331323.104514599</v>
      </c>
      <c r="Z212" s="351">
        <f>SUMPRODUCT(I38:I193,Z38:Z193)</f>
        <v>11241822.851788448</v>
      </c>
      <c r="AA212" s="351">
        <f>IF(AA36="kw",SUMPRODUCT(N38:N193,T38:T193,AA38:AA193),SUMPRODUCT(I38:I193,AA38:AA193))</f>
        <v>100988.06820603086</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6">
      <c r="B214" s="458"/>
    </row>
    <row r="215" spans="1:39" ht="15.6">
      <c r="B215" s="458"/>
    </row>
    <row r="216" spans="1:39" ht="15.6">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1220" t="s">
        <v>213</v>
      </c>
      <c r="C217" s="1222" t="s">
        <v>33</v>
      </c>
      <c r="D217" s="309" t="s">
        <v>427</v>
      </c>
      <c r="E217" s="1224" t="s">
        <v>211</v>
      </c>
      <c r="F217" s="1225"/>
      <c r="G217" s="1225"/>
      <c r="H217" s="1225"/>
      <c r="I217" s="1225"/>
      <c r="J217" s="1225"/>
      <c r="K217" s="1225"/>
      <c r="L217" s="1225"/>
      <c r="M217" s="1226"/>
      <c r="N217" s="1227" t="s">
        <v>215</v>
      </c>
      <c r="O217" s="309" t="s">
        <v>428</v>
      </c>
      <c r="P217" s="1224" t="s">
        <v>214</v>
      </c>
      <c r="Q217" s="1225"/>
      <c r="R217" s="1225"/>
      <c r="S217" s="1225"/>
      <c r="T217" s="1225"/>
      <c r="U217" s="1225"/>
      <c r="V217" s="1225"/>
      <c r="W217" s="1225"/>
      <c r="X217" s="1226"/>
      <c r="Y217" s="1217" t="s">
        <v>246</v>
      </c>
      <c r="Z217" s="1218"/>
      <c r="AA217" s="1218"/>
      <c r="AB217" s="1218"/>
      <c r="AC217" s="1218"/>
      <c r="AD217" s="1218"/>
      <c r="AE217" s="1218"/>
      <c r="AF217" s="1218"/>
      <c r="AG217" s="1218"/>
      <c r="AH217" s="1218"/>
      <c r="AI217" s="1218"/>
      <c r="AJ217" s="1218"/>
      <c r="AK217" s="1218"/>
      <c r="AL217" s="1218"/>
      <c r="AM217" s="1219"/>
    </row>
    <row r="218" spans="1:39" ht="60.75" customHeight="1">
      <c r="B218" s="1221"/>
      <c r="C218" s="1223"/>
      <c r="D218" s="310">
        <v>2016</v>
      </c>
      <c r="E218" s="310">
        <v>2017</v>
      </c>
      <c r="F218" s="310">
        <v>2018</v>
      </c>
      <c r="G218" s="310">
        <v>2019</v>
      </c>
      <c r="H218" s="310">
        <v>2020</v>
      </c>
      <c r="I218" s="310">
        <v>2021</v>
      </c>
      <c r="J218" s="310">
        <v>2022</v>
      </c>
      <c r="K218" s="310">
        <v>2023</v>
      </c>
      <c r="L218" s="310">
        <v>2024</v>
      </c>
      <c r="M218" s="310">
        <v>2025</v>
      </c>
      <c r="N218" s="1228"/>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6"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t="15"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t="15"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6"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t="15"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t="15"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6"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t="15"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t="15"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t="15"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t="15"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t="15"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t="15"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t="15"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t="15"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6"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t="15"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t="15"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t="15"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t="15"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t="15"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t="15"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t="15"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t="15"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t="15"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t="15"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t="15"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6"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t="15"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t="15"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30"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t="15"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t="15"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t="15"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t="15"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6"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t="15"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t="15"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t="15"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6"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t="15"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t="15"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t="15"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t="15"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t="15"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t="15"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6"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t="15"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t="15"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t="15"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t="30" outlineLevel="1">
      <c r="A277" s="550">
        <v>18</v>
      </c>
      <c r="B277" s="549" t="s">
        <v>823</v>
      </c>
      <c r="C277" s="316" t="s">
        <v>25</v>
      </c>
      <c r="D277" s="320">
        <v>6077</v>
      </c>
      <c r="E277" s="320">
        <f>'7-f.  2016'!BC34</f>
        <v>6077</v>
      </c>
      <c r="F277" s="320">
        <f>'7-f.  2016'!BD34</f>
        <v>6077</v>
      </c>
      <c r="G277" s="320">
        <f>'7-f.  2016'!BE34</f>
        <v>6077</v>
      </c>
      <c r="H277" s="320">
        <f>'7-f.  2016'!BF34</f>
        <v>6077</v>
      </c>
      <c r="I277" s="320">
        <f>'7-f.  2016'!BG34</f>
        <v>6077</v>
      </c>
      <c r="J277" s="320">
        <f>'7-f.  2016'!BH34</f>
        <v>6077</v>
      </c>
      <c r="K277" s="320">
        <f>'7-f.  2016'!BI34</f>
        <v>6077</v>
      </c>
      <c r="L277" s="320">
        <f>'7-f.  2016'!BJ34</f>
        <v>6077</v>
      </c>
      <c r="M277" s="320">
        <f>'7-f.  2016'!BK34</f>
        <v>6077</v>
      </c>
      <c r="N277" s="320">
        <v>0</v>
      </c>
      <c r="O277" s="320">
        <v>1</v>
      </c>
      <c r="P277" s="320">
        <f>'7-f.  2016'!X34</f>
        <v>1</v>
      </c>
      <c r="Q277" s="320">
        <f>'7-f.  2016'!Y34</f>
        <v>1</v>
      </c>
      <c r="R277" s="320">
        <f>'7-f.  2016'!Z34</f>
        <v>1</v>
      </c>
      <c r="S277" s="320">
        <f>'7-f.  2016'!AA34</f>
        <v>1</v>
      </c>
      <c r="T277" s="320">
        <f>'7-f.  2016'!AB34</f>
        <v>1</v>
      </c>
      <c r="U277" s="320">
        <f>'7-f.  2016'!AC34</f>
        <v>1</v>
      </c>
      <c r="V277" s="320">
        <f>'7-f.  2016'!AD34</f>
        <v>1</v>
      </c>
      <c r="W277" s="320">
        <f>'7-f.  2016'!AE34</f>
        <v>1</v>
      </c>
      <c r="X277" s="320">
        <f>'7-f.  2016'!AF34</f>
        <v>1</v>
      </c>
      <c r="Y277" s="446">
        <v>1</v>
      </c>
      <c r="Z277" s="430"/>
      <c r="AA277" s="430"/>
      <c r="AB277" s="430"/>
      <c r="AC277" s="430"/>
      <c r="AD277" s="430"/>
      <c r="AE277" s="430"/>
      <c r="AF277" s="435"/>
      <c r="AG277" s="435"/>
      <c r="AH277" s="435"/>
      <c r="AI277" s="435"/>
      <c r="AJ277" s="435"/>
      <c r="AK277" s="435"/>
      <c r="AL277" s="435"/>
      <c r="AM277" s="321">
        <f>SUM(Y277:AL277)</f>
        <v>1</v>
      </c>
    </row>
    <row r="278" spans="1:39" ht="15"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1</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t="15" outlineLevel="1">
      <c r="B279" s="319"/>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2"/>
      <c r="Z279" s="445"/>
      <c r="AA279" s="445"/>
      <c r="AB279" s="445"/>
      <c r="AC279" s="445"/>
      <c r="AD279" s="445"/>
      <c r="AE279" s="445"/>
      <c r="AF279" s="445"/>
      <c r="AG279" s="445"/>
      <c r="AH279" s="445"/>
      <c r="AI279" s="445"/>
      <c r="AJ279" s="445"/>
      <c r="AK279" s="445"/>
      <c r="AL279" s="445"/>
      <c r="AM279" s="331"/>
    </row>
    <row r="280" spans="1:39" ht="15" outlineLevel="1">
      <c r="A280" s="550">
        <v>19</v>
      </c>
      <c r="B280" s="549" t="s">
        <v>110</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t="15"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31"/>
    </row>
    <row r="282" spans="1:39" ht="15"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43"/>
      <c r="Z282" s="444"/>
      <c r="AA282" s="444"/>
      <c r="AB282" s="444"/>
      <c r="AC282" s="444"/>
      <c r="AD282" s="444"/>
      <c r="AE282" s="444"/>
      <c r="AF282" s="444"/>
      <c r="AG282" s="444"/>
      <c r="AH282" s="444"/>
      <c r="AI282" s="444"/>
      <c r="AJ282" s="444"/>
      <c r="AK282" s="444"/>
      <c r="AL282" s="444"/>
      <c r="AM282" s="322"/>
    </row>
    <row r="283" spans="1:39" ht="15" outlineLevel="1">
      <c r="A283" s="550">
        <v>20</v>
      </c>
      <c r="B283" s="549" t="s">
        <v>112</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t="15"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Y283</f>
        <v>0</v>
      </c>
      <c r="Z284" s="431">
        <f t="shared" ref="Z284:AL284" si="763">Z283</f>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22"/>
    </row>
    <row r="285" spans="1:39" ht="15" outlineLevel="1">
      <c r="B285" s="347"/>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t="15" outlineLevel="1">
      <c r="A286" s="550">
        <v>21</v>
      </c>
      <c r="B286" s="549" t="s">
        <v>111</v>
      </c>
      <c r="C286" s="316" t="s">
        <v>25</v>
      </c>
      <c r="D286" s="320"/>
      <c r="E286" s="320"/>
      <c r="F286" s="320"/>
      <c r="G286" s="320"/>
      <c r="H286" s="320"/>
      <c r="I286" s="320"/>
      <c r="J286" s="320"/>
      <c r="K286" s="320"/>
      <c r="L286" s="320"/>
      <c r="M286" s="320"/>
      <c r="N286" s="320">
        <v>0</v>
      </c>
      <c r="O286" s="320"/>
      <c r="P286" s="320"/>
      <c r="Q286" s="320"/>
      <c r="R286" s="320"/>
      <c r="S286" s="320"/>
      <c r="T286" s="320"/>
      <c r="U286" s="320"/>
      <c r="V286" s="320"/>
      <c r="W286" s="320"/>
      <c r="X286" s="320"/>
      <c r="Y286" s="446"/>
      <c r="Z286" s="430"/>
      <c r="AA286" s="430"/>
      <c r="AB286" s="430"/>
      <c r="AC286" s="430"/>
      <c r="AD286" s="430"/>
      <c r="AE286" s="430"/>
      <c r="AF286" s="435"/>
      <c r="AG286" s="435"/>
      <c r="AH286" s="435"/>
      <c r="AI286" s="435"/>
      <c r="AJ286" s="435"/>
      <c r="AK286" s="435"/>
      <c r="AL286" s="435"/>
      <c r="AM286" s="321">
        <f>SUM(Y286:AL286)</f>
        <v>0</v>
      </c>
    </row>
    <row r="287" spans="1:39" ht="15" outlineLevel="1">
      <c r="B287" s="319" t="s">
        <v>292</v>
      </c>
      <c r="C287" s="316" t="s">
        <v>164</v>
      </c>
      <c r="D287" s="320"/>
      <c r="E287" s="320"/>
      <c r="F287" s="320"/>
      <c r="G287" s="320"/>
      <c r="H287" s="320"/>
      <c r="I287" s="320"/>
      <c r="J287" s="320"/>
      <c r="K287" s="320"/>
      <c r="L287" s="320"/>
      <c r="M287" s="320"/>
      <c r="N287" s="320">
        <f>N286</f>
        <v>0</v>
      </c>
      <c r="O287" s="320"/>
      <c r="P287" s="320"/>
      <c r="Q287" s="320"/>
      <c r="R287" s="320"/>
      <c r="S287" s="320"/>
      <c r="T287" s="320"/>
      <c r="U287" s="320"/>
      <c r="V287" s="320"/>
      <c r="W287" s="320"/>
      <c r="X287" s="320"/>
      <c r="Y287" s="431">
        <f t="shared" ref="Y287:AL287" si="764">Y286</f>
        <v>0</v>
      </c>
      <c r="Z287" s="431">
        <f t="shared" si="764"/>
        <v>0</v>
      </c>
      <c r="AA287" s="431">
        <f t="shared" si="764"/>
        <v>0</v>
      </c>
      <c r="AB287" s="431">
        <f t="shared" si="764"/>
        <v>0</v>
      </c>
      <c r="AC287" s="431">
        <f t="shared" si="764"/>
        <v>0</v>
      </c>
      <c r="AD287" s="431">
        <f t="shared" si="764"/>
        <v>0</v>
      </c>
      <c r="AE287" s="431">
        <f t="shared" si="764"/>
        <v>0</v>
      </c>
      <c r="AF287" s="431">
        <f t="shared" si="764"/>
        <v>0</v>
      </c>
      <c r="AG287" s="431">
        <f t="shared" si="764"/>
        <v>0</v>
      </c>
      <c r="AH287" s="431">
        <f t="shared" si="764"/>
        <v>0</v>
      </c>
      <c r="AI287" s="431">
        <f t="shared" si="764"/>
        <v>0</v>
      </c>
      <c r="AJ287" s="431">
        <f t="shared" si="764"/>
        <v>0</v>
      </c>
      <c r="AK287" s="431">
        <f t="shared" si="764"/>
        <v>0</v>
      </c>
      <c r="AL287" s="431">
        <f t="shared" si="764"/>
        <v>0</v>
      </c>
      <c r="AM287" s="331"/>
    </row>
    <row r="288" spans="1:39" ht="15.6" outlineLevel="1">
      <c r="B288" s="348"/>
      <c r="C288" s="325"/>
      <c r="D288" s="316"/>
      <c r="E288" s="316"/>
      <c r="F288" s="316"/>
      <c r="G288" s="316"/>
      <c r="H288" s="316"/>
      <c r="I288" s="316"/>
      <c r="J288" s="316"/>
      <c r="K288" s="316"/>
      <c r="L288" s="316"/>
      <c r="M288" s="316"/>
      <c r="N288" s="325"/>
      <c r="O288" s="316"/>
      <c r="P288" s="316"/>
      <c r="Q288" s="316"/>
      <c r="R288" s="316"/>
      <c r="S288" s="316"/>
      <c r="T288" s="316"/>
      <c r="U288" s="316"/>
      <c r="V288" s="316"/>
      <c r="W288" s="316"/>
      <c r="X288" s="316"/>
      <c r="Y288" s="432"/>
      <c r="Z288" s="432"/>
      <c r="AA288" s="432"/>
      <c r="AB288" s="432"/>
      <c r="AC288" s="432"/>
      <c r="AD288" s="432"/>
      <c r="AE288" s="432"/>
      <c r="AF288" s="432"/>
      <c r="AG288" s="432"/>
      <c r="AH288" s="432"/>
      <c r="AI288" s="432"/>
      <c r="AJ288" s="432"/>
      <c r="AK288" s="432"/>
      <c r="AL288" s="432"/>
      <c r="AM288" s="331"/>
    </row>
    <row r="289" spans="1:39" ht="15.6" outlineLevel="1">
      <c r="B289" s="547" t="s">
        <v>517</v>
      </c>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442"/>
      <c r="Z289" s="445"/>
      <c r="AA289" s="445"/>
      <c r="AB289" s="445"/>
      <c r="AC289" s="445"/>
      <c r="AD289" s="445"/>
      <c r="AE289" s="445"/>
      <c r="AF289" s="445"/>
      <c r="AG289" s="445"/>
      <c r="AH289" s="445"/>
      <c r="AI289" s="445"/>
      <c r="AJ289" s="445"/>
      <c r="AK289" s="445"/>
      <c r="AL289" s="445"/>
      <c r="AM289" s="331"/>
    </row>
    <row r="290" spans="1:39" ht="15.6" outlineLevel="1">
      <c r="B290" s="313" t="s">
        <v>513</v>
      </c>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t="15" outlineLevel="1">
      <c r="A291" s="550">
        <v>22</v>
      </c>
      <c r="B291" s="549" t="s">
        <v>114</v>
      </c>
      <c r="C291" s="316" t="s">
        <v>25</v>
      </c>
      <c r="D291" s="320">
        <v>32980841</v>
      </c>
      <c r="E291" s="320">
        <f>'7-f.  2016'!BC24</f>
        <v>32980841</v>
      </c>
      <c r="F291" s="320">
        <f>'7-f.  2016'!BD24</f>
        <v>32980841</v>
      </c>
      <c r="G291" s="320">
        <f>'7-f.  2016'!BE24</f>
        <v>32980841</v>
      </c>
      <c r="H291" s="320">
        <f>'7-f.  2016'!BF24</f>
        <v>32980841</v>
      </c>
      <c r="I291" s="320">
        <f>'7-f.  2016'!BG24</f>
        <v>32980841</v>
      </c>
      <c r="J291" s="320">
        <f>'7-f.  2016'!BH24</f>
        <v>32980841</v>
      </c>
      <c r="K291" s="320">
        <f>'7-f.  2016'!BI24</f>
        <v>32975449</v>
      </c>
      <c r="L291" s="320">
        <f>'7-f.  2016'!BJ24</f>
        <v>32975449</v>
      </c>
      <c r="M291" s="320">
        <f>'7-f.  2016'!BK24</f>
        <v>32819269</v>
      </c>
      <c r="N291" s="316"/>
      <c r="O291" s="320">
        <v>2147</v>
      </c>
      <c r="P291" s="320">
        <f>'7-f.  2016'!X24</f>
        <v>2147</v>
      </c>
      <c r="Q291" s="320">
        <f>'7-f.  2016'!Y24</f>
        <v>2147</v>
      </c>
      <c r="R291" s="320">
        <f>'7-f.  2016'!Z24</f>
        <v>2147</v>
      </c>
      <c r="S291" s="320">
        <f>'7-f.  2016'!AA24</f>
        <v>2147</v>
      </c>
      <c r="T291" s="320">
        <f>'7-f.  2016'!AB24</f>
        <v>2147</v>
      </c>
      <c r="U291" s="320">
        <f>'7-f.  2016'!AC24</f>
        <v>2147</v>
      </c>
      <c r="V291" s="320">
        <f>'7-f.  2016'!AD24</f>
        <v>2147</v>
      </c>
      <c r="W291" s="320">
        <f>'7-f.  2016'!AE24</f>
        <v>2147</v>
      </c>
      <c r="X291" s="320">
        <f>'7-f.  2016'!AF24</f>
        <v>2137</v>
      </c>
      <c r="Y291" s="430">
        <v>1</v>
      </c>
      <c r="Z291" s="430"/>
      <c r="AA291" s="430"/>
      <c r="AB291" s="430"/>
      <c r="AC291" s="430"/>
      <c r="AD291" s="430"/>
      <c r="AE291" s="430"/>
      <c r="AF291" s="430"/>
      <c r="AG291" s="430"/>
      <c r="AH291" s="430"/>
      <c r="AI291" s="430"/>
      <c r="AJ291" s="430"/>
      <c r="AK291" s="430"/>
      <c r="AL291" s="430"/>
      <c r="AM291" s="321">
        <f>SUM(Y291:AL291)</f>
        <v>1</v>
      </c>
    </row>
    <row r="292" spans="1:39" ht="15" outlineLevel="1">
      <c r="B292" s="319" t="s">
        <v>292</v>
      </c>
      <c r="C292" s="316" t="s">
        <v>164</v>
      </c>
      <c r="D292" s="320"/>
      <c r="E292" s="320"/>
      <c r="F292" s="320"/>
      <c r="G292" s="320"/>
      <c r="H292" s="320"/>
      <c r="I292" s="320"/>
      <c r="J292" s="320"/>
      <c r="K292" s="320"/>
      <c r="L292" s="320"/>
      <c r="M292" s="320"/>
      <c r="N292" s="316"/>
      <c r="O292" s="320"/>
      <c r="P292" s="320"/>
      <c r="Q292" s="320"/>
      <c r="R292" s="320"/>
      <c r="S292" s="320"/>
      <c r="T292" s="320"/>
      <c r="U292" s="320"/>
      <c r="V292" s="320"/>
      <c r="W292" s="320"/>
      <c r="X292" s="320"/>
      <c r="Y292" s="431">
        <f>Y291</f>
        <v>1</v>
      </c>
      <c r="Z292" s="431">
        <f t="shared" ref="Z292" si="765">Z291</f>
        <v>0</v>
      </c>
      <c r="AA292" s="431">
        <f t="shared" ref="AA292" si="766">AA291</f>
        <v>0</v>
      </c>
      <c r="AB292" s="431">
        <f t="shared" ref="AB292" si="767">AB291</f>
        <v>0</v>
      </c>
      <c r="AC292" s="431">
        <f t="shared" ref="AC292" si="768">AC291</f>
        <v>0</v>
      </c>
      <c r="AD292" s="431">
        <f t="shared" ref="AD292" si="769">AD291</f>
        <v>0</v>
      </c>
      <c r="AE292" s="431">
        <f t="shared" ref="AE292" si="770">AE291</f>
        <v>0</v>
      </c>
      <c r="AF292" s="431">
        <f t="shared" ref="AF292" si="771">AF291</f>
        <v>0</v>
      </c>
      <c r="AG292" s="431">
        <f t="shared" ref="AG292" si="772">AG291</f>
        <v>0</v>
      </c>
      <c r="AH292" s="431">
        <f t="shared" ref="AH292" si="773">AH291</f>
        <v>0</v>
      </c>
      <c r="AI292" s="431">
        <f t="shared" ref="AI292" si="774">AI291</f>
        <v>0</v>
      </c>
      <c r="AJ292" s="431">
        <f t="shared" ref="AJ292" si="775">AJ291</f>
        <v>0</v>
      </c>
      <c r="AK292" s="431">
        <f t="shared" ref="AK292" si="776">AK291</f>
        <v>0</v>
      </c>
      <c r="AL292" s="431">
        <f t="shared" ref="AL292" si="777">AL291</f>
        <v>0</v>
      </c>
      <c r="AM292" s="331"/>
    </row>
    <row r="293" spans="1:39" ht="15"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outlineLevel="1">
      <c r="A294" s="550">
        <v>23</v>
      </c>
      <c r="B294" s="549" t="s">
        <v>115</v>
      </c>
      <c r="C294" s="316" t="s">
        <v>25</v>
      </c>
      <c r="D294" s="320">
        <v>6696541</v>
      </c>
      <c r="E294" s="320">
        <f>'7-f.  2016'!BC25</f>
        <v>6696541</v>
      </c>
      <c r="F294" s="320">
        <f>'7-f.  2016'!BD25</f>
        <v>6696541</v>
      </c>
      <c r="G294" s="320">
        <f>'7-f.  2016'!BE25</f>
        <v>6696541</v>
      </c>
      <c r="H294" s="320">
        <f>'7-f.  2016'!BF25</f>
        <v>6696541</v>
      </c>
      <c r="I294" s="320">
        <f>'7-f.  2016'!BG25</f>
        <v>6696541</v>
      </c>
      <c r="J294" s="320">
        <f>'7-f.  2016'!BH25</f>
        <v>6696541</v>
      </c>
      <c r="K294" s="320">
        <f>'7-f.  2016'!BI25</f>
        <v>6696541</v>
      </c>
      <c r="L294" s="320">
        <f>'7-f.  2016'!BJ25</f>
        <v>6696541</v>
      </c>
      <c r="M294" s="320">
        <f>'7-f.  2016'!BK25</f>
        <v>6696541</v>
      </c>
      <c r="N294" s="316"/>
      <c r="O294" s="320">
        <v>1995</v>
      </c>
      <c r="P294" s="320">
        <f>'7-f.  2016'!X25</f>
        <v>1995</v>
      </c>
      <c r="Q294" s="320">
        <f>'7-f.  2016'!Y25</f>
        <v>1995</v>
      </c>
      <c r="R294" s="320">
        <f>'7-f.  2016'!Z25</f>
        <v>1995</v>
      </c>
      <c r="S294" s="320">
        <f>'7-f.  2016'!AA25</f>
        <v>1995</v>
      </c>
      <c r="T294" s="320">
        <f>'7-f.  2016'!AB25</f>
        <v>1995</v>
      </c>
      <c r="U294" s="320">
        <f>'7-f.  2016'!AC25</f>
        <v>1995</v>
      </c>
      <c r="V294" s="320">
        <f>'7-f.  2016'!AD25</f>
        <v>1995</v>
      </c>
      <c r="W294" s="320">
        <f>'7-f.  2016'!AE25</f>
        <v>1995</v>
      </c>
      <c r="X294" s="320">
        <f>'7-f.  2016'!AF25</f>
        <v>1995</v>
      </c>
      <c r="Y294" s="430">
        <v>1</v>
      </c>
      <c r="Z294" s="430"/>
      <c r="AA294" s="430"/>
      <c r="AB294" s="430"/>
      <c r="AC294" s="430"/>
      <c r="AD294" s="430"/>
      <c r="AE294" s="430"/>
      <c r="AF294" s="430"/>
      <c r="AG294" s="430"/>
      <c r="AH294" s="430"/>
      <c r="AI294" s="430"/>
      <c r="AJ294" s="430"/>
      <c r="AK294" s="430"/>
      <c r="AL294" s="430"/>
      <c r="AM294" s="321">
        <f>SUM(Y294:AL294)</f>
        <v>1</v>
      </c>
    </row>
    <row r="295" spans="1:39" ht="15"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1">
        <f>Y294</f>
        <v>1</v>
      </c>
      <c r="Z295" s="431">
        <f t="shared" ref="Z295" si="778">Z294</f>
        <v>0</v>
      </c>
      <c r="AA295" s="431">
        <f t="shared" ref="AA295" si="779">AA294</f>
        <v>0</v>
      </c>
      <c r="AB295" s="431">
        <f t="shared" ref="AB295" si="780">AB294</f>
        <v>0</v>
      </c>
      <c r="AC295" s="431">
        <f t="shared" ref="AC295" si="781">AC294</f>
        <v>0</v>
      </c>
      <c r="AD295" s="431">
        <f t="shared" ref="AD295" si="782">AD294</f>
        <v>0</v>
      </c>
      <c r="AE295" s="431">
        <f t="shared" ref="AE295" si="783">AE294</f>
        <v>0</v>
      </c>
      <c r="AF295" s="431">
        <f t="shared" ref="AF295" si="784">AF294</f>
        <v>0</v>
      </c>
      <c r="AG295" s="431">
        <f t="shared" ref="AG295" si="785">AG294</f>
        <v>0</v>
      </c>
      <c r="AH295" s="431">
        <f t="shared" ref="AH295" si="786">AH294</f>
        <v>0</v>
      </c>
      <c r="AI295" s="431">
        <f t="shared" ref="AI295" si="787">AI294</f>
        <v>0</v>
      </c>
      <c r="AJ295" s="431">
        <f t="shared" ref="AJ295" si="788">AJ294</f>
        <v>0</v>
      </c>
      <c r="AK295" s="431">
        <f t="shared" ref="AK295" si="789">AK294</f>
        <v>0</v>
      </c>
      <c r="AL295" s="431">
        <f t="shared" ref="AL295" si="790">AL294</f>
        <v>0</v>
      </c>
      <c r="AM295" s="331"/>
    </row>
    <row r="296" spans="1:39" ht="15" outlineLevel="1">
      <c r="B296" s="319"/>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30" outlineLevel="1">
      <c r="A297" s="550">
        <v>24</v>
      </c>
      <c r="B297" s="549" t="s">
        <v>116</v>
      </c>
      <c r="C297" s="316" t="s">
        <v>25</v>
      </c>
      <c r="D297" s="320">
        <v>330563</v>
      </c>
      <c r="E297" s="320">
        <f>'7-f.  2016'!BC26</f>
        <v>330563</v>
      </c>
      <c r="F297" s="320">
        <f>'7-f.  2016'!BD26</f>
        <v>330563</v>
      </c>
      <c r="G297" s="320">
        <f>'7-f.  2016'!BE26</f>
        <v>330563</v>
      </c>
      <c r="H297" s="320">
        <f>'7-f.  2016'!BF26</f>
        <v>330563</v>
      </c>
      <c r="I297" s="320">
        <f>'7-f.  2016'!BG26</f>
        <v>330563</v>
      </c>
      <c r="J297" s="320">
        <f>'7-f.  2016'!BH26</f>
        <v>330563</v>
      </c>
      <c r="K297" s="320">
        <f>'7-f.  2016'!BI26</f>
        <v>330563</v>
      </c>
      <c r="L297" s="320">
        <f>'7-f.  2016'!BJ26</f>
        <v>330563</v>
      </c>
      <c r="M297" s="320">
        <f>'7-f.  2016'!BK26</f>
        <v>330563</v>
      </c>
      <c r="N297" s="316"/>
      <c r="O297" s="320">
        <v>104</v>
      </c>
      <c r="P297" s="320">
        <f>'7-f.  2016'!X26</f>
        <v>104</v>
      </c>
      <c r="Q297" s="320">
        <f>'7-f.  2016'!Y26</f>
        <v>104</v>
      </c>
      <c r="R297" s="320">
        <f>'7-f.  2016'!Z26</f>
        <v>104</v>
      </c>
      <c r="S297" s="320">
        <f>'7-f.  2016'!AA26</f>
        <v>104</v>
      </c>
      <c r="T297" s="320">
        <f>'7-f.  2016'!AB26</f>
        <v>104</v>
      </c>
      <c r="U297" s="320">
        <f>'7-f.  2016'!AC26</f>
        <v>104</v>
      </c>
      <c r="V297" s="320">
        <f>'7-f.  2016'!AD26</f>
        <v>104</v>
      </c>
      <c r="W297" s="320">
        <f>'7-f.  2016'!AE26</f>
        <v>104</v>
      </c>
      <c r="X297" s="320">
        <f>'7-f.  2016'!AF26</f>
        <v>104</v>
      </c>
      <c r="Y297" s="430">
        <v>1</v>
      </c>
      <c r="Z297" s="430"/>
      <c r="AA297" s="430"/>
      <c r="AB297" s="430"/>
      <c r="AC297" s="430"/>
      <c r="AD297" s="430"/>
      <c r="AE297" s="430"/>
      <c r="AF297" s="430"/>
      <c r="AG297" s="430"/>
      <c r="AH297" s="430"/>
      <c r="AI297" s="430"/>
      <c r="AJ297" s="430"/>
      <c r="AK297" s="430"/>
      <c r="AL297" s="430"/>
      <c r="AM297" s="321">
        <f>SUM(Y297:AL297)</f>
        <v>1</v>
      </c>
    </row>
    <row r="298" spans="1:39" ht="15"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1</v>
      </c>
      <c r="Z298" s="431">
        <f t="shared" ref="Z298" si="791">Z297</f>
        <v>0</v>
      </c>
      <c r="AA298" s="431">
        <f t="shared" ref="AA298" si="792">AA297</f>
        <v>0</v>
      </c>
      <c r="AB298" s="431">
        <f t="shared" ref="AB298" si="793">AB297</f>
        <v>0</v>
      </c>
      <c r="AC298" s="431">
        <f t="shared" ref="AC298" si="794">AC297</f>
        <v>0</v>
      </c>
      <c r="AD298" s="431">
        <f t="shared" ref="AD298" si="795">AD297</f>
        <v>0</v>
      </c>
      <c r="AE298" s="431">
        <f t="shared" ref="AE298" si="796">AE297</f>
        <v>0</v>
      </c>
      <c r="AF298" s="431">
        <f t="shared" ref="AF298" si="797">AF297</f>
        <v>0</v>
      </c>
      <c r="AG298" s="431">
        <f t="shared" ref="AG298" si="798">AG297</f>
        <v>0</v>
      </c>
      <c r="AH298" s="431">
        <f t="shared" ref="AH298" si="799">AH297</f>
        <v>0</v>
      </c>
      <c r="AI298" s="431">
        <f t="shared" ref="AI298" si="800">AI297</f>
        <v>0</v>
      </c>
      <c r="AJ298" s="431">
        <f t="shared" ref="AJ298" si="801">AJ297</f>
        <v>0</v>
      </c>
      <c r="AK298" s="431">
        <f t="shared" ref="AK298" si="802">AK297</f>
        <v>0</v>
      </c>
      <c r="AL298" s="431">
        <f t="shared" ref="AL298" si="803">AL297</f>
        <v>0</v>
      </c>
      <c r="AM298" s="331"/>
    </row>
    <row r="299" spans="1:39" ht="15" outlineLevel="1">
      <c r="B299" s="347"/>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42"/>
      <c r="Z299" s="445"/>
      <c r="AA299" s="445"/>
      <c r="AB299" s="445"/>
      <c r="AC299" s="445"/>
      <c r="AD299" s="445"/>
      <c r="AE299" s="445"/>
      <c r="AF299" s="445"/>
      <c r="AG299" s="445"/>
      <c r="AH299" s="445"/>
      <c r="AI299" s="445"/>
      <c r="AJ299" s="445"/>
      <c r="AK299" s="445"/>
      <c r="AL299" s="445"/>
      <c r="AM299" s="331"/>
    </row>
    <row r="300" spans="1:39" ht="15" outlineLevel="1">
      <c r="A300" s="550">
        <v>25</v>
      </c>
      <c r="B300" s="549" t="s">
        <v>117</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ht="15" outlineLevel="1">
      <c r="B301" s="319" t="s">
        <v>292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 t="shared" ref="Z301" si="804">Z300</f>
        <v>0</v>
      </c>
      <c r="AA301" s="431">
        <f t="shared" ref="AA301" si="805">AA300</f>
        <v>0</v>
      </c>
      <c r="AB301" s="431">
        <f t="shared" ref="AB301" si="806">AB300</f>
        <v>0</v>
      </c>
      <c r="AC301" s="431">
        <f t="shared" ref="AC301" si="807">AC300</f>
        <v>0</v>
      </c>
      <c r="AD301" s="431">
        <f t="shared" ref="AD301" si="808">AD300</f>
        <v>0</v>
      </c>
      <c r="AE301" s="431">
        <f t="shared" ref="AE301" si="809">AE300</f>
        <v>0</v>
      </c>
      <c r="AF301" s="431">
        <f t="shared" ref="AF301" si="810">AF300</f>
        <v>0</v>
      </c>
      <c r="AG301" s="431">
        <f t="shared" ref="AG301" si="811">AG300</f>
        <v>0</v>
      </c>
      <c r="AH301" s="431">
        <f t="shared" ref="AH301" si="812">AH300</f>
        <v>0</v>
      </c>
      <c r="AI301" s="431">
        <f t="shared" ref="AI301" si="813">AI300</f>
        <v>0</v>
      </c>
      <c r="AJ301" s="431">
        <f t="shared" ref="AJ301" si="814">AJ300</f>
        <v>0</v>
      </c>
      <c r="AK301" s="431">
        <f t="shared" ref="AK301" si="815">AK300</f>
        <v>0</v>
      </c>
      <c r="AL301" s="431">
        <f t="shared" ref="AL301" si="816">AL300</f>
        <v>0</v>
      </c>
      <c r="AM301" s="331"/>
    </row>
    <row r="302" spans="1:39" ht="15" outlineLevel="1">
      <c r="B302" s="319"/>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432"/>
      <c r="Z302" s="445"/>
      <c r="AA302" s="445"/>
      <c r="AB302" s="445"/>
      <c r="AC302" s="445"/>
      <c r="AD302" s="445"/>
      <c r="AE302" s="445"/>
      <c r="AF302" s="445"/>
      <c r="AG302" s="445"/>
      <c r="AH302" s="445"/>
      <c r="AI302" s="445"/>
      <c r="AJ302" s="445"/>
      <c r="AK302" s="445"/>
      <c r="AL302" s="445"/>
      <c r="AM302" s="331"/>
    </row>
    <row r="303" spans="1:39" ht="15.6" outlineLevel="1">
      <c r="B303" s="313" t="s">
        <v>514</v>
      </c>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t="15" outlineLevel="1">
      <c r="A304" s="550">
        <v>26</v>
      </c>
      <c r="B304" s="549" t="s">
        <v>118</v>
      </c>
      <c r="C304" s="316" t="s">
        <v>25</v>
      </c>
      <c r="D304" s="320">
        <v>170854</v>
      </c>
      <c r="E304" s="320">
        <f>'7-f.  2016'!BC27</f>
        <v>170854</v>
      </c>
      <c r="F304" s="320">
        <f>'7-f.  2016'!BD27</f>
        <v>170854</v>
      </c>
      <c r="G304" s="320">
        <f>'7-f.  2016'!BE27</f>
        <v>170854</v>
      </c>
      <c r="H304" s="320">
        <f>'7-f.  2016'!BF27</f>
        <v>170854</v>
      </c>
      <c r="I304" s="320">
        <f>'7-f.  2016'!BG27</f>
        <v>170854</v>
      </c>
      <c r="J304" s="320">
        <f>'7-f.  2016'!BH27</f>
        <v>170854</v>
      </c>
      <c r="K304" s="320">
        <f>'7-f.  2016'!BI27</f>
        <v>170854</v>
      </c>
      <c r="L304" s="320">
        <f>'7-f.  2016'!BJ27</f>
        <v>170854</v>
      </c>
      <c r="M304" s="320">
        <f>'7-f.  2016'!BK27</f>
        <v>170854</v>
      </c>
      <c r="N304" s="320">
        <v>12</v>
      </c>
      <c r="O304" s="320">
        <v>22</v>
      </c>
      <c r="P304" s="320">
        <f>'7-f.  2016'!X27</f>
        <v>22</v>
      </c>
      <c r="Q304" s="320">
        <f>'7-f.  2016'!Y27</f>
        <v>22</v>
      </c>
      <c r="R304" s="320">
        <f>'7-f.  2016'!Z27</f>
        <v>22</v>
      </c>
      <c r="S304" s="320">
        <f>'7-f.  2016'!AA27</f>
        <v>22</v>
      </c>
      <c r="T304" s="320">
        <f>'7-f.  2016'!AB27</f>
        <v>22</v>
      </c>
      <c r="U304" s="320">
        <f>'7-f.  2016'!AC27</f>
        <v>22</v>
      </c>
      <c r="V304" s="320">
        <f>'7-f.  2016'!AD27</f>
        <v>22</v>
      </c>
      <c r="W304" s="320">
        <f>'7-f.  2016'!AE27</f>
        <v>22</v>
      </c>
      <c r="X304" s="320">
        <f>'7-f.  2016'!AF27</f>
        <v>22</v>
      </c>
      <c r="Y304" s="446"/>
      <c r="Z304" s="430"/>
      <c r="AA304" s="430">
        <v>1</v>
      </c>
      <c r="AB304" s="430"/>
      <c r="AC304" s="430"/>
      <c r="AD304" s="430"/>
      <c r="AE304" s="430"/>
      <c r="AF304" s="430"/>
      <c r="AG304" s="435"/>
      <c r="AH304" s="435"/>
      <c r="AI304" s="435"/>
      <c r="AJ304" s="435"/>
      <c r="AK304" s="435"/>
      <c r="AL304" s="435"/>
      <c r="AM304" s="321">
        <f>SUM(Y304:AL304)</f>
        <v>1</v>
      </c>
    </row>
    <row r="305" spans="1:53" ht="15" outlineLevel="1">
      <c r="B305" s="319" t="s">
        <v>292</v>
      </c>
      <c r="C305" s="316" t="s">
        <v>164</v>
      </c>
      <c r="D305" s="320"/>
      <c r="E305" s="320"/>
      <c r="F305" s="320"/>
      <c r="G305" s="320"/>
      <c r="H305" s="320"/>
      <c r="I305" s="320"/>
      <c r="J305" s="320"/>
      <c r="K305" s="320"/>
      <c r="L305" s="320"/>
      <c r="M305" s="320"/>
      <c r="N305" s="320">
        <f>N304</f>
        <v>12</v>
      </c>
      <c r="O305" s="320"/>
      <c r="P305" s="320"/>
      <c r="Q305" s="320"/>
      <c r="R305" s="320"/>
      <c r="S305" s="320"/>
      <c r="T305" s="320"/>
      <c r="U305" s="320"/>
      <c r="V305" s="320"/>
      <c r="W305" s="320"/>
      <c r="X305" s="320"/>
      <c r="Y305" s="431">
        <f>Y304</f>
        <v>0</v>
      </c>
      <c r="Z305" s="431">
        <f t="shared" ref="Z305" si="817">Z304</f>
        <v>0</v>
      </c>
      <c r="AA305" s="431">
        <f t="shared" ref="AA305" si="818">AA304</f>
        <v>1</v>
      </c>
      <c r="AB305" s="431">
        <f t="shared" ref="AB305" si="819">AB304</f>
        <v>0</v>
      </c>
      <c r="AC305" s="431">
        <f t="shared" ref="AC305" si="820">AC304</f>
        <v>0</v>
      </c>
      <c r="AD305" s="431">
        <f t="shared" ref="AD305" si="821">AD304</f>
        <v>0</v>
      </c>
      <c r="AE305" s="431">
        <f t="shared" ref="AE305" si="822">AE304</f>
        <v>0</v>
      </c>
      <c r="AF305" s="431">
        <f t="shared" ref="AF305" si="823">AF304</f>
        <v>0</v>
      </c>
      <c r="AG305" s="431">
        <f t="shared" ref="AG305" si="824">AG304</f>
        <v>0</v>
      </c>
      <c r="AH305" s="431">
        <f t="shared" ref="AH305" si="825">AH304</f>
        <v>0</v>
      </c>
      <c r="AI305" s="431">
        <f t="shared" ref="AI305" si="826">AI304</f>
        <v>0</v>
      </c>
      <c r="AJ305" s="431">
        <f t="shared" ref="AJ305" si="827">AJ304</f>
        <v>0</v>
      </c>
      <c r="AK305" s="431">
        <f t="shared" ref="AK305" si="828">AK304</f>
        <v>0</v>
      </c>
      <c r="AL305" s="431">
        <f t="shared" ref="AL305" si="829">AL304</f>
        <v>0</v>
      </c>
      <c r="AM305" s="331"/>
    </row>
    <row r="306" spans="1:53" ht="15"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c r="AR306" s="918" t="s">
        <v>856</v>
      </c>
      <c r="AS306" s="919"/>
      <c r="AT306" s="919"/>
      <c r="AU306" s="919"/>
      <c r="AV306" s="919"/>
      <c r="AW306" s="919"/>
      <c r="AX306" s="919"/>
      <c r="AY306" s="919"/>
      <c r="AZ306" s="919"/>
      <c r="BA306" s="920"/>
    </row>
    <row r="307" spans="1:53" ht="15" outlineLevel="1">
      <c r="A307" s="550">
        <v>27</v>
      </c>
      <c r="B307" s="885" t="s">
        <v>119</v>
      </c>
      <c r="C307" s="316" t="s">
        <v>25</v>
      </c>
      <c r="D307" s="320">
        <f>60465338-D310</f>
        <v>59195120</v>
      </c>
      <c r="E307" s="320">
        <f>'7-f.  2016'!BC28-E310</f>
        <v>58235650</v>
      </c>
      <c r="F307" s="320">
        <f>'7-f.  2016'!BD28-F310</f>
        <v>58235650</v>
      </c>
      <c r="G307" s="320">
        <f>'7-f.  2016'!BE28-G310</f>
        <v>58235650</v>
      </c>
      <c r="H307" s="320">
        <f>'7-f.  2016'!BF28-H310</f>
        <v>58235650</v>
      </c>
      <c r="I307" s="320">
        <f>'7-f.  2016'!BG28-I310</f>
        <v>57730733</v>
      </c>
      <c r="J307" s="320">
        <f>'7-f.  2016'!BH28-J310</f>
        <v>57730733</v>
      </c>
      <c r="K307" s="320">
        <f>'7-f.  2016'!BI28-K310</f>
        <v>57730733</v>
      </c>
      <c r="L307" s="320">
        <f>'7-f.  2016'!BJ28-L310</f>
        <v>57406008</v>
      </c>
      <c r="M307" s="320">
        <f>'7-f.  2016'!BK28-M310</f>
        <v>57406008</v>
      </c>
      <c r="N307" s="320">
        <v>12</v>
      </c>
      <c r="O307" s="320">
        <v>9760</v>
      </c>
      <c r="P307" s="320">
        <f>'7-f.  2016'!X28</f>
        <v>9577</v>
      </c>
      <c r="Q307" s="320">
        <f>'7-f.  2016'!Y28</f>
        <v>9577</v>
      </c>
      <c r="R307" s="320">
        <f>'7-f.  2016'!Z28</f>
        <v>9577</v>
      </c>
      <c r="S307" s="320">
        <f>'7-f.  2016'!AA28</f>
        <v>9577</v>
      </c>
      <c r="T307" s="320">
        <f>'7-f.  2016'!AB28</f>
        <v>9511</v>
      </c>
      <c r="U307" s="320">
        <f>'7-f.  2016'!AC28</f>
        <v>9511</v>
      </c>
      <c r="V307" s="320">
        <f>'7-f.  2016'!AD28</f>
        <v>9511</v>
      </c>
      <c r="W307" s="320">
        <f>'7-f.  2016'!AE28</f>
        <v>9466</v>
      </c>
      <c r="X307" s="320">
        <f>'7-f.  2016'!AF28</f>
        <v>9466</v>
      </c>
      <c r="Y307" s="446"/>
      <c r="Z307" s="430">
        <v>0.14000000000000001</v>
      </c>
      <c r="AA307" s="430">
        <v>0.86</v>
      </c>
      <c r="AB307" s="430"/>
      <c r="AC307" s="430"/>
      <c r="AD307" s="430"/>
      <c r="AE307" s="430"/>
      <c r="AF307" s="430"/>
      <c r="AG307" s="435"/>
      <c r="AH307" s="435"/>
      <c r="AI307" s="435"/>
      <c r="AJ307" s="435"/>
      <c r="AK307" s="435"/>
      <c r="AL307" s="435"/>
      <c r="AM307" s="321">
        <f>SUM(Y307:AL307)</f>
        <v>1</v>
      </c>
      <c r="AR307" s="921"/>
      <c r="AS307" s="925" t="s">
        <v>29</v>
      </c>
      <c r="AT307" s="925" t="s">
        <v>375</v>
      </c>
      <c r="AU307" s="925" t="s">
        <v>376</v>
      </c>
      <c r="AV307" s="925" t="s">
        <v>400</v>
      </c>
      <c r="AW307" s="925" t="s">
        <v>32</v>
      </c>
      <c r="AX307" s="925" t="s">
        <v>30</v>
      </c>
      <c r="AY307" s="925" t="s">
        <v>31</v>
      </c>
      <c r="AZ307" s="925" t="s">
        <v>26</v>
      </c>
      <c r="BA307" s="922"/>
    </row>
    <row r="308" spans="1:53" ht="15" outlineLevel="1">
      <c r="B308" s="886" t="s">
        <v>292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1">
        <f>Y307</f>
        <v>0</v>
      </c>
      <c r="Z308" s="431">
        <f t="shared" ref="Z308" si="830">Z307</f>
        <v>0.14000000000000001</v>
      </c>
      <c r="AA308" s="431">
        <f t="shared" ref="AA308" si="831">AA307</f>
        <v>0.86</v>
      </c>
      <c r="AB308" s="431">
        <f t="shared" ref="AB308" si="832">AB307</f>
        <v>0</v>
      </c>
      <c r="AC308" s="431">
        <f t="shared" ref="AC308" si="833">AC307</f>
        <v>0</v>
      </c>
      <c r="AD308" s="431">
        <f t="shared" ref="AD308" si="834">AD307</f>
        <v>0</v>
      </c>
      <c r="AE308" s="431">
        <f t="shared" ref="AE308" si="835">AE307</f>
        <v>0</v>
      </c>
      <c r="AF308" s="431">
        <f t="shared" ref="AF308" si="836">AF307</f>
        <v>0</v>
      </c>
      <c r="AG308" s="431">
        <f t="shared" ref="AG308" si="837">AG307</f>
        <v>0</v>
      </c>
      <c r="AH308" s="431">
        <f t="shared" ref="AH308" si="838">AH307</f>
        <v>0</v>
      </c>
      <c r="AI308" s="431">
        <f t="shared" ref="AI308" si="839">AI307</f>
        <v>0</v>
      </c>
      <c r="AJ308" s="431">
        <f t="shared" ref="AJ308" si="840">AJ307</f>
        <v>0</v>
      </c>
      <c r="AK308" s="431">
        <f t="shared" ref="AK308" si="841">AK307</f>
        <v>0</v>
      </c>
      <c r="AL308" s="431">
        <f t="shared" ref="AL308" si="842">AL307</f>
        <v>0</v>
      </c>
      <c r="AM308" s="331"/>
      <c r="AR308" s="921" t="s">
        <v>857</v>
      </c>
      <c r="AS308" s="925"/>
      <c r="AT308" s="925">
        <v>0.13581094031198812</v>
      </c>
      <c r="AU308" s="925">
        <v>0.83426720477364125</v>
      </c>
      <c r="AV308" s="925"/>
      <c r="AW308" s="925"/>
      <c r="AX308" s="925"/>
      <c r="AY308" s="925">
        <v>2.9921854914370646E-2</v>
      </c>
      <c r="AZ308" s="925">
        <f>SUM(AT308:AY308)</f>
        <v>1</v>
      </c>
      <c r="BA308" s="922"/>
    </row>
    <row r="309" spans="1:53" ht="15"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c r="AR309" s="923" t="s">
        <v>858</v>
      </c>
      <c r="AS309" s="926"/>
      <c r="AT309" s="926">
        <f>AT308/(AT308+AU308)</f>
        <v>0.14000000000000001</v>
      </c>
      <c r="AU309" s="926">
        <f>AU308/(AT308+AU308)</f>
        <v>0.86</v>
      </c>
      <c r="AV309" s="926"/>
      <c r="AW309" s="926"/>
      <c r="AX309" s="926"/>
      <c r="AY309" s="926">
        <v>0</v>
      </c>
      <c r="AZ309" s="926">
        <f>SUM(AT309:AY309)</f>
        <v>1</v>
      </c>
      <c r="BA309" s="924"/>
    </row>
    <row r="310" spans="1:53" ht="15" outlineLevel="1">
      <c r="B310" s="885" t="s">
        <v>855</v>
      </c>
      <c r="C310" s="316" t="s">
        <v>25</v>
      </c>
      <c r="D310" s="320">
        <v>1270218</v>
      </c>
      <c r="E310" s="320">
        <f>D310</f>
        <v>1270218</v>
      </c>
      <c r="F310" s="320">
        <f t="shared" ref="F310:M310" si="843">E310</f>
        <v>1270218</v>
      </c>
      <c r="G310" s="320">
        <f t="shared" si="843"/>
        <v>1270218</v>
      </c>
      <c r="H310" s="320">
        <f t="shared" si="843"/>
        <v>1270218</v>
      </c>
      <c r="I310" s="320">
        <f t="shared" si="843"/>
        <v>1270218</v>
      </c>
      <c r="J310" s="320">
        <f t="shared" si="843"/>
        <v>1270218</v>
      </c>
      <c r="K310" s="320">
        <f t="shared" si="843"/>
        <v>1270218</v>
      </c>
      <c r="L310" s="320">
        <f t="shared" si="843"/>
        <v>1270218</v>
      </c>
      <c r="M310" s="320">
        <f t="shared" si="843"/>
        <v>1270218</v>
      </c>
      <c r="N310" s="320"/>
      <c r="O310" s="320"/>
      <c r="P310" s="320"/>
      <c r="Q310" s="320"/>
      <c r="R310" s="320"/>
      <c r="S310" s="320"/>
      <c r="T310" s="320"/>
      <c r="U310" s="320"/>
      <c r="V310" s="320"/>
      <c r="W310" s="320"/>
      <c r="X310" s="320"/>
      <c r="Y310" s="446"/>
      <c r="Z310" s="430"/>
      <c r="AA310" s="430"/>
      <c r="AB310" s="430"/>
      <c r="AC310" s="430"/>
      <c r="AD310" s="430"/>
      <c r="AE310" s="430">
        <v>1</v>
      </c>
      <c r="AF310" s="430"/>
      <c r="AG310" s="435"/>
      <c r="AH310" s="435"/>
      <c r="AI310" s="435"/>
      <c r="AJ310" s="435"/>
      <c r="AK310" s="435"/>
      <c r="AL310" s="435"/>
      <c r="AM310" s="321">
        <f>SUM(Y310:AL310)</f>
        <v>1</v>
      </c>
    </row>
    <row r="311" spans="1:53" ht="15" outlineLevel="1">
      <c r="B311" s="886" t="s">
        <v>292</v>
      </c>
      <c r="C311" s="316" t="s">
        <v>164</v>
      </c>
      <c r="D311" s="320"/>
      <c r="E311" s="320"/>
      <c r="F311" s="320"/>
      <c r="G311" s="320"/>
      <c r="H311" s="320"/>
      <c r="I311" s="320"/>
      <c r="J311" s="320"/>
      <c r="K311" s="320"/>
      <c r="L311" s="320"/>
      <c r="M311" s="320"/>
      <c r="N311" s="320">
        <f>N310</f>
        <v>0</v>
      </c>
      <c r="O311" s="320"/>
      <c r="P311" s="320"/>
      <c r="Q311" s="320"/>
      <c r="R311" s="320"/>
      <c r="S311" s="320"/>
      <c r="T311" s="320"/>
      <c r="U311" s="320"/>
      <c r="V311" s="320"/>
      <c r="W311" s="320"/>
      <c r="X311" s="320"/>
      <c r="Y311" s="431">
        <f>Y310</f>
        <v>0</v>
      </c>
      <c r="Z311" s="431">
        <f t="shared" ref="Z311:AL311" si="844">Z310</f>
        <v>0</v>
      </c>
      <c r="AA311" s="431">
        <f t="shared" si="844"/>
        <v>0</v>
      </c>
      <c r="AB311" s="431">
        <f t="shared" si="844"/>
        <v>0</v>
      </c>
      <c r="AC311" s="431">
        <f t="shared" si="844"/>
        <v>0</v>
      </c>
      <c r="AD311" s="431">
        <f t="shared" si="844"/>
        <v>0</v>
      </c>
      <c r="AE311" s="431">
        <f t="shared" si="844"/>
        <v>1</v>
      </c>
      <c r="AF311" s="431">
        <f t="shared" si="844"/>
        <v>0</v>
      </c>
      <c r="AG311" s="431">
        <f t="shared" si="844"/>
        <v>0</v>
      </c>
      <c r="AH311" s="431">
        <f t="shared" si="844"/>
        <v>0</v>
      </c>
      <c r="AI311" s="431">
        <f t="shared" si="844"/>
        <v>0</v>
      </c>
      <c r="AJ311" s="431">
        <f t="shared" si="844"/>
        <v>0</v>
      </c>
      <c r="AK311" s="431">
        <f t="shared" si="844"/>
        <v>0</v>
      </c>
      <c r="AL311" s="431">
        <f t="shared" si="844"/>
        <v>0</v>
      </c>
      <c r="AM311" s="331"/>
    </row>
    <row r="312" spans="1:53" ht="15"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53" ht="30" outlineLevel="1">
      <c r="A313" s="550">
        <v>28</v>
      </c>
      <c r="B313" s="549" t="s">
        <v>120</v>
      </c>
      <c r="C313" s="316" t="s">
        <v>25</v>
      </c>
      <c r="D313" s="320">
        <v>60829</v>
      </c>
      <c r="E313" s="320">
        <f>'7-f.  2016'!BC29</f>
        <v>60829</v>
      </c>
      <c r="F313" s="320">
        <f>'7-f.  2016'!BD29</f>
        <v>60829</v>
      </c>
      <c r="G313" s="320">
        <f>'7-f.  2016'!BE29</f>
        <v>60829</v>
      </c>
      <c r="H313" s="320">
        <f>'7-f.  2016'!BF29</f>
        <v>56838</v>
      </c>
      <c r="I313" s="320">
        <f>'7-f.  2016'!BG29</f>
        <v>56838</v>
      </c>
      <c r="J313" s="320">
        <f>'7-f.  2016'!BH29</f>
        <v>40800</v>
      </c>
      <c r="K313" s="320">
        <f>'7-f.  2016'!BI29</f>
        <v>34589</v>
      </c>
      <c r="L313" s="320">
        <f>'7-f.  2016'!BJ29</f>
        <v>29548</v>
      </c>
      <c r="M313" s="320">
        <f>'7-f.  2016'!BK29</f>
        <v>22234</v>
      </c>
      <c r="N313" s="320">
        <v>12</v>
      </c>
      <c r="O313" s="320">
        <v>15</v>
      </c>
      <c r="P313" s="320">
        <f>'7-f.  2016'!X29</f>
        <v>15</v>
      </c>
      <c r="Q313" s="320">
        <f>'7-f.  2016'!Y29</f>
        <v>15</v>
      </c>
      <c r="R313" s="320">
        <f>'7-f.  2016'!Z29</f>
        <v>15</v>
      </c>
      <c r="S313" s="320">
        <f>'7-f.  2016'!AA29</f>
        <v>14</v>
      </c>
      <c r="T313" s="320">
        <f>'7-f.  2016'!AB29</f>
        <v>14</v>
      </c>
      <c r="U313" s="320">
        <f>'7-f.  2016'!AC29</f>
        <v>11</v>
      </c>
      <c r="V313" s="320">
        <f>'7-f.  2016'!AD29</f>
        <v>10</v>
      </c>
      <c r="W313" s="320">
        <f>'7-f.  2016'!AE29</f>
        <v>9</v>
      </c>
      <c r="X313" s="320">
        <f>'7-f.  2016'!AF29</f>
        <v>7</v>
      </c>
      <c r="Y313" s="446"/>
      <c r="Z313" s="430">
        <v>1</v>
      </c>
      <c r="AA313" s="430"/>
      <c r="AB313" s="430"/>
      <c r="AC313" s="430"/>
      <c r="AD313" s="430"/>
      <c r="AE313" s="430"/>
      <c r="AF313" s="430"/>
      <c r="AG313" s="435"/>
      <c r="AH313" s="435"/>
      <c r="AI313" s="435"/>
      <c r="AJ313" s="435"/>
      <c r="AK313" s="435"/>
      <c r="AL313" s="435"/>
      <c r="AM313" s="321">
        <f>SUM(Y313:AL313)</f>
        <v>1</v>
      </c>
    </row>
    <row r="314" spans="1:53" ht="15" outlineLevel="1">
      <c r="B314" s="319" t="s">
        <v>292</v>
      </c>
      <c r="C314" s="316" t="s">
        <v>164</v>
      </c>
      <c r="D314" s="320"/>
      <c r="E314" s="320"/>
      <c r="F314" s="320"/>
      <c r="G314" s="320"/>
      <c r="H314" s="320"/>
      <c r="I314" s="320"/>
      <c r="J314" s="320"/>
      <c r="K314" s="320"/>
      <c r="L314" s="320"/>
      <c r="M314" s="320"/>
      <c r="N314" s="320">
        <f>N313</f>
        <v>12</v>
      </c>
      <c r="O314" s="320"/>
      <c r="P314" s="320"/>
      <c r="Q314" s="320"/>
      <c r="R314" s="320"/>
      <c r="S314" s="320"/>
      <c r="T314" s="320"/>
      <c r="U314" s="320"/>
      <c r="V314" s="320"/>
      <c r="W314" s="320"/>
      <c r="X314" s="320"/>
      <c r="Y314" s="431">
        <f>Y313</f>
        <v>0</v>
      </c>
      <c r="Z314" s="431">
        <f t="shared" ref="Z314" si="845">Z313</f>
        <v>1</v>
      </c>
      <c r="AA314" s="431">
        <f t="shared" ref="AA314" si="846">AA313</f>
        <v>0</v>
      </c>
      <c r="AB314" s="431">
        <f t="shared" ref="AB314" si="847">AB313</f>
        <v>0</v>
      </c>
      <c r="AC314" s="431">
        <f t="shared" ref="AC314" si="848">AC313</f>
        <v>0</v>
      </c>
      <c r="AD314" s="431">
        <f t="shared" ref="AD314" si="849">AD313</f>
        <v>0</v>
      </c>
      <c r="AE314" s="431">
        <f t="shared" ref="AE314" si="850">AE313</f>
        <v>0</v>
      </c>
      <c r="AF314" s="431">
        <f t="shared" ref="AF314" si="851">AF313</f>
        <v>0</v>
      </c>
      <c r="AG314" s="431">
        <f t="shared" ref="AG314" si="852">AG313</f>
        <v>0</v>
      </c>
      <c r="AH314" s="431">
        <f t="shared" ref="AH314" si="853">AH313</f>
        <v>0</v>
      </c>
      <c r="AI314" s="431">
        <f t="shared" ref="AI314" si="854">AI313</f>
        <v>0</v>
      </c>
      <c r="AJ314" s="431">
        <f t="shared" ref="AJ314" si="855">AJ313</f>
        <v>0</v>
      </c>
      <c r="AK314" s="431">
        <f t="shared" ref="AK314" si="856">AK313</f>
        <v>0</v>
      </c>
      <c r="AL314" s="431">
        <f t="shared" ref="AL314" si="857">AL313</f>
        <v>0</v>
      </c>
      <c r="AM314" s="331"/>
    </row>
    <row r="315" spans="1:53" ht="15"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53" ht="30" outlineLevel="1">
      <c r="A316" s="550">
        <v>29</v>
      </c>
      <c r="B316" s="549" t="s">
        <v>121</v>
      </c>
      <c r="C316" s="316" t="s">
        <v>25</v>
      </c>
      <c r="D316" s="320">
        <v>1646039</v>
      </c>
      <c r="E316" s="320">
        <f>'7-f.  2016'!BC30</f>
        <v>1646039</v>
      </c>
      <c r="F316" s="320">
        <f>'7-f.  2016'!BD30</f>
        <v>1646039</v>
      </c>
      <c r="G316" s="320">
        <f>'7-f.  2016'!BE30</f>
        <v>1646039</v>
      </c>
      <c r="H316" s="320">
        <f>'7-f.  2016'!BF30</f>
        <v>1646039</v>
      </c>
      <c r="I316" s="320">
        <f>'7-f.  2016'!BG30</f>
        <v>1646039</v>
      </c>
      <c r="J316" s="320">
        <f>'7-f.  2016'!BH30</f>
        <v>1646039</v>
      </c>
      <c r="K316" s="320">
        <f>'7-f.  2016'!BI30</f>
        <v>1646039</v>
      </c>
      <c r="L316" s="320">
        <f>'7-f.  2016'!BJ30</f>
        <v>1646039</v>
      </c>
      <c r="M316" s="320">
        <f>'7-f.  2016'!BK30</f>
        <v>1646039</v>
      </c>
      <c r="N316" s="320">
        <v>12</v>
      </c>
      <c r="O316" s="320">
        <v>397</v>
      </c>
      <c r="P316" s="320">
        <f>'7-f.  2016'!X30</f>
        <v>397</v>
      </c>
      <c r="Q316" s="320">
        <f>'7-f.  2016'!Y30</f>
        <v>397</v>
      </c>
      <c r="R316" s="320">
        <f>'7-f.  2016'!Z30</f>
        <v>397</v>
      </c>
      <c r="S316" s="320">
        <f>'7-f.  2016'!AA30</f>
        <v>397</v>
      </c>
      <c r="T316" s="320">
        <f>'7-f.  2016'!AB30</f>
        <v>397</v>
      </c>
      <c r="U316" s="320">
        <f>'7-f.  2016'!AC30</f>
        <v>397</v>
      </c>
      <c r="V316" s="320">
        <f>'7-f.  2016'!AD30</f>
        <v>397</v>
      </c>
      <c r="W316" s="320">
        <f>'7-f.  2016'!AE30</f>
        <v>397</v>
      </c>
      <c r="X316" s="320">
        <f>'7-f.  2016'!AF30</f>
        <v>397</v>
      </c>
      <c r="Y316" s="446"/>
      <c r="Z316" s="430"/>
      <c r="AA316" s="430">
        <v>1</v>
      </c>
      <c r="AB316" s="430"/>
      <c r="AC316" s="430"/>
      <c r="AD316" s="430"/>
      <c r="AE316" s="430"/>
      <c r="AF316" s="430"/>
      <c r="AG316" s="435"/>
      <c r="AH316" s="435"/>
      <c r="AI316" s="435"/>
      <c r="AJ316" s="435"/>
      <c r="AK316" s="435"/>
      <c r="AL316" s="435"/>
      <c r="AM316" s="321">
        <f>SUM(Y316:AL316)</f>
        <v>1</v>
      </c>
    </row>
    <row r="317" spans="1:53" ht="15" outlineLevel="1">
      <c r="B317" s="319" t="s">
        <v>292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1">
        <f>Y316</f>
        <v>0</v>
      </c>
      <c r="Z317" s="431">
        <f t="shared" ref="Z317" si="858">Z316</f>
        <v>0</v>
      </c>
      <c r="AA317" s="431">
        <f t="shared" ref="AA317" si="859">AA316</f>
        <v>1</v>
      </c>
      <c r="AB317" s="431">
        <f t="shared" ref="AB317" si="860">AB316</f>
        <v>0</v>
      </c>
      <c r="AC317" s="431">
        <f t="shared" ref="AC317" si="861">AC316</f>
        <v>0</v>
      </c>
      <c r="AD317" s="431">
        <f t="shared" ref="AD317" si="862">AD316</f>
        <v>0</v>
      </c>
      <c r="AE317" s="431">
        <f t="shared" ref="AE317" si="863">AE316</f>
        <v>0</v>
      </c>
      <c r="AF317" s="431">
        <f t="shared" ref="AF317" si="864">AF316</f>
        <v>0</v>
      </c>
      <c r="AG317" s="431">
        <f t="shared" ref="AG317" si="865">AG316</f>
        <v>0</v>
      </c>
      <c r="AH317" s="431">
        <f t="shared" ref="AH317" si="866">AH316</f>
        <v>0</v>
      </c>
      <c r="AI317" s="431">
        <f t="shared" ref="AI317" si="867">AI316</f>
        <v>0</v>
      </c>
      <c r="AJ317" s="431">
        <f t="shared" ref="AJ317" si="868">AJ316</f>
        <v>0</v>
      </c>
      <c r="AK317" s="431">
        <f t="shared" ref="AK317" si="869">AK316</f>
        <v>0</v>
      </c>
      <c r="AL317" s="431">
        <f t="shared" ref="AL317" si="870">AL316</f>
        <v>0</v>
      </c>
      <c r="AM317" s="331"/>
    </row>
    <row r="318" spans="1:53" ht="15"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53" ht="30" outlineLevel="1">
      <c r="A319" s="550">
        <v>30</v>
      </c>
      <c r="B319" s="549" t="s">
        <v>122</v>
      </c>
      <c r="C319" s="316" t="s">
        <v>25</v>
      </c>
      <c r="D319" s="320"/>
      <c r="E319" s="320"/>
      <c r="F319" s="320"/>
      <c r="G319" s="320"/>
      <c r="H319" s="320"/>
      <c r="I319" s="320"/>
      <c r="J319" s="320"/>
      <c r="K319" s="320"/>
      <c r="L319" s="320"/>
      <c r="M319" s="320"/>
      <c r="N319" s="320">
        <v>3</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53" ht="15" outlineLevel="1">
      <c r="B320" s="319" t="s">
        <v>292</v>
      </c>
      <c r="C320" s="316" t="s">
        <v>164</v>
      </c>
      <c r="D320" s="320"/>
      <c r="E320" s="320"/>
      <c r="F320" s="320"/>
      <c r="G320" s="320"/>
      <c r="H320" s="320"/>
      <c r="I320" s="320"/>
      <c r="J320" s="320"/>
      <c r="K320" s="320"/>
      <c r="L320" s="320"/>
      <c r="M320" s="320"/>
      <c r="N320" s="320">
        <f>N319</f>
        <v>3</v>
      </c>
      <c r="O320" s="320"/>
      <c r="P320" s="320"/>
      <c r="Q320" s="320"/>
      <c r="R320" s="320"/>
      <c r="S320" s="320"/>
      <c r="T320" s="320"/>
      <c r="U320" s="320"/>
      <c r="V320" s="320"/>
      <c r="W320" s="320"/>
      <c r="X320" s="320"/>
      <c r="Y320" s="431">
        <f>Y319</f>
        <v>0</v>
      </c>
      <c r="Z320" s="431">
        <f t="shared" ref="Z320" si="871">Z319</f>
        <v>0</v>
      </c>
      <c r="AA320" s="431">
        <f t="shared" ref="AA320" si="872">AA319</f>
        <v>0</v>
      </c>
      <c r="AB320" s="431">
        <f t="shared" ref="AB320" si="873">AB319</f>
        <v>0</v>
      </c>
      <c r="AC320" s="431">
        <f t="shared" ref="AC320" si="874">AC319</f>
        <v>0</v>
      </c>
      <c r="AD320" s="431">
        <f t="shared" ref="AD320" si="875">AD319</f>
        <v>0</v>
      </c>
      <c r="AE320" s="431">
        <f t="shared" ref="AE320" si="876">AE319</f>
        <v>0</v>
      </c>
      <c r="AF320" s="431">
        <f t="shared" ref="AF320" si="877">AF319</f>
        <v>0</v>
      </c>
      <c r="AG320" s="431">
        <f t="shared" ref="AG320" si="878">AG319</f>
        <v>0</v>
      </c>
      <c r="AH320" s="431">
        <f t="shared" ref="AH320" si="879">AH319</f>
        <v>0</v>
      </c>
      <c r="AI320" s="431">
        <f t="shared" ref="AI320" si="880">AI319</f>
        <v>0</v>
      </c>
      <c r="AJ320" s="431">
        <f t="shared" ref="AJ320" si="881">AJ319</f>
        <v>0</v>
      </c>
      <c r="AK320" s="431">
        <f t="shared" ref="AK320" si="882">AK319</f>
        <v>0</v>
      </c>
      <c r="AL320" s="431">
        <f t="shared" ref="AL320" si="883">AL319</f>
        <v>0</v>
      </c>
      <c r="AM320" s="331"/>
    </row>
    <row r="321" spans="1:39" ht="15" outlineLevel="1">
      <c r="B321" s="31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30" outlineLevel="1">
      <c r="A322" s="550">
        <v>31</v>
      </c>
      <c r="B322" s="549" t="s">
        <v>123</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t="15"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884">Z322</f>
        <v>0</v>
      </c>
      <c r="AA323" s="431">
        <f t="shared" ref="AA323" si="885">AA322</f>
        <v>0</v>
      </c>
      <c r="AB323" s="431">
        <f t="shared" ref="AB323" si="886">AB322</f>
        <v>0</v>
      </c>
      <c r="AC323" s="431">
        <f t="shared" ref="AC323" si="887">AC322</f>
        <v>0</v>
      </c>
      <c r="AD323" s="431">
        <f t="shared" ref="AD323" si="888">AD322</f>
        <v>0</v>
      </c>
      <c r="AE323" s="431">
        <f t="shared" ref="AE323" si="889">AE322</f>
        <v>0</v>
      </c>
      <c r="AF323" s="431">
        <f t="shared" ref="AF323" si="890">AF322</f>
        <v>0</v>
      </c>
      <c r="AG323" s="431">
        <f t="shared" ref="AG323" si="891">AG322</f>
        <v>0</v>
      </c>
      <c r="AH323" s="431">
        <f t="shared" ref="AH323" si="892">AH322</f>
        <v>0</v>
      </c>
      <c r="AI323" s="431">
        <f t="shared" ref="AI323" si="893">AI322</f>
        <v>0</v>
      </c>
      <c r="AJ323" s="431">
        <f t="shared" ref="AJ323" si="894">AJ322</f>
        <v>0</v>
      </c>
      <c r="AK323" s="431">
        <f t="shared" ref="AK323" si="895">AK322</f>
        <v>0</v>
      </c>
      <c r="AL323" s="431">
        <f t="shared" ref="AL323" si="896">AL322</f>
        <v>0</v>
      </c>
      <c r="AM323" s="331"/>
    </row>
    <row r="324" spans="1:39" ht="15" outlineLevel="1">
      <c r="B324" s="31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30" outlineLevel="1">
      <c r="A325" s="550">
        <v>32</v>
      </c>
      <c r="B325" s="549" t="s">
        <v>124</v>
      </c>
      <c r="C325" s="316" t="s">
        <v>25</v>
      </c>
      <c r="D325" s="320"/>
      <c r="E325" s="320"/>
      <c r="F325" s="320"/>
      <c r="G325" s="320"/>
      <c r="H325" s="320"/>
      <c r="I325" s="320"/>
      <c r="J325" s="320"/>
      <c r="K325" s="320"/>
      <c r="L325" s="320"/>
      <c r="M325" s="320"/>
      <c r="N325" s="320">
        <v>12</v>
      </c>
      <c r="O325" s="320"/>
      <c r="P325" s="320"/>
      <c r="Q325" s="320"/>
      <c r="R325" s="320"/>
      <c r="S325" s="320"/>
      <c r="T325" s="320"/>
      <c r="U325" s="320"/>
      <c r="V325" s="320"/>
      <c r="W325" s="320"/>
      <c r="X325" s="320"/>
      <c r="Y325" s="446"/>
      <c r="Z325" s="430"/>
      <c r="AA325" s="430"/>
      <c r="AB325" s="430"/>
      <c r="AC325" s="430"/>
      <c r="AD325" s="430"/>
      <c r="AE325" s="430"/>
      <c r="AF325" s="430"/>
      <c r="AG325" s="435"/>
      <c r="AH325" s="435"/>
      <c r="AI325" s="435"/>
      <c r="AJ325" s="435"/>
      <c r="AK325" s="435"/>
      <c r="AL325" s="435"/>
      <c r="AM325" s="321">
        <f>SUM(Y325:AL325)</f>
        <v>0</v>
      </c>
    </row>
    <row r="326" spans="1:39" ht="15" outlineLevel="1">
      <c r="B326" s="319" t="s">
        <v>292</v>
      </c>
      <c r="C326" s="316" t="s">
        <v>164</v>
      </c>
      <c r="D326" s="320"/>
      <c r="E326" s="320"/>
      <c r="F326" s="320"/>
      <c r="G326" s="320"/>
      <c r="H326" s="320"/>
      <c r="I326" s="320"/>
      <c r="J326" s="320"/>
      <c r="K326" s="320"/>
      <c r="L326" s="320"/>
      <c r="M326" s="320"/>
      <c r="N326" s="320">
        <f>N325</f>
        <v>12</v>
      </c>
      <c r="O326" s="320"/>
      <c r="P326" s="320"/>
      <c r="Q326" s="320"/>
      <c r="R326" s="320"/>
      <c r="S326" s="320"/>
      <c r="T326" s="320"/>
      <c r="U326" s="320"/>
      <c r="V326" s="320"/>
      <c r="W326" s="320"/>
      <c r="X326" s="320"/>
      <c r="Y326" s="431">
        <f>Y325</f>
        <v>0</v>
      </c>
      <c r="Z326" s="431">
        <f t="shared" ref="Z326" si="897">Z325</f>
        <v>0</v>
      </c>
      <c r="AA326" s="431">
        <f t="shared" ref="AA326" si="898">AA325</f>
        <v>0</v>
      </c>
      <c r="AB326" s="431">
        <f t="shared" ref="AB326" si="899">AB325</f>
        <v>0</v>
      </c>
      <c r="AC326" s="431">
        <f t="shared" ref="AC326" si="900">AC325</f>
        <v>0</v>
      </c>
      <c r="AD326" s="431">
        <f t="shared" ref="AD326" si="901">AD325</f>
        <v>0</v>
      </c>
      <c r="AE326" s="431">
        <f t="shared" ref="AE326" si="902">AE325</f>
        <v>0</v>
      </c>
      <c r="AF326" s="431">
        <f t="shared" ref="AF326" si="903">AF325</f>
        <v>0</v>
      </c>
      <c r="AG326" s="431">
        <f t="shared" ref="AG326" si="904">AG325</f>
        <v>0</v>
      </c>
      <c r="AH326" s="431">
        <f t="shared" ref="AH326" si="905">AH325</f>
        <v>0</v>
      </c>
      <c r="AI326" s="431">
        <f t="shared" ref="AI326" si="906">AI325</f>
        <v>0</v>
      </c>
      <c r="AJ326" s="431">
        <f t="shared" ref="AJ326" si="907">AJ325</f>
        <v>0</v>
      </c>
      <c r="AK326" s="431">
        <f t="shared" ref="AK326" si="908">AK325</f>
        <v>0</v>
      </c>
      <c r="AL326" s="431">
        <f t="shared" ref="AL326" si="909">AL325</f>
        <v>0</v>
      </c>
      <c r="AM326" s="331"/>
    </row>
    <row r="327" spans="1:39" ht="15" outlineLevel="1">
      <c r="B327" s="549"/>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432"/>
      <c r="Z327" s="445"/>
      <c r="AA327" s="445"/>
      <c r="AB327" s="445"/>
      <c r="AC327" s="445"/>
      <c r="AD327" s="445"/>
      <c r="AE327" s="445"/>
      <c r="AF327" s="445"/>
      <c r="AG327" s="445"/>
      <c r="AH327" s="445"/>
      <c r="AI327" s="445"/>
      <c r="AJ327" s="445"/>
      <c r="AK327" s="445"/>
      <c r="AL327" s="445"/>
      <c r="AM327" s="331"/>
    </row>
    <row r="328" spans="1:39" ht="15" outlineLevel="1">
      <c r="A328" s="550">
        <v>33</v>
      </c>
      <c r="B328" s="549" t="s">
        <v>125</v>
      </c>
      <c r="C328" s="316" t="s">
        <v>25</v>
      </c>
      <c r="D328" s="320">
        <v>1619649</v>
      </c>
      <c r="E328" s="320">
        <f>'7-f.  2016'!BC31</f>
        <v>888301</v>
      </c>
      <c r="F328" s="320">
        <f>'7-f.  2016'!BD31</f>
        <v>667610</v>
      </c>
      <c r="G328" s="320">
        <f>'7-f.  2016'!BE31</f>
        <v>617845</v>
      </c>
      <c r="H328" s="320">
        <f>'7-f.  2016'!BF31</f>
        <v>617845</v>
      </c>
      <c r="I328" s="320">
        <f>'7-f.  2016'!BG31</f>
        <v>343518</v>
      </c>
      <c r="J328" s="320">
        <f>'7-f.  2016'!BH31</f>
        <v>343518</v>
      </c>
      <c r="K328" s="320">
        <f>'7-f.  2016'!BI31</f>
        <v>343518</v>
      </c>
      <c r="L328" s="320">
        <f>'7-f.  2016'!BJ31</f>
        <v>343518</v>
      </c>
      <c r="M328" s="320">
        <f>'7-f.  2016'!BK31</f>
        <v>295986</v>
      </c>
      <c r="N328" s="320">
        <v>12</v>
      </c>
      <c r="O328" s="320">
        <v>145</v>
      </c>
      <c r="P328" s="320">
        <f>'7-f.  2016'!X31</f>
        <v>79</v>
      </c>
      <c r="Q328" s="320">
        <f>'7-f.  2016'!Y31</f>
        <v>53</v>
      </c>
      <c r="R328" s="320">
        <f>'7-f.  2016'!Z31</f>
        <v>53</v>
      </c>
      <c r="S328" s="320">
        <f>'7-f.  2016'!AA31</f>
        <v>53</v>
      </c>
      <c r="T328" s="320">
        <f>'7-f.  2016'!AB31</f>
        <v>53</v>
      </c>
      <c r="U328" s="320">
        <f>'7-f.  2016'!AC31</f>
        <v>53</v>
      </c>
      <c r="V328" s="320">
        <f>'7-f.  2016'!AD31</f>
        <v>53</v>
      </c>
      <c r="W328" s="320">
        <f>'7-f.  2016'!AE31</f>
        <v>53</v>
      </c>
      <c r="X328" s="320">
        <f>'7-f.  2016'!AF31</f>
        <v>46</v>
      </c>
      <c r="Y328" s="446"/>
      <c r="Z328" s="430"/>
      <c r="AA328" s="430">
        <v>1</v>
      </c>
      <c r="AB328" s="430"/>
      <c r="AC328" s="430"/>
      <c r="AD328" s="430"/>
      <c r="AE328" s="430"/>
      <c r="AF328" s="430"/>
      <c r="AG328" s="435"/>
      <c r="AH328" s="435"/>
      <c r="AI328" s="435"/>
      <c r="AJ328" s="435"/>
      <c r="AK328" s="435"/>
      <c r="AL328" s="435"/>
      <c r="AM328" s="321">
        <f>SUM(Y328:AL328)</f>
        <v>1</v>
      </c>
    </row>
    <row r="329" spans="1:39" ht="15" outlineLevel="1">
      <c r="B329" s="319" t="s">
        <v>292</v>
      </c>
      <c r="C329" s="316" t="s">
        <v>164</v>
      </c>
      <c r="D329" s="320"/>
      <c r="E329" s="320"/>
      <c r="F329" s="320"/>
      <c r="G329" s="320"/>
      <c r="H329" s="320"/>
      <c r="I329" s="320"/>
      <c r="J329" s="320"/>
      <c r="K329" s="320"/>
      <c r="L329" s="320"/>
      <c r="M329" s="320"/>
      <c r="N329" s="320">
        <f>N328</f>
        <v>12</v>
      </c>
      <c r="O329" s="320"/>
      <c r="P329" s="320"/>
      <c r="Q329" s="320"/>
      <c r="R329" s="320"/>
      <c r="S329" s="320"/>
      <c r="T329" s="320"/>
      <c r="U329" s="320"/>
      <c r="V329" s="320"/>
      <c r="W329" s="320"/>
      <c r="X329" s="320"/>
      <c r="Y329" s="431">
        <f>Y328</f>
        <v>0</v>
      </c>
      <c r="Z329" s="431">
        <f t="shared" ref="Z329" si="910">Z328</f>
        <v>0</v>
      </c>
      <c r="AA329" s="431">
        <f t="shared" ref="AA329" si="911">AA328</f>
        <v>1</v>
      </c>
      <c r="AB329" s="431">
        <f t="shared" ref="AB329" si="912">AB328</f>
        <v>0</v>
      </c>
      <c r="AC329" s="431">
        <f t="shared" ref="AC329" si="913">AC328</f>
        <v>0</v>
      </c>
      <c r="AD329" s="431">
        <f t="shared" ref="AD329" si="914">AD328</f>
        <v>0</v>
      </c>
      <c r="AE329" s="431">
        <f t="shared" ref="AE329" si="915">AE328</f>
        <v>0</v>
      </c>
      <c r="AF329" s="431">
        <f t="shared" ref="AF329" si="916">AF328</f>
        <v>0</v>
      </c>
      <c r="AG329" s="431">
        <f t="shared" ref="AG329" si="917">AG328</f>
        <v>0</v>
      </c>
      <c r="AH329" s="431">
        <f t="shared" ref="AH329" si="918">AH328</f>
        <v>0</v>
      </c>
      <c r="AI329" s="431">
        <f t="shared" ref="AI329" si="919">AI328</f>
        <v>0</v>
      </c>
      <c r="AJ329" s="431">
        <f t="shared" ref="AJ329" si="920">AJ328</f>
        <v>0</v>
      </c>
      <c r="AK329" s="431">
        <f t="shared" ref="AK329" si="921">AK328</f>
        <v>0</v>
      </c>
      <c r="AL329" s="431">
        <f t="shared" ref="AL329" si="922">AL328</f>
        <v>0</v>
      </c>
      <c r="AM329" s="331"/>
    </row>
    <row r="330" spans="1:39" ht="15" outlineLevel="1">
      <c r="B330" s="549"/>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2"/>
      <c r="Z330" s="445"/>
      <c r="AA330" s="445"/>
      <c r="AB330" s="445"/>
      <c r="AC330" s="445"/>
      <c r="AD330" s="445"/>
      <c r="AE330" s="445"/>
      <c r="AF330" s="445"/>
      <c r="AG330" s="445"/>
      <c r="AH330" s="445"/>
      <c r="AI330" s="445"/>
      <c r="AJ330" s="445"/>
      <c r="AK330" s="445"/>
      <c r="AL330" s="445"/>
      <c r="AM330" s="331"/>
    </row>
    <row r="331" spans="1:39" ht="15.6" outlineLevel="1">
      <c r="B331" s="313" t="s">
        <v>515</v>
      </c>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t="15" outlineLevel="1">
      <c r="A332" s="550">
        <v>34</v>
      </c>
      <c r="B332" s="549" t="s">
        <v>126</v>
      </c>
      <c r="C332" s="316" t="s">
        <v>25</v>
      </c>
      <c r="D332" s="320">
        <v>1013502</v>
      </c>
      <c r="E332" s="320">
        <f>'7-f.  2016'!BC32</f>
        <v>1009583</v>
      </c>
      <c r="F332" s="320">
        <f>'7-f.  2016'!BD32</f>
        <v>1009583</v>
      </c>
      <c r="G332" s="320">
        <f>'7-f.  2016'!BE32</f>
        <v>878605</v>
      </c>
      <c r="H332" s="320">
        <f>'7-f.  2016'!BF32</f>
        <v>804761</v>
      </c>
      <c r="I332" s="320">
        <f>'7-f.  2016'!BG32</f>
        <v>784899</v>
      </c>
      <c r="J332" s="320">
        <f>'7-f.  2016'!BH32</f>
        <v>784899</v>
      </c>
      <c r="K332" s="320">
        <f>'7-f.  2016'!BI32</f>
        <v>784899</v>
      </c>
      <c r="L332" s="320">
        <f>'7-f.  2016'!BJ32</f>
        <v>784899</v>
      </c>
      <c r="M332" s="320">
        <f>'7-f.  2016'!BK32</f>
        <v>784899</v>
      </c>
      <c r="N332" s="320">
        <v>0</v>
      </c>
      <c r="O332" s="320">
        <v>137</v>
      </c>
      <c r="P332" s="320">
        <f>'7-f.  2016'!X32</f>
        <v>136</v>
      </c>
      <c r="Q332" s="320">
        <f>'7-f.  2016'!Y32</f>
        <v>136</v>
      </c>
      <c r="R332" s="320">
        <f>'7-f.  2016'!Z32</f>
        <v>114</v>
      </c>
      <c r="S332" s="320">
        <f>'7-f.  2016'!AA32</f>
        <v>102</v>
      </c>
      <c r="T332" s="320">
        <f>'7-f.  2016'!AB32</f>
        <v>102</v>
      </c>
      <c r="U332" s="320">
        <f>'7-f.  2016'!AC32</f>
        <v>102</v>
      </c>
      <c r="V332" s="320">
        <f>'7-f.  2016'!AD32</f>
        <v>102</v>
      </c>
      <c r="W332" s="320">
        <f>'7-f.  2016'!AE32</f>
        <v>102</v>
      </c>
      <c r="X332" s="320">
        <f>'7-f.  2016'!AF32</f>
        <v>102</v>
      </c>
      <c r="Y332" s="446"/>
      <c r="Z332" s="430">
        <v>0.85</v>
      </c>
      <c r="AA332" s="430">
        <v>0.15</v>
      </c>
      <c r="AB332" s="430"/>
      <c r="AC332" s="430"/>
      <c r="AD332" s="430"/>
      <c r="AE332" s="430"/>
      <c r="AF332" s="430"/>
      <c r="AG332" s="435"/>
      <c r="AH332" s="435"/>
      <c r="AI332" s="435"/>
      <c r="AJ332" s="435"/>
      <c r="AK332" s="435"/>
      <c r="AL332" s="435"/>
      <c r="AM332" s="321">
        <f>SUM(Y332:AL332)</f>
        <v>1</v>
      </c>
    </row>
    <row r="333" spans="1:39" ht="15"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23">Z332</f>
        <v>0.85</v>
      </c>
      <c r="AA333" s="431">
        <f t="shared" ref="AA333" si="924">AA332</f>
        <v>0.15</v>
      </c>
      <c r="AB333" s="431">
        <f t="shared" ref="AB333" si="925">AB332</f>
        <v>0</v>
      </c>
      <c r="AC333" s="431">
        <f t="shared" ref="AC333" si="926">AC332</f>
        <v>0</v>
      </c>
      <c r="AD333" s="431">
        <f t="shared" ref="AD333" si="927">AD332</f>
        <v>0</v>
      </c>
      <c r="AE333" s="431">
        <f t="shared" ref="AE333" si="928">AE332</f>
        <v>0</v>
      </c>
      <c r="AF333" s="431">
        <f t="shared" ref="AF333" si="929">AF332</f>
        <v>0</v>
      </c>
      <c r="AG333" s="431">
        <f t="shared" ref="AG333" si="930">AG332</f>
        <v>0</v>
      </c>
      <c r="AH333" s="431">
        <f t="shared" ref="AH333" si="931">AH332</f>
        <v>0</v>
      </c>
      <c r="AI333" s="431">
        <f t="shared" ref="AI333" si="932">AI332</f>
        <v>0</v>
      </c>
      <c r="AJ333" s="431">
        <f t="shared" ref="AJ333" si="933">AJ332</f>
        <v>0</v>
      </c>
      <c r="AK333" s="431">
        <f t="shared" ref="AK333" si="934">AK332</f>
        <v>0</v>
      </c>
      <c r="AL333" s="431">
        <f t="shared" ref="AL333" si="935">AL332</f>
        <v>0</v>
      </c>
      <c r="AM333" s="331"/>
    </row>
    <row r="334" spans="1:39" ht="15" outlineLevel="1">
      <c r="B334" s="54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t="15" outlineLevel="1">
      <c r="A335" s="550">
        <v>35</v>
      </c>
      <c r="B335" s="549" t="s">
        <v>127</v>
      </c>
      <c r="C335" s="316" t="s">
        <v>25</v>
      </c>
      <c r="D335" s="320"/>
      <c r="E335" s="320"/>
      <c r="F335" s="320"/>
      <c r="G335" s="320"/>
      <c r="H335" s="320"/>
      <c r="I335" s="320"/>
      <c r="J335" s="320"/>
      <c r="K335" s="320"/>
      <c r="L335" s="320"/>
      <c r="M335" s="320"/>
      <c r="N335" s="320">
        <v>0</v>
      </c>
      <c r="O335" s="320"/>
      <c r="P335" s="320"/>
      <c r="Q335" s="320"/>
      <c r="R335" s="320"/>
      <c r="S335" s="320"/>
      <c r="T335" s="320"/>
      <c r="U335" s="320"/>
      <c r="V335" s="320"/>
      <c r="W335" s="320"/>
      <c r="X335" s="320"/>
      <c r="Y335" s="446"/>
      <c r="Z335" s="430"/>
      <c r="AA335" s="430"/>
      <c r="AB335" s="430"/>
      <c r="AC335" s="430"/>
      <c r="AD335" s="430"/>
      <c r="AE335" s="430"/>
      <c r="AF335" s="430"/>
      <c r="AG335" s="435"/>
      <c r="AH335" s="435"/>
      <c r="AI335" s="435"/>
      <c r="AJ335" s="435"/>
      <c r="AK335" s="435"/>
      <c r="AL335" s="435"/>
      <c r="AM335" s="321">
        <f>SUM(Y335:AL335)</f>
        <v>0</v>
      </c>
    </row>
    <row r="336" spans="1:39" ht="15" outlineLevel="1">
      <c r="B336" s="319" t="s">
        <v>292</v>
      </c>
      <c r="C336" s="316" t="s">
        <v>164</v>
      </c>
      <c r="D336" s="320"/>
      <c r="E336" s="320"/>
      <c r="F336" s="320"/>
      <c r="G336" s="320"/>
      <c r="H336" s="320"/>
      <c r="I336" s="320"/>
      <c r="J336" s="320"/>
      <c r="K336" s="320"/>
      <c r="L336" s="320"/>
      <c r="M336" s="320"/>
      <c r="N336" s="320">
        <f>N335</f>
        <v>0</v>
      </c>
      <c r="O336" s="320"/>
      <c r="P336" s="320"/>
      <c r="Q336" s="320"/>
      <c r="R336" s="320"/>
      <c r="S336" s="320"/>
      <c r="T336" s="320"/>
      <c r="U336" s="320"/>
      <c r="V336" s="320"/>
      <c r="W336" s="320"/>
      <c r="X336" s="320"/>
      <c r="Y336" s="431">
        <f>Y335</f>
        <v>0</v>
      </c>
      <c r="Z336" s="431">
        <f t="shared" ref="Z336" si="936">Z335</f>
        <v>0</v>
      </c>
      <c r="AA336" s="431">
        <f t="shared" ref="AA336" si="937">AA335</f>
        <v>0</v>
      </c>
      <c r="AB336" s="431">
        <f t="shared" ref="AB336" si="938">AB335</f>
        <v>0</v>
      </c>
      <c r="AC336" s="431">
        <f t="shared" ref="AC336" si="939">AC335</f>
        <v>0</v>
      </c>
      <c r="AD336" s="431">
        <f t="shared" ref="AD336" si="940">AD335</f>
        <v>0</v>
      </c>
      <c r="AE336" s="431">
        <f t="shared" ref="AE336" si="941">AE335</f>
        <v>0</v>
      </c>
      <c r="AF336" s="431">
        <f t="shared" ref="AF336" si="942">AF335</f>
        <v>0</v>
      </c>
      <c r="AG336" s="431">
        <f t="shared" ref="AG336" si="943">AG335</f>
        <v>0</v>
      </c>
      <c r="AH336" s="431">
        <f t="shared" ref="AH336" si="944">AH335</f>
        <v>0</v>
      </c>
      <c r="AI336" s="431">
        <f t="shared" ref="AI336" si="945">AI335</f>
        <v>0</v>
      </c>
      <c r="AJ336" s="431">
        <f t="shared" ref="AJ336" si="946">AJ335</f>
        <v>0</v>
      </c>
      <c r="AK336" s="431">
        <f t="shared" ref="AK336" si="947">AK335</f>
        <v>0</v>
      </c>
      <c r="AL336" s="431">
        <f t="shared" ref="AL336" si="948">AL335</f>
        <v>0</v>
      </c>
      <c r="AM336" s="331"/>
    </row>
    <row r="337" spans="1:39" ht="15" outlineLevel="1">
      <c r="B337" s="549"/>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32"/>
      <c r="Z337" s="445"/>
      <c r="AA337" s="445"/>
      <c r="AB337" s="445"/>
      <c r="AC337" s="445"/>
      <c r="AD337" s="445"/>
      <c r="AE337" s="445"/>
      <c r="AF337" s="445"/>
      <c r="AG337" s="445"/>
      <c r="AH337" s="445"/>
      <c r="AI337" s="445"/>
      <c r="AJ337" s="445"/>
      <c r="AK337" s="445"/>
      <c r="AL337" s="445"/>
      <c r="AM337" s="331"/>
    </row>
    <row r="338" spans="1:39" ht="15" outlineLevel="1">
      <c r="A338" s="550">
        <v>36</v>
      </c>
      <c r="B338" s="549" t="s">
        <v>128</v>
      </c>
      <c r="C338" s="316" t="s">
        <v>25</v>
      </c>
      <c r="D338" s="320"/>
      <c r="E338" s="320"/>
      <c r="F338" s="320"/>
      <c r="G338" s="320"/>
      <c r="H338" s="320"/>
      <c r="I338" s="320"/>
      <c r="J338" s="320"/>
      <c r="K338" s="320"/>
      <c r="L338" s="320"/>
      <c r="M338" s="320"/>
      <c r="N338" s="320">
        <v>0</v>
      </c>
      <c r="O338" s="320"/>
      <c r="P338" s="320"/>
      <c r="Q338" s="320"/>
      <c r="R338" s="320"/>
      <c r="S338" s="320"/>
      <c r="T338" s="320"/>
      <c r="U338" s="320"/>
      <c r="V338" s="320"/>
      <c r="W338" s="320"/>
      <c r="X338" s="320"/>
      <c r="Y338" s="446"/>
      <c r="Z338" s="430"/>
      <c r="AA338" s="430"/>
      <c r="AB338" s="430"/>
      <c r="AC338" s="430"/>
      <c r="AD338" s="430"/>
      <c r="AE338" s="430"/>
      <c r="AF338" s="430"/>
      <c r="AG338" s="435"/>
      <c r="AH338" s="435"/>
      <c r="AI338" s="435"/>
      <c r="AJ338" s="435"/>
      <c r="AK338" s="435"/>
      <c r="AL338" s="435"/>
      <c r="AM338" s="321">
        <f>SUM(Y338:AL338)</f>
        <v>0</v>
      </c>
    </row>
    <row r="339" spans="1:39" ht="15" outlineLevel="1">
      <c r="B339" s="319" t="s">
        <v>292</v>
      </c>
      <c r="C339" s="316" t="s">
        <v>164</v>
      </c>
      <c r="D339" s="320"/>
      <c r="E339" s="320"/>
      <c r="F339" s="320"/>
      <c r="G339" s="320"/>
      <c r="H339" s="320"/>
      <c r="I339" s="320"/>
      <c r="J339" s="320"/>
      <c r="K339" s="320"/>
      <c r="L339" s="320"/>
      <c r="M339" s="320"/>
      <c r="N339" s="320">
        <f>N338</f>
        <v>0</v>
      </c>
      <c r="O339" s="320"/>
      <c r="P339" s="320"/>
      <c r="Q339" s="320"/>
      <c r="R339" s="320"/>
      <c r="S339" s="320"/>
      <c r="T339" s="320"/>
      <c r="U339" s="320"/>
      <c r="V339" s="320"/>
      <c r="W339" s="320"/>
      <c r="X339" s="320"/>
      <c r="Y339" s="431">
        <f>Y338</f>
        <v>0</v>
      </c>
      <c r="Z339" s="431">
        <f t="shared" ref="Z339" si="949">Z338</f>
        <v>0</v>
      </c>
      <c r="AA339" s="431">
        <f t="shared" ref="AA339" si="950">AA338</f>
        <v>0</v>
      </c>
      <c r="AB339" s="431">
        <f t="shared" ref="AB339" si="951">AB338</f>
        <v>0</v>
      </c>
      <c r="AC339" s="431">
        <f t="shared" ref="AC339" si="952">AC338</f>
        <v>0</v>
      </c>
      <c r="AD339" s="431">
        <f t="shared" ref="AD339" si="953">AD338</f>
        <v>0</v>
      </c>
      <c r="AE339" s="431">
        <f t="shared" ref="AE339" si="954">AE338</f>
        <v>0</v>
      </c>
      <c r="AF339" s="431">
        <f t="shared" ref="AF339" si="955">AF338</f>
        <v>0</v>
      </c>
      <c r="AG339" s="431">
        <f t="shared" ref="AG339" si="956">AG338</f>
        <v>0</v>
      </c>
      <c r="AH339" s="431">
        <f t="shared" ref="AH339" si="957">AH338</f>
        <v>0</v>
      </c>
      <c r="AI339" s="431">
        <f t="shared" ref="AI339" si="958">AI338</f>
        <v>0</v>
      </c>
      <c r="AJ339" s="431">
        <f t="shared" ref="AJ339" si="959">AJ338</f>
        <v>0</v>
      </c>
      <c r="AK339" s="431">
        <f t="shared" ref="AK339" si="960">AK338</f>
        <v>0</v>
      </c>
      <c r="AL339" s="431">
        <f t="shared" ref="AL339" si="961">AL338</f>
        <v>0</v>
      </c>
      <c r="AM339" s="331"/>
    </row>
    <row r="340" spans="1:39" ht="15" outlineLevel="1">
      <c r="B340" s="319"/>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432"/>
      <c r="Z340" s="445"/>
      <c r="AA340" s="445"/>
      <c r="AB340" s="445"/>
      <c r="AC340" s="445"/>
      <c r="AD340" s="445"/>
      <c r="AE340" s="445"/>
      <c r="AF340" s="445"/>
      <c r="AG340" s="445"/>
      <c r="AH340" s="445"/>
      <c r="AI340" s="445"/>
      <c r="AJ340" s="445"/>
      <c r="AK340" s="445"/>
      <c r="AL340" s="445"/>
      <c r="AM340" s="331"/>
    </row>
    <row r="341" spans="1:39" ht="15.6" outlineLevel="1">
      <c r="B341" s="313" t="s">
        <v>516</v>
      </c>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t="45" outlineLevel="1">
      <c r="A342" s="550">
        <v>37</v>
      </c>
      <c r="B342" s="549" t="s">
        <v>129</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t="15"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62">Z342</f>
        <v>0</v>
      </c>
      <c r="AA343" s="431">
        <f t="shared" ref="AA343" si="963">AA342</f>
        <v>0</v>
      </c>
      <c r="AB343" s="431">
        <f t="shared" ref="AB343" si="964">AB342</f>
        <v>0</v>
      </c>
      <c r="AC343" s="431">
        <f t="shared" ref="AC343" si="965">AC342</f>
        <v>0</v>
      </c>
      <c r="AD343" s="431">
        <f t="shared" ref="AD343" si="966">AD342</f>
        <v>0</v>
      </c>
      <c r="AE343" s="431">
        <f t="shared" ref="AE343" si="967">AE342</f>
        <v>0</v>
      </c>
      <c r="AF343" s="431">
        <f t="shared" ref="AF343" si="968">AF342</f>
        <v>0</v>
      </c>
      <c r="AG343" s="431">
        <f t="shared" ref="AG343" si="969">AG342</f>
        <v>0</v>
      </c>
      <c r="AH343" s="431">
        <f t="shared" ref="AH343" si="970">AH342</f>
        <v>0</v>
      </c>
      <c r="AI343" s="431">
        <f t="shared" ref="AI343" si="971">AI342</f>
        <v>0</v>
      </c>
      <c r="AJ343" s="431">
        <f t="shared" ref="AJ343" si="972">AJ342</f>
        <v>0</v>
      </c>
      <c r="AK343" s="431">
        <f t="shared" ref="AK343" si="973">AK342</f>
        <v>0</v>
      </c>
      <c r="AL343" s="431">
        <f t="shared" ref="AL343" si="974">AL342</f>
        <v>0</v>
      </c>
      <c r="AM343" s="331"/>
    </row>
    <row r="344" spans="1:39" ht="15"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outlineLevel="1">
      <c r="A345" s="550">
        <v>38</v>
      </c>
      <c r="B345" s="549" t="s">
        <v>130</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t="15"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75">Z345</f>
        <v>0</v>
      </c>
      <c r="AA346" s="431">
        <f t="shared" ref="AA346" si="976">AA345</f>
        <v>0</v>
      </c>
      <c r="AB346" s="431">
        <f t="shared" ref="AB346" si="977">AB345</f>
        <v>0</v>
      </c>
      <c r="AC346" s="431">
        <f t="shared" ref="AC346" si="978">AC345</f>
        <v>0</v>
      </c>
      <c r="AD346" s="431">
        <f t="shared" ref="AD346" si="979">AD345</f>
        <v>0</v>
      </c>
      <c r="AE346" s="431">
        <f t="shared" ref="AE346" si="980">AE345</f>
        <v>0</v>
      </c>
      <c r="AF346" s="431">
        <f t="shared" ref="AF346" si="981">AF345</f>
        <v>0</v>
      </c>
      <c r="AG346" s="431">
        <f t="shared" ref="AG346" si="982">AG345</f>
        <v>0</v>
      </c>
      <c r="AH346" s="431">
        <f t="shared" ref="AH346" si="983">AH345</f>
        <v>0</v>
      </c>
      <c r="AI346" s="431">
        <f t="shared" ref="AI346" si="984">AI345</f>
        <v>0</v>
      </c>
      <c r="AJ346" s="431">
        <f t="shared" ref="AJ346" si="985">AJ345</f>
        <v>0</v>
      </c>
      <c r="AK346" s="431">
        <f t="shared" ref="AK346" si="986">AK345</f>
        <v>0</v>
      </c>
      <c r="AL346" s="431">
        <f t="shared" ref="AL346" si="987">AL345</f>
        <v>0</v>
      </c>
      <c r="AM346" s="331"/>
    </row>
    <row r="347" spans="1:39" ht="15"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t="15" outlineLevel="1">
      <c r="A348" s="550">
        <v>39</v>
      </c>
      <c r="B348" s="549" t="s">
        <v>131</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t="15"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988">Z348</f>
        <v>0</v>
      </c>
      <c r="AA349" s="431">
        <f t="shared" ref="AA349" si="989">AA348</f>
        <v>0</v>
      </c>
      <c r="AB349" s="431">
        <f t="shared" ref="AB349" si="990">AB348</f>
        <v>0</v>
      </c>
      <c r="AC349" s="431">
        <f t="shared" ref="AC349" si="991">AC348</f>
        <v>0</v>
      </c>
      <c r="AD349" s="431">
        <f t="shared" ref="AD349" si="992">AD348</f>
        <v>0</v>
      </c>
      <c r="AE349" s="431">
        <f t="shared" ref="AE349" si="993">AE348</f>
        <v>0</v>
      </c>
      <c r="AF349" s="431">
        <f t="shared" ref="AF349" si="994">AF348</f>
        <v>0</v>
      </c>
      <c r="AG349" s="431">
        <f t="shared" ref="AG349" si="995">AG348</f>
        <v>0</v>
      </c>
      <c r="AH349" s="431">
        <f t="shared" ref="AH349" si="996">AH348</f>
        <v>0</v>
      </c>
      <c r="AI349" s="431">
        <f t="shared" ref="AI349" si="997">AI348</f>
        <v>0</v>
      </c>
      <c r="AJ349" s="431">
        <f t="shared" ref="AJ349" si="998">AJ348</f>
        <v>0</v>
      </c>
      <c r="AK349" s="431">
        <f t="shared" ref="AK349" si="999">AK348</f>
        <v>0</v>
      </c>
      <c r="AL349" s="431">
        <f t="shared" ref="AL349" si="1000">AL348</f>
        <v>0</v>
      </c>
      <c r="AM349" s="331"/>
    </row>
    <row r="350" spans="1:39" ht="15"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30" outlineLevel="1">
      <c r="A351" s="550">
        <v>40</v>
      </c>
      <c r="B351" s="549" t="s">
        <v>132</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t="15"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01">Z351</f>
        <v>0</v>
      </c>
      <c r="AA352" s="431">
        <f t="shared" ref="AA352" si="1002">AA351</f>
        <v>0</v>
      </c>
      <c r="AB352" s="431">
        <f t="shared" ref="AB352" si="1003">AB351</f>
        <v>0</v>
      </c>
      <c r="AC352" s="431">
        <f t="shared" ref="AC352" si="1004">AC351</f>
        <v>0</v>
      </c>
      <c r="AD352" s="431">
        <f t="shared" ref="AD352" si="1005">AD351</f>
        <v>0</v>
      </c>
      <c r="AE352" s="431">
        <f t="shared" ref="AE352" si="1006">AE351</f>
        <v>0</v>
      </c>
      <c r="AF352" s="431">
        <f t="shared" ref="AF352" si="1007">AF351</f>
        <v>0</v>
      </c>
      <c r="AG352" s="431">
        <f t="shared" ref="AG352" si="1008">AG351</f>
        <v>0</v>
      </c>
      <c r="AH352" s="431">
        <f t="shared" ref="AH352" si="1009">AH351</f>
        <v>0</v>
      </c>
      <c r="AI352" s="431">
        <f t="shared" ref="AI352" si="1010">AI351</f>
        <v>0</v>
      </c>
      <c r="AJ352" s="431">
        <f t="shared" ref="AJ352" si="1011">AJ351</f>
        <v>0</v>
      </c>
      <c r="AK352" s="431">
        <f t="shared" ref="AK352" si="1012">AK351</f>
        <v>0</v>
      </c>
      <c r="AL352" s="431">
        <f t="shared" ref="AL352" si="1013">AL351</f>
        <v>0</v>
      </c>
      <c r="AM352" s="331"/>
    </row>
    <row r="353" spans="1:39" ht="15"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30" outlineLevel="1">
      <c r="A354" s="550">
        <v>41</v>
      </c>
      <c r="B354" s="549" t="s">
        <v>133</v>
      </c>
      <c r="C354" s="316" t="s">
        <v>25</v>
      </c>
      <c r="D354" s="320"/>
      <c r="E354" s="320"/>
      <c r="F354" s="320"/>
      <c r="G354" s="320"/>
      <c r="H354" s="320"/>
      <c r="I354" s="320"/>
      <c r="J354" s="320"/>
      <c r="K354" s="320"/>
      <c r="L354" s="320"/>
      <c r="M354" s="320"/>
      <c r="N354" s="320">
        <v>0</v>
      </c>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t="15" outlineLevel="1">
      <c r="B355" s="319" t="s">
        <v>292</v>
      </c>
      <c r="C355" s="316" t="s">
        <v>164</v>
      </c>
      <c r="D355" s="320"/>
      <c r="E355" s="320"/>
      <c r="F355" s="320"/>
      <c r="G355" s="320"/>
      <c r="H355" s="320"/>
      <c r="I355" s="320"/>
      <c r="J355" s="320"/>
      <c r="K355" s="320"/>
      <c r="L355" s="320"/>
      <c r="M355" s="320"/>
      <c r="N355" s="320">
        <f>N354</f>
        <v>0</v>
      </c>
      <c r="O355" s="320"/>
      <c r="P355" s="320"/>
      <c r="Q355" s="320"/>
      <c r="R355" s="320"/>
      <c r="S355" s="320"/>
      <c r="T355" s="320"/>
      <c r="U355" s="320"/>
      <c r="V355" s="320"/>
      <c r="W355" s="320"/>
      <c r="X355" s="320"/>
      <c r="Y355" s="431">
        <f>Y354</f>
        <v>0</v>
      </c>
      <c r="Z355" s="431">
        <f t="shared" ref="Z355" si="1014">Z354</f>
        <v>0</v>
      </c>
      <c r="AA355" s="431">
        <f t="shared" ref="AA355" si="1015">AA354</f>
        <v>0</v>
      </c>
      <c r="AB355" s="431">
        <f t="shared" ref="AB355" si="1016">AB354</f>
        <v>0</v>
      </c>
      <c r="AC355" s="431">
        <f t="shared" ref="AC355" si="1017">AC354</f>
        <v>0</v>
      </c>
      <c r="AD355" s="431">
        <f t="shared" ref="AD355" si="1018">AD354</f>
        <v>0</v>
      </c>
      <c r="AE355" s="431">
        <f t="shared" ref="AE355" si="1019">AE354</f>
        <v>0</v>
      </c>
      <c r="AF355" s="431">
        <f t="shared" ref="AF355" si="1020">AF354</f>
        <v>0</v>
      </c>
      <c r="AG355" s="431">
        <f t="shared" ref="AG355" si="1021">AG354</f>
        <v>0</v>
      </c>
      <c r="AH355" s="431">
        <f t="shared" ref="AH355" si="1022">AH354</f>
        <v>0</v>
      </c>
      <c r="AI355" s="431">
        <f t="shared" ref="AI355" si="1023">AI354</f>
        <v>0</v>
      </c>
      <c r="AJ355" s="431">
        <f t="shared" ref="AJ355" si="1024">AJ354</f>
        <v>0</v>
      </c>
      <c r="AK355" s="431">
        <f t="shared" ref="AK355" si="1025">AK354</f>
        <v>0</v>
      </c>
      <c r="AL355" s="431">
        <f t="shared" ref="AL355" si="1026">AL354</f>
        <v>0</v>
      </c>
      <c r="AM355" s="331"/>
    </row>
    <row r="356" spans="1:39" ht="15"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45" outlineLevel="1">
      <c r="A357" s="550">
        <v>42</v>
      </c>
      <c r="B357" s="549" t="s">
        <v>134</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t="15"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27">Z357</f>
        <v>0</v>
      </c>
      <c r="AA358" s="431">
        <f t="shared" ref="AA358" si="1028">AA357</f>
        <v>0</v>
      </c>
      <c r="AB358" s="431">
        <f t="shared" ref="AB358" si="1029">AB357</f>
        <v>0</v>
      </c>
      <c r="AC358" s="431">
        <f t="shared" ref="AC358" si="1030">AC357</f>
        <v>0</v>
      </c>
      <c r="AD358" s="431">
        <f t="shared" ref="AD358" si="1031">AD357</f>
        <v>0</v>
      </c>
      <c r="AE358" s="431">
        <f t="shared" ref="AE358" si="1032">AE357</f>
        <v>0</v>
      </c>
      <c r="AF358" s="431">
        <f t="shared" ref="AF358" si="1033">AF357</f>
        <v>0</v>
      </c>
      <c r="AG358" s="431">
        <f t="shared" ref="AG358" si="1034">AG357</f>
        <v>0</v>
      </c>
      <c r="AH358" s="431">
        <f t="shared" ref="AH358" si="1035">AH357</f>
        <v>0</v>
      </c>
      <c r="AI358" s="431">
        <f t="shared" ref="AI358" si="1036">AI357</f>
        <v>0</v>
      </c>
      <c r="AJ358" s="431">
        <f t="shared" ref="AJ358" si="1037">AJ357</f>
        <v>0</v>
      </c>
      <c r="AK358" s="431">
        <f t="shared" ref="AK358" si="1038">AK357</f>
        <v>0</v>
      </c>
      <c r="AL358" s="431">
        <f t="shared" ref="AL358" si="1039">AL357</f>
        <v>0</v>
      </c>
      <c r="AM358" s="331"/>
    </row>
    <row r="359" spans="1:39" ht="15"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30" outlineLevel="1">
      <c r="A360" s="550">
        <v>43</v>
      </c>
      <c r="B360" s="549" t="s">
        <v>135</v>
      </c>
      <c r="C360" s="316" t="s">
        <v>25</v>
      </c>
      <c r="D360" s="320"/>
      <c r="E360" s="320"/>
      <c r="F360" s="320"/>
      <c r="G360" s="320"/>
      <c r="H360" s="320"/>
      <c r="I360" s="320"/>
      <c r="J360" s="320"/>
      <c r="K360" s="320"/>
      <c r="L360" s="320"/>
      <c r="M360" s="320"/>
      <c r="N360" s="316"/>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t="15" outlineLevel="1">
      <c r="B361" s="319" t="s">
        <v>292</v>
      </c>
      <c r="C361" s="316" t="s">
        <v>164</v>
      </c>
      <c r="D361" s="320"/>
      <c r="E361" s="320"/>
      <c r="F361" s="320"/>
      <c r="G361" s="320"/>
      <c r="H361" s="320"/>
      <c r="I361" s="320"/>
      <c r="J361" s="320"/>
      <c r="K361" s="320"/>
      <c r="L361" s="320"/>
      <c r="M361" s="320"/>
      <c r="N361" s="488"/>
      <c r="O361" s="320"/>
      <c r="P361" s="320"/>
      <c r="Q361" s="320"/>
      <c r="R361" s="320"/>
      <c r="S361" s="320"/>
      <c r="T361" s="320"/>
      <c r="U361" s="320"/>
      <c r="V361" s="320"/>
      <c r="W361" s="320"/>
      <c r="X361" s="320"/>
      <c r="Y361" s="431">
        <f>Y360</f>
        <v>0</v>
      </c>
      <c r="Z361" s="431">
        <f t="shared" ref="Z361" si="1040">Z360</f>
        <v>0</v>
      </c>
      <c r="AA361" s="431">
        <f t="shared" ref="AA361" si="1041">AA360</f>
        <v>0</v>
      </c>
      <c r="AB361" s="431">
        <f t="shared" ref="AB361" si="1042">AB360</f>
        <v>0</v>
      </c>
      <c r="AC361" s="431">
        <f t="shared" ref="AC361" si="1043">AC360</f>
        <v>0</v>
      </c>
      <c r="AD361" s="431">
        <f t="shared" ref="AD361" si="1044">AD360</f>
        <v>0</v>
      </c>
      <c r="AE361" s="431">
        <f t="shared" ref="AE361" si="1045">AE360</f>
        <v>0</v>
      </c>
      <c r="AF361" s="431">
        <f t="shared" ref="AF361" si="1046">AF360</f>
        <v>0</v>
      </c>
      <c r="AG361" s="431">
        <f t="shared" ref="AG361" si="1047">AG360</f>
        <v>0</v>
      </c>
      <c r="AH361" s="431">
        <f t="shared" ref="AH361" si="1048">AH360</f>
        <v>0</v>
      </c>
      <c r="AI361" s="431">
        <f t="shared" ref="AI361" si="1049">AI360</f>
        <v>0</v>
      </c>
      <c r="AJ361" s="431">
        <f t="shared" ref="AJ361" si="1050">AJ360</f>
        <v>0</v>
      </c>
      <c r="AK361" s="431">
        <f t="shared" ref="AK361" si="1051">AK360</f>
        <v>0</v>
      </c>
      <c r="AL361" s="431">
        <f t="shared" ref="AL361" si="1052">AL360</f>
        <v>0</v>
      </c>
      <c r="AM361" s="331"/>
    </row>
    <row r="362" spans="1:39" ht="15"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15" outlineLevel="1">
      <c r="A363" s="550">
        <v>44</v>
      </c>
      <c r="B363" s="549" t="s">
        <v>136</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t="15"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53">Z363</f>
        <v>0</v>
      </c>
      <c r="AA364" s="431">
        <f t="shared" ref="AA364" si="1054">AA363</f>
        <v>0</v>
      </c>
      <c r="AB364" s="431">
        <f t="shared" ref="AB364" si="1055">AB363</f>
        <v>0</v>
      </c>
      <c r="AC364" s="431">
        <f t="shared" ref="AC364" si="1056">AC363</f>
        <v>0</v>
      </c>
      <c r="AD364" s="431">
        <f t="shared" ref="AD364" si="1057">AD363</f>
        <v>0</v>
      </c>
      <c r="AE364" s="431">
        <f t="shared" ref="AE364" si="1058">AE363</f>
        <v>0</v>
      </c>
      <c r="AF364" s="431">
        <f t="shared" ref="AF364" si="1059">AF363</f>
        <v>0</v>
      </c>
      <c r="AG364" s="431">
        <f t="shared" ref="AG364" si="1060">AG363</f>
        <v>0</v>
      </c>
      <c r="AH364" s="431">
        <f t="shared" ref="AH364" si="1061">AH363</f>
        <v>0</v>
      </c>
      <c r="AI364" s="431">
        <f t="shared" ref="AI364" si="1062">AI363</f>
        <v>0</v>
      </c>
      <c r="AJ364" s="431">
        <f t="shared" ref="AJ364" si="1063">AJ363</f>
        <v>0</v>
      </c>
      <c r="AK364" s="431">
        <f t="shared" ref="AK364" si="1064">AK363</f>
        <v>0</v>
      </c>
      <c r="AL364" s="431">
        <f t="shared" ref="AL364" si="1065">AL363</f>
        <v>0</v>
      </c>
      <c r="AM364" s="331"/>
    </row>
    <row r="365" spans="1:39" ht="15"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45" outlineLevel="1">
      <c r="A366" s="550">
        <v>45</v>
      </c>
      <c r="B366" s="549" t="s">
        <v>137</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t="15"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66">Z366</f>
        <v>0</v>
      </c>
      <c r="AA367" s="431">
        <f t="shared" ref="AA367" si="1067">AA366</f>
        <v>0</v>
      </c>
      <c r="AB367" s="431">
        <f t="shared" ref="AB367" si="1068">AB366</f>
        <v>0</v>
      </c>
      <c r="AC367" s="431">
        <f t="shared" ref="AC367" si="1069">AC366</f>
        <v>0</v>
      </c>
      <c r="AD367" s="431">
        <f t="shared" ref="AD367" si="1070">AD366</f>
        <v>0</v>
      </c>
      <c r="AE367" s="431">
        <f t="shared" ref="AE367" si="1071">AE366</f>
        <v>0</v>
      </c>
      <c r="AF367" s="431">
        <f t="shared" ref="AF367" si="1072">AF366</f>
        <v>0</v>
      </c>
      <c r="AG367" s="431">
        <f t="shared" ref="AG367" si="1073">AG366</f>
        <v>0</v>
      </c>
      <c r="AH367" s="431">
        <f t="shared" ref="AH367" si="1074">AH366</f>
        <v>0</v>
      </c>
      <c r="AI367" s="431">
        <f t="shared" ref="AI367" si="1075">AI366</f>
        <v>0</v>
      </c>
      <c r="AJ367" s="431">
        <f t="shared" ref="AJ367" si="1076">AJ366</f>
        <v>0</v>
      </c>
      <c r="AK367" s="431">
        <f t="shared" ref="AK367" si="1077">AK366</f>
        <v>0</v>
      </c>
      <c r="AL367" s="431">
        <f t="shared" ref="AL367" si="1078">AL366</f>
        <v>0</v>
      </c>
      <c r="AM367" s="331"/>
    </row>
    <row r="368" spans="1:39" ht="15"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39" ht="30" outlineLevel="1">
      <c r="A369" s="550">
        <v>46</v>
      </c>
      <c r="B369" s="549" t="s">
        <v>138</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39" ht="15"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079">Z369</f>
        <v>0</v>
      </c>
      <c r="AA370" s="431">
        <f t="shared" ref="AA370" si="1080">AA369</f>
        <v>0</v>
      </c>
      <c r="AB370" s="431">
        <f t="shared" ref="AB370" si="1081">AB369</f>
        <v>0</v>
      </c>
      <c r="AC370" s="431">
        <f t="shared" ref="AC370" si="1082">AC369</f>
        <v>0</v>
      </c>
      <c r="AD370" s="431">
        <f t="shared" ref="AD370" si="1083">AD369</f>
        <v>0</v>
      </c>
      <c r="AE370" s="431">
        <f t="shared" ref="AE370" si="1084">AE369</f>
        <v>0</v>
      </c>
      <c r="AF370" s="431">
        <f t="shared" ref="AF370" si="1085">AF369</f>
        <v>0</v>
      </c>
      <c r="AG370" s="431">
        <f t="shared" ref="AG370" si="1086">AG369</f>
        <v>0</v>
      </c>
      <c r="AH370" s="431">
        <f t="shared" ref="AH370" si="1087">AH369</f>
        <v>0</v>
      </c>
      <c r="AI370" s="431">
        <f t="shared" ref="AI370" si="1088">AI369</f>
        <v>0</v>
      </c>
      <c r="AJ370" s="431">
        <f t="shared" ref="AJ370" si="1089">AJ369</f>
        <v>0</v>
      </c>
      <c r="AK370" s="431">
        <f t="shared" ref="AK370" si="1090">AK369</f>
        <v>0</v>
      </c>
      <c r="AL370" s="431">
        <f t="shared" ref="AL370" si="1091">AL369</f>
        <v>0</v>
      </c>
      <c r="AM370" s="331"/>
    </row>
    <row r="371" spans="1:39" ht="15"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39" ht="30" outlineLevel="1">
      <c r="A372" s="550">
        <v>47</v>
      </c>
      <c r="B372" s="549" t="s">
        <v>139</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39" ht="15"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092">Z372</f>
        <v>0</v>
      </c>
      <c r="AA373" s="431">
        <f t="shared" ref="AA373" si="1093">AA372</f>
        <v>0</v>
      </c>
      <c r="AB373" s="431">
        <f t="shared" ref="AB373" si="1094">AB372</f>
        <v>0</v>
      </c>
      <c r="AC373" s="431">
        <f t="shared" ref="AC373" si="1095">AC372</f>
        <v>0</v>
      </c>
      <c r="AD373" s="431">
        <f t="shared" ref="AD373" si="1096">AD372</f>
        <v>0</v>
      </c>
      <c r="AE373" s="431">
        <f t="shared" ref="AE373" si="1097">AE372</f>
        <v>0</v>
      </c>
      <c r="AF373" s="431">
        <f t="shared" ref="AF373" si="1098">AF372</f>
        <v>0</v>
      </c>
      <c r="AG373" s="431">
        <f t="shared" ref="AG373" si="1099">AG372</f>
        <v>0</v>
      </c>
      <c r="AH373" s="431">
        <f t="shared" ref="AH373" si="1100">AH372</f>
        <v>0</v>
      </c>
      <c r="AI373" s="431">
        <f t="shared" ref="AI373" si="1101">AI372</f>
        <v>0</v>
      </c>
      <c r="AJ373" s="431">
        <f t="shared" ref="AJ373" si="1102">AJ372</f>
        <v>0</v>
      </c>
      <c r="AK373" s="431">
        <f t="shared" ref="AK373" si="1103">AK372</f>
        <v>0</v>
      </c>
      <c r="AL373" s="431">
        <f t="shared" ref="AL373" si="1104">AL372</f>
        <v>0</v>
      </c>
      <c r="AM373" s="331"/>
    </row>
    <row r="374" spans="1:39" ht="15"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39" ht="30" outlineLevel="1">
      <c r="A375" s="550">
        <v>48</v>
      </c>
      <c r="B375" s="549" t="s">
        <v>140</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39" ht="15"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05">Z375</f>
        <v>0</v>
      </c>
      <c r="AA376" s="431">
        <f t="shared" ref="AA376" si="1106">AA375</f>
        <v>0</v>
      </c>
      <c r="AB376" s="431">
        <f t="shared" ref="AB376" si="1107">AB375</f>
        <v>0</v>
      </c>
      <c r="AC376" s="431">
        <f t="shared" ref="AC376" si="1108">AC375</f>
        <v>0</v>
      </c>
      <c r="AD376" s="431">
        <f t="shared" ref="AD376" si="1109">AD375</f>
        <v>0</v>
      </c>
      <c r="AE376" s="431">
        <f t="shared" ref="AE376" si="1110">AE375</f>
        <v>0</v>
      </c>
      <c r="AF376" s="431">
        <f t="shared" ref="AF376" si="1111">AF375</f>
        <v>0</v>
      </c>
      <c r="AG376" s="431">
        <f t="shared" ref="AG376" si="1112">AG375</f>
        <v>0</v>
      </c>
      <c r="AH376" s="431">
        <f t="shared" ref="AH376" si="1113">AH375</f>
        <v>0</v>
      </c>
      <c r="AI376" s="431">
        <f t="shared" ref="AI376" si="1114">AI375</f>
        <v>0</v>
      </c>
      <c r="AJ376" s="431">
        <f t="shared" ref="AJ376" si="1115">AJ375</f>
        <v>0</v>
      </c>
      <c r="AK376" s="431">
        <f t="shared" ref="AK376" si="1116">AK375</f>
        <v>0</v>
      </c>
      <c r="AL376" s="431">
        <f t="shared" ref="AL376" si="1117">AL375</f>
        <v>0</v>
      </c>
      <c r="AM376" s="331"/>
    </row>
    <row r="377" spans="1:39" ht="15" outlineLevel="1">
      <c r="B377" s="5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45"/>
      <c r="AA377" s="445"/>
      <c r="AB377" s="445"/>
      <c r="AC377" s="445"/>
      <c r="AD377" s="445"/>
      <c r="AE377" s="445"/>
      <c r="AF377" s="445"/>
      <c r="AG377" s="445"/>
      <c r="AH377" s="445"/>
      <c r="AI377" s="445"/>
      <c r="AJ377" s="445"/>
      <c r="AK377" s="445"/>
      <c r="AL377" s="445"/>
      <c r="AM377" s="331"/>
    </row>
    <row r="378" spans="1:39" ht="30" outlineLevel="1">
      <c r="A378" s="550">
        <v>49</v>
      </c>
      <c r="B378" s="549" t="s">
        <v>141</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46"/>
      <c r="Z378" s="430"/>
      <c r="AA378" s="430"/>
      <c r="AB378" s="430"/>
      <c r="AC378" s="430"/>
      <c r="AD378" s="430"/>
      <c r="AE378" s="430"/>
      <c r="AF378" s="430"/>
      <c r="AG378" s="435"/>
      <c r="AH378" s="435"/>
      <c r="AI378" s="435"/>
      <c r="AJ378" s="435"/>
      <c r="AK378" s="435"/>
      <c r="AL378" s="435"/>
      <c r="AM378" s="321">
        <f>SUM(Y378:AL378)</f>
        <v>0</v>
      </c>
    </row>
    <row r="379" spans="1:39" ht="15" outlineLevel="1">
      <c r="B379" s="319" t="s">
        <v>292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 si="1118">Z378</f>
        <v>0</v>
      </c>
      <c r="AA379" s="431">
        <f t="shared" ref="AA379" si="1119">AA378</f>
        <v>0</v>
      </c>
      <c r="AB379" s="431">
        <f t="shared" ref="AB379" si="1120">AB378</f>
        <v>0</v>
      </c>
      <c r="AC379" s="431">
        <f t="shared" ref="AC379" si="1121">AC378</f>
        <v>0</v>
      </c>
      <c r="AD379" s="431">
        <f t="shared" ref="AD379" si="1122">AD378</f>
        <v>0</v>
      </c>
      <c r="AE379" s="431">
        <f t="shared" ref="AE379" si="1123">AE378</f>
        <v>0</v>
      </c>
      <c r="AF379" s="431">
        <f t="shared" ref="AF379" si="1124">AF378</f>
        <v>0</v>
      </c>
      <c r="AG379" s="431">
        <f t="shared" ref="AG379" si="1125">AG378</f>
        <v>0</v>
      </c>
      <c r="AH379" s="431">
        <f t="shared" ref="AH379" si="1126">AH378</f>
        <v>0</v>
      </c>
      <c r="AI379" s="431">
        <f t="shared" ref="AI379" si="1127">AI378</f>
        <v>0</v>
      </c>
      <c r="AJ379" s="431">
        <f t="shared" ref="AJ379" si="1128">AJ378</f>
        <v>0</v>
      </c>
      <c r="AK379" s="431">
        <f t="shared" ref="AK379" si="1129">AK378</f>
        <v>0</v>
      </c>
      <c r="AL379" s="431">
        <f t="shared" ref="AL379" si="1130">AL378</f>
        <v>0</v>
      </c>
      <c r="AM379" s="331"/>
    </row>
    <row r="380" spans="1:39" ht="15" outlineLevel="1">
      <c r="B380" s="5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45"/>
      <c r="AA380" s="445"/>
      <c r="AB380" s="445"/>
      <c r="AC380" s="445"/>
      <c r="AD380" s="445"/>
      <c r="AE380" s="445"/>
      <c r="AF380" s="445"/>
      <c r="AG380" s="445"/>
      <c r="AH380" s="445"/>
      <c r="AI380" s="445"/>
      <c r="AJ380" s="445"/>
      <c r="AK380" s="445"/>
      <c r="AL380" s="445"/>
      <c r="AM380" s="331"/>
    </row>
    <row r="381" spans="1:39" ht="30" outlineLevel="1">
      <c r="A381" s="550">
        <v>50</v>
      </c>
      <c r="B381" s="549" t="s">
        <v>142</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46"/>
      <c r="Z381" s="430"/>
      <c r="AA381" s="430"/>
      <c r="AB381" s="430"/>
      <c r="AC381" s="430"/>
      <c r="AD381" s="430"/>
      <c r="AE381" s="430"/>
      <c r="AF381" s="430"/>
      <c r="AG381" s="435"/>
      <c r="AH381" s="435"/>
      <c r="AI381" s="435"/>
      <c r="AJ381" s="435"/>
      <c r="AK381" s="435"/>
      <c r="AL381" s="435"/>
      <c r="AM381" s="321">
        <f>SUM(Y381:AL381)</f>
        <v>0</v>
      </c>
    </row>
    <row r="382" spans="1:39" ht="15" outlineLevel="1">
      <c r="B382" s="319" t="s">
        <v>292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Z385" si="1131">Z381</f>
        <v>0</v>
      </c>
      <c r="AA382" s="431">
        <f t="shared" ref="AA382:AA385" si="1132">AA381</f>
        <v>0</v>
      </c>
      <c r="AB382" s="431">
        <f t="shared" ref="AB382:AB385" si="1133">AB381</f>
        <v>0</v>
      </c>
      <c r="AC382" s="431">
        <f t="shared" ref="AC382:AC385" si="1134">AC381</f>
        <v>0</v>
      </c>
      <c r="AD382" s="431">
        <f t="shared" ref="AD382:AD385" si="1135">AD381</f>
        <v>0</v>
      </c>
      <c r="AE382" s="431">
        <f t="shared" ref="AE382:AE385" si="1136">AE381</f>
        <v>0</v>
      </c>
      <c r="AF382" s="431">
        <f t="shared" ref="AF382:AF385" si="1137">AF381</f>
        <v>0</v>
      </c>
      <c r="AG382" s="431">
        <f t="shared" ref="AG382:AG385" si="1138">AG381</f>
        <v>0</v>
      </c>
      <c r="AH382" s="431">
        <f t="shared" ref="AH382:AH385" si="1139">AH381</f>
        <v>0</v>
      </c>
      <c r="AI382" s="431">
        <f t="shared" ref="AI382:AI385" si="1140">AI381</f>
        <v>0</v>
      </c>
      <c r="AJ382" s="431">
        <f t="shared" ref="AJ382:AJ385" si="1141">AJ381</f>
        <v>0</v>
      </c>
      <c r="AK382" s="431">
        <f t="shared" ref="AK382:AK385" si="1142">AK381</f>
        <v>0</v>
      </c>
      <c r="AL382" s="431">
        <f t="shared" ref="AL382:AL385" si="1143">AL381</f>
        <v>0</v>
      </c>
      <c r="AM382" s="331"/>
    </row>
    <row r="383" spans="1:39" ht="15" outlineLevel="1">
      <c r="B383" s="319"/>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26"/>
      <c r="Z383" s="326"/>
      <c r="AA383" s="326"/>
      <c r="AB383" s="326"/>
      <c r="AC383" s="326"/>
      <c r="AD383" s="326"/>
      <c r="AE383" s="326"/>
      <c r="AF383" s="326"/>
      <c r="AG383" s="326"/>
      <c r="AH383" s="326"/>
      <c r="AI383" s="326"/>
      <c r="AJ383" s="326"/>
      <c r="AK383" s="326"/>
      <c r="AL383" s="326"/>
      <c r="AM383" s="331"/>
    </row>
    <row r="384" spans="1:39" ht="15" outlineLevel="1">
      <c r="A384" s="550">
        <v>51</v>
      </c>
      <c r="B384" s="549" t="s">
        <v>822</v>
      </c>
      <c r="C384" s="316" t="s">
        <v>25</v>
      </c>
      <c r="D384" s="320">
        <v>202605</v>
      </c>
      <c r="E384" s="320">
        <f>'7-f.  2016'!BC33</f>
        <v>202605</v>
      </c>
      <c r="F384" s="320">
        <f>'7-f.  2016'!BD33</f>
        <v>202605</v>
      </c>
      <c r="G384" s="320">
        <f>'7-f.  2016'!BE33</f>
        <v>202605</v>
      </c>
      <c r="H384" s="320">
        <f>'7-f.  2016'!BF33</f>
        <v>202605</v>
      </c>
      <c r="I384" s="320">
        <f>'7-f.  2016'!BG33</f>
        <v>202605</v>
      </c>
      <c r="J384" s="320">
        <f>'7-f.  2016'!BH33</f>
        <v>202605</v>
      </c>
      <c r="K384" s="320">
        <f>'7-f.  2016'!BI33</f>
        <v>202605</v>
      </c>
      <c r="L384" s="320">
        <f>'7-f.  2016'!BJ33</f>
        <v>202605</v>
      </c>
      <c r="M384" s="320">
        <f>'7-f.  2016'!BK33</f>
        <v>202605</v>
      </c>
      <c r="N384" s="320">
        <v>0</v>
      </c>
      <c r="O384" s="320">
        <v>13</v>
      </c>
      <c r="P384" s="320">
        <f>'7-f.  2016'!X33</f>
        <v>13</v>
      </c>
      <c r="Q384" s="320">
        <f>'7-f.  2016'!Y33</f>
        <v>13</v>
      </c>
      <c r="R384" s="320">
        <f>'7-f.  2016'!Z33</f>
        <v>13</v>
      </c>
      <c r="S384" s="320">
        <f>'7-f.  2016'!AA33</f>
        <v>13</v>
      </c>
      <c r="T384" s="320">
        <f>'7-f.  2016'!AB33</f>
        <v>13</v>
      </c>
      <c r="U384" s="320">
        <f>'7-f.  2016'!AC33</f>
        <v>13</v>
      </c>
      <c r="V384" s="320">
        <f>'7-f.  2016'!AD33</f>
        <v>13</v>
      </c>
      <c r="W384" s="320">
        <f>'7-f.  2016'!AE33</f>
        <v>13</v>
      </c>
      <c r="X384" s="320">
        <f>'7-f.  2016'!AF33</f>
        <v>13</v>
      </c>
      <c r="Y384" s="446">
        <v>1</v>
      </c>
      <c r="Z384" s="430"/>
      <c r="AA384" s="430"/>
      <c r="AB384" s="430"/>
      <c r="AC384" s="430"/>
      <c r="AD384" s="430"/>
      <c r="AE384" s="430"/>
      <c r="AF384" s="430"/>
      <c r="AG384" s="435"/>
      <c r="AH384" s="435"/>
      <c r="AI384" s="435"/>
      <c r="AJ384" s="435"/>
      <c r="AK384" s="435"/>
      <c r="AL384" s="435"/>
      <c r="AM384" s="321">
        <f>SUM(Y384:AL384)</f>
        <v>1</v>
      </c>
    </row>
    <row r="385" spans="2:42" ht="15" outlineLevel="1">
      <c r="B385" s="319" t="s">
        <v>292</v>
      </c>
      <c r="C385" s="316" t="s">
        <v>164</v>
      </c>
      <c r="D385" s="320"/>
      <c r="E385" s="320"/>
      <c r="F385" s="320"/>
      <c r="G385" s="320"/>
      <c r="H385" s="320"/>
      <c r="I385" s="320"/>
      <c r="J385" s="320"/>
      <c r="K385" s="320"/>
      <c r="L385" s="320"/>
      <c r="M385" s="320"/>
      <c r="N385" s="320">
        <f>N384</f>
        <v>0</v>
      </c>
      <c r="O385" s="320"/>
      <c r="P385" s="320"/>
      <c r="Q385" s="320"/>
      <c r="R385" s="320"/>
      <c r="S385" s="320"/>
      <c r="T385" s="320"/>
      <c r="U385" s="320"/>
      <c r="V385" s="320"/>
      <c r="W385" s="320"/>
      <c r="X385" s="320"/>
      <c r="Y385" s="431">
        <f>Y384</f>
        <v>1</v>
      </c>
      <c r="Z385" s="431">
        <f t="shared" si="1131"/>
        <v>0</v>
      </c>
      <c r="AA385" s="431">
        <f t="shared" si="1132"/>
        <v>0</v>
      </c>
      <c r="AB385" s="431">
        <f t="shared" si="1133"/>
        <v>0</v>
      </c>
      <c r="AC385" s="431">
        <f t="shared" si="1134"/>
        <v>0</v>
      </c>
      <c r="AD385" s="431">
        <f t="shared" si="1135"/>
        <v>0</v>
      </c>
      <c r="AE385" s="431">
        <f t="shared" si="1136"/>
        <v>0</v>
      </c>
      <c r="AF385" s="431">
        <f t="shared" si="1137"/>
        <v>0</v>
      </c>
      <c r="AG385" s="431">
        <f t="shared" si="1138"/>
        <v>0</v>
      </c>
      <c r="AH385" s="431">
        <f t="shared" si="1139"/>
        <v>0</v>
      </c>
      <c r="AI385" s="431">
        <f t="shared" si="1140"/>
        <v>0</v>
      </c>
      <c r="AJ385" s="431">
        <f t="shared" si="1141"/>
        <v>0</v>
      </c>
      <c r="AK385" s="431">
        <f t="shared" si="1142"/>
        <v>0</v>
      </c>
      <c r="AL385" s="431">
        <f t="shared" si="1143"/>
        <v>0</v>
      </c>
      <c r="AM385" s="331"/>
    </row>
    <row r="386" spans="2:42" ht="15" outlineLevel="1">
      <c r="B386" s="457"/>
      <c r="C386" s="330"/>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26"/>
      <c r="Z386" s="326"/>
      <c r="AA386" s="326"/>
      <c r="AB386" s="326"/>
      <c r="AC386" s="326"/>
      <c r="AD386" s="326"/>
      <c r="AE386" s="326"/>
      <c r="AF386" s="326"/>
      <c r="AG386" s="326"/>
      <c r="AH386" s="326"/>
      <c r="AI386" s="326"/>
      <c r="AJ386" s="326"/>
      <c r="AK386" s="326"/>
      <c r="AL386" s="326"/>
      <c r="AM386" s="331"/>
    </row>
    <row r="387" spans="2:42" ht="15.6">
      <c r="B387" s="352" t="s">
        <v>277</v>
      </c>
      <c r="C387" s="354"/>
      <c r="D387" s="354">
        <f>SUM(D221:D385)</f>
        <v>105192838</v>
      </c>
      <c r="E387" s="354"/>
      <c r="F387" s="354"/>
      <c r="G387" s="354"/>
      <c r="H387" s="354"/>
      <c r="I387" s="354"/>
      <c r="J387" s="354"/>
      <c r="K387" s="354"/>
      <c r="L387" s="354"/>
      <c r="M387" s="354"/>
      <c r="N387" s="354"/>
      <c r="O387" s="354">
        <f>SUM(O221:X385)</f>
        <v>144214</v>
      </c>
      <c r="P387" s="354"/>
      <c r="Q387" s="354"/>
      <c r="R387" s="354"/>
      <c r="S387" s="354"/>
      <c r="T387" s="354"/>
      <c r="U387" s="354"/>
      <c r="V387" s="354"/>
      <c r="W387" s="354"/>
      <c r="X387" s="354"/>
      <c r="Y387" s="354">
        <f>IF(Y219="kWh",SUMPRODUCT(D221:D385,Y221:Y385))</f>
        <v>40216627</v>
      </c>
      <c r="Z387" s="354">
        <f>IF(Z219="kWh",SUMPRODUCT(D221:D385,Z221:Z385))</f>
        <v>9209622.5</v>
      </c>
      <c r="AA387" s="354">
        <f>IF(AA219="kw",SUMPRODUCT($N$221:$N$385,$O$221:$O$385,AA221:AA385),SUMPRODUCT($D$221:$D$385,AA221:AA385))</f>
        <v>107491.2</v>
      </c>
      <c r="AB387" s="354">
        <f t="shared" ref="AB387:AL387" si="1144">IF(AB219="kw",SUMPRODUCT($N$221:$N$385,$O$221:$O$385,AB221:AB385),SUMPRODUCT($D$221:$D$385,AB221:AB385))</f>
        <v>0</v>
      </c>
      <c r="AC387" s="354">
        <f t="shared" si="1144"/>
        <v>0</v>
      </c>
      <c r="AD387" s="354">
        <f t="shared" si="1144"/>
        <v>0</v>
      </c>
      <c r="AE387" s="354">
        <f t="shared" si="1144"/>
        <v>0</v>
      </c>
      <c r="AF387" s="354">
        <f t="shared" si="1144"/>
        <v>0</v>
      </c>
      <c r="AG387" s="354">
        <f t="shared" si="1144"/>
        <v>0</v>
      </c>
      <c r="AH387" s="354">
        <f t="shared" si="1144"/>
        <v>0</v>
      </c>
      <c r="AI387" s="354">
        <f t="shared" si="1144"/>
        <v>0</v>
      </c>
      <c r="AJ387" s="354">
        <f t="shared" si="1144"/>
        <v>0</v>
      </c>
      <c r="AK387" s="354">
        <f t="shared" si="1144"/>
        <v>0</v>
      </c>
      <c r="AL387" s="354">
        <f t="shared" si="1144"/>
        <v>0</v>
      </c>
      <c r="AM387" s="355"/>
    </row>
    <row r="388" spans="2:42" ht="15.6">
      <c r="B388" s="415" t="s">
        <v>278</v>
      </c>
      <c r="C388" s="416"/>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6">
        <f>HLOOKUP(Y218,'2. LRAMVA Threshold'!$B$42:$Q$53,8,FALSE)</f>
        <v>44207932.239504516</v>
      </c>
      <c r="Z388" s="416">
        <f>HLOOKUP(Z218,'2. LRAMVA Threshold'!$B$42:$Q$53,8,FALSE)</f>
        <v>16984563.401464928</v>
      </c>
      <c r="AA388" s="416">
        <f>HLOOKUP(AA218,'2. LRAMVA Threshold'!$B$42:$Q$53,8,FALSE)</f>
        <v>195431.32820848396</v>
      </c>
      <c r="AB388" s="416">
        <f>HLOOKUP(AB218,'2. LRAMVA Threshold'!$B$42:$Q$53,8,FALSE)</f>
        <v>3731.8842953141025</v>
      </c>
      <c r="AC388" s="416">
        <f>HLOOKUP(AC218,'2. LRAMVA Threshold'!$B$42:$Q$53,8,FALSE)</f>
        <v>208626.88711522953</v>
      </c>
      <c r="AD388" s="416">
        <f>HLOOKUP(AD218,'2. LRAMVA Threshold'!$B$42:$Q$53,8,FALSE)</f>
        <v>20.087748436240176</v>
      </c>
      <c r="AE388" s="416">
        <f>HLOOKUP(AE218,'2. LRAMVA Threshold'!$B$42:$Q$53,8,FALSE)</f>
        <v>2867.796624253795</v>
      </c>
      <c r="AF388" s="416">
        <f>HLOOKUP(AF218,'2. LRAMVA Threshold'!$B$42:$Q$53,8,FALSE)</f>
        <v>0</v>
      </c>
      <c r="AG388" s="416">
        <f>HLOOKUP(AG218,'2. LRAMVA Threshold'!$B$42:$Q$53,8,FALSE)</f>
        <v>0</v>
      </c>
      <c r="AH388" s="416">
        <f>HLOOKUP(AH218,'2. LRAMVA Threshold'!$B$42:$Q$53,8,FALSE)</f>
        <v>0</v>
      </c>
      <c r="AI388" s="416">
        <f>HLOOKUP(AI218,'2. LRAMVA Threshold'!$B$42:$Q$53,8,FALSE)</f>
        <v>0</v>
      </c>
      <c r="AJ388" s="416">
        <f>HLOOKUP(AJ218,'2. LRAMVA Threshold'!$B$42:$Q$53,8,FALSE)</f>
        <v>0</v>
      </c>
      <c r="AK388" s="416">
        <f>HLOOKUP(AK218,'2. LRAMVA Threshold'!$B$42:$Q$53,8,FALSE)</f>
        <v>0</v>
      </c>
      <c r="AL388" s="416">
        <f>HLOOKUP(AL218,'2. LRAMVA Threshold'!$B$42:$Q$53,8,FALSE)</f>
        <v>0</v>
      </c>
      <c r="AM388" s="417"/>
    </row>
    <row r="389" spans="2:42" ht="15">
      <c r="B389" s="418"/>
      <c r="C389" s="452"/>
      <c r="D389" s="453"/>
      <c r="E389" s="453"/>
      <c r="F389" s="453"/>
      <c r="G389" s="453"/>
      <c r="H389" s="453"/>
      <c r="I389" s="453"/>
      <c r="J389" s="453"/>
      <c r="K389" s="453"/>
      <c r="L389" s="453"/>
      <c r="M389" s="453"/>
      <c r="N389" s="453"/>
      <c r="O389" s="454"/>
      <c r="P389" s="453"/>
      <c r="Q389" s="453"/>
      <c r="R389" s="453"/>
      <c r="S389" s="455"/>
      <c r="T389" s="455"/>
      <c r="U389" s="455"/>
      <c r="V389" s="455"/>
      <c r="W389" s="453"/>
      <c r="X389" s="453"/>
      <c r="Y389" s="456"/>
      <c r="Z389" s="456"/>
      <c r="AA389" s="456"/>
      <c r="AB389" s="456"/>
      <c r="AC389" s="456"/>
      <c r="AD389" s="456"/>
      <c r="AE389" s="456"/>
      <c r="AF389" s="419"/>
      <c r="AG389" s="419"/>
      <c r="AH389" s="419"/>
      <c r="AI389" s="419"/>
      <c r="AJ389" s="419"/>
      <c r="AK389" s="419"/>
      <c r="AL389" s="419"/>
      <c r="AM389" s="420"/>
    </row>
    <row r="390" spans="2:42" ht="15">
      <c r="B390" s="349" t="s">
        <v>279</v>
      </c>
      <c r="C390" s="362"/>
      <c r="D390" s="362"/>
      <c r="E390" s="400"/>
      <c r="F390" s="400"/>
      <c r="G390" s="400"/>
      <c r="H390" s="400"/>
      <c r="I390" s="400"/>
      <c r="J390" s="400"/>
      <c r="K390" s="400"/>
      <c r="L390" s="400"/>
      <c r="M390" s="400"/>
      <c r="N390" s="400"/>
      <c r="O390" s="316"/>
      <c r="P390" s="364"/>
      <c r="Q390" s="364"/>
      <c r="R390" s="364"/>
      <c r="S390" s="363"/>
      <c r="T390" s="363"/>
      <c r="U390" s="363"/>
      <c r="V390" s="363"/>
      <c r="W390" s="364"/>
      <c r="X390" s="364"/>
      <c r="Y390" s="365">
        <f>HLOOKUP(Y$35,'3.  Distribution Rates'!$C$122:$P$133,8,FALSE)</f>
        <v>1.41E-2</v>
      </c>
      <c r="Z390" s="365">
        <f>HLOOKUP(Z$35,'3.  Distribution Rates'!$C$122:$P$133,8,FALSE)</f>
        <v>1.4200000000000001E-2</v>
      </c>
      <c r="AA390" s="365">
        <f>HLOOKUP(AA$35,'3.  Distribution Rates'!$C$122:$P$133,8,FALSE)</f>
        <v>3.3892000000000002</v>
      </c>
      <c r="AB390" s="365">
        <f>HLOOKUP(AB$35,'3.  Distribution Rates'!$C$122:$P$133,8,FALSE)</f>
        <v>1.4413</v>
      </c>
      <c r="AC390" s="365">
        <f>HLOOKUP(AC$35,'3.  Distribution Rates'!$C$122:$P$133,8,FALSE)</f>
        <v>1.6199999999999999E-2</v>
      </c>
      <c r="AD390" s="365">
        <f>HLOOKUP(AD$35,'3.  Distribution Rates'!$C$122:$P$133,8,FALSE)</f>
        <v>8.1591000000000005</v>
      </c>
      <c r="AE390" s="365">
        <f>HLOOKUP(AE$35,'3.  Distribution Rates'!$C$122:$P$133,8,FALSE)</f>
        <v>6.7526000000000002</v>
      </c>
      <c r="AF390" s="365">
        <f>HLOOKUP(AF$35,'3.  Distribution Rates'!$C$122:$P$133,8,FALSE)</f>
        <v>0</v>
      </c>
      <c r="AG390" s="365">
        <f>HLOOKUP(AG$35,'3.  Distribution Rates'!$C$122:$P$133,8,FALSE)</f>
        <v>0</v>
      </c>
      <c r="AH390" s="365">
        <f>HLOOKUP(AH$35,'3.  Distribution Rates'!$C$122:$P$133,8,FALSE)</f>
        <v>0</v>
      </c>
      <c r="AI390" s="365">
        <f>HLOOKUP(AI$35,'3.  Distribution Rates'!$C$122:$P$133,8,FALSE)</f>
        <v>0</v>
      </c>
      <c r="AJ390" s="365">
        <f>HLOOKUP(AJ$35,'3.  Distribution Rates'!$C$122:$P$133,8,FALSE)</f>
        <v>0</v>
      </c>
      <c r="AK390" s="365">
        <f>HLOOKUP(AK$35,'3.  Distribution Rates'!$C$122:$P$133,8,FALSE)</f>
        <v>0</v>
      </c>
      <c r="AL390" s="365">
        <f>HLOOKUP(AL$35,'3.  Distribution Rates'!$C$122:$P$133,8,FALSE)</f>
        <v>0</v>
      </c>
      <c r="AM390" s="401"/>
      <c r="AN390" s="365"/>
      <c r="AO390" s="365"/>
      <c r="AP390" s="365"/>
    </row>
    <row r="391" spans="2:42" ht="15">
      <c r="B391" s="349" t="s">
        <v>280</v>
      </c>
      <c r="C391" s="369"/>
      <c r="D391" s="334"/>
      <c r="E391" s="304"/>
      <c r="F391" s="304"/>
      <c r="G391" s="304"/>
      <c r="H391" s="304"/>
      <c r="I391" s="304"/>
      <c r="J391" s="304"/>
      <c r="K391" s="304"/>
      <c r="L391" s="304"/>
      <c r="M391" s="304"/>
      <c r="N391" s="304"/>
      <c r="O391" s="316"/>
      <c r="P391" s="304"/>
      <c r="Q391" s="304"/>
      <c r="R391" s="304"/>
      <c r="S391" s="334"/>
      <c r="T391" s="334"/>
      <c r="U391" s="334"/>
      <c r="V391" s="334"/>
      <c r="W391" s="304"/>
      <c r="X391" s="304"/>
      <c r="Y391" s="402">
        <f>'4.  2011-2014 LRAM'!Y139*Y390</f>
        <v>101453.50220893869</v>
      </c>
      <c r="Z391" s="402">
        <f>'4.  2011-2014 LRAM'!Z139*Z390</f>
        <v>76045.590604893456</v>
      </c>
      <c r="AA391" s="402">
        <f>'4.  2011-2014 LRAM'!AA139*AA390</f>
        <v>83664.495269618084</v>
      </c>
      <c r="AB391" s="402">
        <f>'4.  2011-2014 LRAM'!AB139*AB390</f>
        <v>0</v>
      </c>
      <c r="AC391" s="402">
        <f>'4.  2011-2014 LRAM'!AC139*AC390</f>
        <v>0</v>
      </c>
      <c r="AD391" s="402">
        <f>'4.  2011-2014 LRAM'!AD139*AD390</f>
        <v>0</v>
      </c>
      <c r="AE391" s="402">
        <f>'4.  2011-2014 LRAM'!AE139*AE390</f>
        <v>0</v>
      </c>
      <c r="AF391" s="402">
        <f>'4.  2011-2014 LRAM'!AF139*AF390</f>
        <v>0</v>
      </c>
      <c r="AG391" s="402">
        <f>'4.  2011-2014 LRAM'!AG139*AG390</f>
        <v>0</v>
      </c>
      <c r="AH391" s="402">
        <f>'4.  2011-2014 LRAM'!AH139*AH390</f>
        <v>0</v>
      </c>
      <c r="AI391" s="402">
        <f>'4.  2011-2014 LRAM'!AI139*AI390</f>
        <v>0</v>
      </c>
      <c r="AJ391" s="402">
        <f>'4.  2011-2014 LRAM'!AJ139*AJ390</f>
        <v>0</v>
      </c>
      <c r="AK391" s="402">
        <f>'4.  2011-2014 LRAM'!AK139*AK390</f>
        <v>0</v>
      </c>
      <c r="AL391" s="402">
        <f>'4.  2011-2014 LRAM'!AL139*AL390</f>
        <v>0</v>
      </c>
      <c r="AM391" s="401">
        <f t="shared" ref="AM391:AM396" si="1145">SUM(Y391:AL391)</f>
        <v>261163.58808345025</v>
      </c>
    </row>
    <row r="392" spans="2:42" ht="15">
      <c r="B392" s="349" t="s">
        <v>281</v>
      </c>
      <c r="C392" s="369"/>
      <c r="D392" s="334"/>
      <c r="E392" s="304"/>
      <c r="F392" s="304"/>
      <c r="G392" s="304"/>
      <c r="H392" s="304"/>
      <c r="I392" s="304"/>
      <c r="J392" s="304"/>
      <c r="K392" s="304"/>
      <c r="L392" s="304"/>
      <c r="M392" s="304"/>
      <c r="N392" s="304"/>
      <c r="O392" s="316"/>
      <c r="P392" s="304"/>
      <c r="Q392" s="304"/>
      <c r="R392" s="304"/>
      <c r="S392" s="334"/>
      <c r="T392" s="334"/>
      <c r="U392" s="334"/>
      <c r="V392" s="334"/>
      <c r="W392" s="304"/>
      <c r="X392" s="304"/>
      <c r="Y392" s="402">
        <f>'4.  2011-2014 LRAM'!Y268*Y390</f>
        <v>76148.833420051975</v>
      </c>
      <c r="Z392" s="402">
        <f>'4.  2011-2014 LRAM'!Z268*Z390</f>
        <v>131739.45776621782</v>
      </c>
      <c r="AA392" s="402">
        <f>'4.  2011-2014 LRAM'!AA268*AA390</f>
        <v>198265.61660016896</v>
      </c>
      <c r="AB392" s="402">
        <f>'4.  2011-2014 LRAM'!AB268*AB390</f>
        <v>0</v>
      </c>
      <c r="AC392" s="402">
        <f>'4.  2011-2014 LRAM'!AC268*AC390</f>
        <v>0</v>
      </c>
      <c r="AD392" s="402">
        <f>'4.  2011-2014 LRAM'!AD268*AD390</f>
        <v>0</v>
      </c>
      <c r="AE392" s="402">
        <f>'4.  2011-2014 LRAM'!AE268*AE390</f>
        <v>0</v>
      </c>
      <c r="AF392" s="402">
        <f>'4.  2011-2014 LRAM'!AF268*AF390</f>
        <v>0</v>
      </c>
      <c r="AG392" s="402">
        <f>'4.  2011-2014 LRAM'!AG268*AG390</f>
        <v>0</v>
      </c>
      <c r="AH392" s="402">
        <f>'4.  2011-2014 LRAM'!AH268*AH390</f>
        <v>0</v>
      </c>
      <c r="AI392" s="402">
        <f>'4.  2011-2014 LRAM'!AI268*AI390</f>
        <v>0</v>
      </c>
      <c r="AJ392" s="402">
        <f>'4.  2011-2014 LRAM'!AJ268*AJ390</f>
        <v>0</v>
      </c>
      <c r="AK392" s="402">
        <f>'4.  2011-2014 LRAM'!AK268*AK390</f>
        <v>0</v>
      </c>
      <c r="AL392" s="402">
        <f>'4.  2011-2014 LRAM'!AL268*AL390</f>
        <v>0</v>
      </c>
      <c r="AM392" s="401">
        <f t="shared" si="1145"/>
        <v>406153.90778643871</v>
      </c>
    </row>
    <row r="393" spans="2:42" ht="15">
      <c r="B393" s="349" t="s">
        <v>282</v>
      </c>
      <c r="C393" s="369"/>
      <c r="D393" s="334"/>
      <c r="E393" s="304"/>
      <c r="F393" s="304"/>
      <c r="G393" s="304"/>
      <c r="H393" s="304"/>
      <c r="I393" s="304"/>
      <c r="J393" s="304"/>
      <c r="K393" s="304"/>
      <c r="L393" s="304"/>
      <c r="M393" s="304"/>
      <c r="N393" s="304"/>
      <c r="O393" s="316"/>
      <c r="P393" s="304"/>
      <c r="Q393" s="304"/>
      <c r="R393" s="304"/>
      <c r="S393" s="334"/>
      <c r="T393" s="334"/>
      <c r="U393" s="334"/>
      <c r="V393" s="334"/>
      <c r="W393" s="304"/>
      <c r="X393" s="304"/>
      <c r="Y393" s="402">
        <f>'4.  2011-2014 LRAM'!Y397*Y390</f>
        <v>74350.848005833352</v>
      </c>
      <c r="Z393" s="402">
        <f>'4.  2011-2014 LRAM'!Z397*Z390</f>
        <v>107635.2433568618</v>
      </c>
      <c r="AA393" s="402">
        <f>'4.  2011-2014 LRAM'!AA397*AA390</f>
        <v>289532.49194327166</v>
      </c>
      <c r="AB393" s="402">
        <f>'4.  2011-2014 LRAM'!AB397*AB390</f>
        <v>0</v>
      </c>
      <c r="AC393" s="402">
        <f>'4.  2011-2014 LRAM'!AC397*AC390</f>
        <v>0</v>
      </c>
      <c r="AD393" s="402">
        <f>'4.  2011-2014 LRAM'!AD397*AD390</f>
        <v>0</v>
      </c>
      <c r="AE393" s="402">
        <f>'4.  2011-2014 LRAM'!AE397*AE390</f>
        <v>0</v>
      </c>
      <c r="AF393" s="402">
        <f>'4.  2011-2014 LRAM'!AF397*AF390</f>
        <v>0</v>
      </c>
      <c r="AG393" s="402">
        <f>'4.  2011-2014 LRAM'!AG397*AG390</f>
        <v>0</v>
      </c>
      <c r="AH393" s="402">
        <f>'4.  2011-2014 LRAM'!AH397*AH390</f>
        <v>0</v>
      </c>
      <c r="AI393" s="402">
        <f>'4.  2011-2014 LRAM'!AI397*AI390</f>
        <v>0</v>
      </c>
      <c r="AJ393" s="402">
        <f>'4.  2011-2014 LRAM'!AJ397*AJ390</f>
        <v>0</v>
      </c>
      <c r="AK393" s="402">
        <f>'4.  2011-2014 LRAM'!AK397*AK390</f>
        <v>0</v>
      </c>
      <c r="AL393" s="402">
        <f>'4.  2011-2014 LRAM'!AL397*AL390</f>
        <v>0</v>
      </c>
      <c r="AM393" s="401">
        <f t="shared" si="1145"/>
        <v>471518.58330596681</v>
      </c>
    </row>
    <row r="394" spans="2:42" ht="15">
      <c r="B394" s="349" t="s">
        <v>283</v>
      </c>
      <c r="C394" s="369"/>
      <c r="D394" s="334"/>
      <c r="E394" s="304"/>
      <c r="F394" s="304"/>
      <c r="G394" s="304"/>
      <c r="H394" s="304"/>
      <c r="I394" s="304"/>
      <c r="J394" s="304"/>
      <c r="K394" s="304"/>
      <c r="L394" s="304"/>
      <c r="M394" s="304"/>
      <c r="N394" s="304"/>
      <c r="O394" s="316"/>
      <c r="P394" s="304"/>
      <c r="Q394" s="304"/>
      <c r="R394" s="304"/>
      <c r="S394" s="334"/>
      <c r="T394" s="334"/>
      <c r="U394" s="334"/>
      <c r="V394" s="334"/>
      <c r="W394" s="304"/>
      <c r="X394" s="304"/>
      <c r="Y394" s="402">
        <f>'4.  2011-2014 LRAM'!Y527*Y390</f>
        <v>185552.9443760101</v>
      </c>
      <c r="Z394" s="402">
        <f>'4.  2011-2014 LRAM'!Z527*Z390</f>
        <v>255700.23700171296</v>
      </c>
      <c r="AA394" s="402">
        <f>'4.  2011-2014 LRAM'!AA527*AA390</f>
        <v>369992.44996750681</v>
      </c>
      <c r="AB394" s="402">
        <f>'4.  2011-2014 LRAM'!AB527*AB390</f>
        <v>0</v>
      </c>
      <c r="AC394" s="402">
        <f>'4.  2011-2014 LRAM'!AC527*AC390</f>
        <v>0</v>
      </c>
      <c r="AD394" s="402">
        <f>'4.  2011-2014 LRAM'!AD527*AD390</f>
        <v>0</v>
      </c>
      <c r="AE394" s="402">
        <f>'4.  2011-2014 LRAM'!AE527*AE390</f>
        <v>0</v>
      </c>
      <c r="AF394" s="402">
        <f>'4.  2011-2014 LRAM'!AF527*AF390</f>
        <v>0</v>
      </c>
      <c r="AG394" s="402">
        <f>'4.  2011-2014 LRAM'!AG527*AG390</f>
        <v>0</v>
      </c>
      <c r="AH394" s="402">
        <f>'4.  2011-2014 LRAM'!AH527*AH390</f>
        <v>0</v>
      </c>
      <c r="AI394" s="402">
        <f>'4.  2011-2014 LRAM'!AI527*AI390</f>
        <v>0</v>
      </c>
      <c r="AJ394" s="402">
        <f>'4.  2011-2014 LRAM'!AJ527*AJ390</f>
        <v>0</v>
      </c>
      <c r="AK394" s="402">
        <f>'4.  2011-2014 LRAM'!AK527*AK390</f>
        <v>0</v>
      </c>
      <c r="AL394" s="402">
        <f>'4.  2011-2014 LRAM'!AL527*AL390</f>
        <v>0</v>
      </c>
      <c r="AM394" s="401">
        <f t="shared" si="1145"/>
        <v>811245.63134522992</v>
      </c>
    </row>
    <row r="395" spans="2:42" ht="15">
      <c r="B395" s="349" t="s">
        <v>284</v>
      </c>
      <c r="C395" s="369"/>
      <c r="D395" s="334"/>
      <c r="E395" s="304"/>
      <c r="F395" s="304"/>
      <c r="G395" s="304"/>
      <c r="H395" s="304"/>
      <c r="I395" s="304"/>
      <c r="J395" s="304"/>
      <c r="K395" s="304"/>
      <c r="L395" s="304"/>
      <c r="M395" s="304"/>
      <c r="N395" s="304"/>
      <c r="O395" s="316"/>
      <c r="P395" s="304"/>
      <c r="Q395" s="304"/>
      <c r="R395" s="304"/>
      <c r="S395" s="334"/>
      <c r="T395" s="334"/>
      <c r="U395" s="334"/>
      <c r="V395" s="334"/>
      <c r="W395" s="304"/>
      <c r="X395" s="304"/>
      <c r="Y395" s="402">
        <f t="shared" ref="Y395:AL395" si="1146">Y208*Y390</f>
        <v>260826.52497365585</v>
      </c>
      <c r="Z395" s="402">
        <f t="shared" si="1146"/>
        <v>168552.401648</v>
      </c>
      <c r="AA395" s="402">
        <f t="shared" si="1146"/>
        <v>373822.79500799999</v>
      </c>
      <c r="AB395" s="402">
        <f t="shared" si="1146"/>
        <v>0</v>
      </c>
      <c r="AC395" s="402">
        <f t="shared" si="1146"/>
        <v>0</v>
      </c>
      <c r="AD395" s="402">
        <f t="shared" si="1146"/>
        <v>0</v>
      </c>
      <c r="AE395" s="402">
        <f t="shared" si="1146"/>
        <v>0</v>
      </c>
      <c r="AF395" s="402">
        <f t="shared" si="1146"/>
        <v>0</v>
      </c>
      <c r="AG395" s="402">
        <f t="shared" si="1146"/>
        <v>0</v>
      </c>
      <c r="AH395" s="402">
        <f t="shared" si="1146"/>
        <v>0</v>
      </c>
      <c r="AI395" s="402">
        <f t="shared" si="1146"/>
        <v>0</v>
      </c>
      <c r="AJ395" s="402">
        <f t="shared" si="1146"/>
        <v>0</v>
      </c>
      <c r="AK395" s="402">
        <f t="shared" si="1146"/>
        <v>0</v>
      </c>
      <c r="AL395" s="402">
        <f t="shared" si="1146"/>
        <v>0</v>
      </c>
      <c r="AM395" s="401">
        <f t="shared" si="1145"/>
        <v>803201.7216296558</v>
      </c>
    </row>
    <row r="396" spans="2:42" ht="15">
      <c r="B396" s="349" t="s">
        <v>293</v>
      </c>
      <c r="C396" s="369"/>
      <c r="D396" s="334"/>
      <c r="E396" s="304"/>
      <c r="F396" s="304"/>
      <c r="G396" s="304"/>
      <c r="H396" s="304"/>
      <c r="I396" s="304"/>
      <c r="J396" s="304"/>
      <c r="K396" s="304"/>
      <c r="L396" s="304"/>
      <c r="M396" s="304"/>
      <c r="N396" s="304"/>
      <c r="O396" s="316"/>
      <c r="P396" s="304"/>
      <c r="Q396" s="304"/>
      <c r="R396" s="304"/>
      <c r="S396" s="334"/>
      <c r="T396" s="334"/>
      <c r="U396" s="334"/>
      <c r="V396" s="334"/>
      <c r="W396" s="304"/>
      <c r="X396" s="304"/>
      <c r="Y396" s="402">
        <f>Y387*Y390</f>
        <v>567054.44070000004</v>
      </c>
      <c r="Z396" s="402">
        <f t="shared" ref="Z396:AL396" si="1147">Z387*Z390</f>
        <v>130776.6395</v>
      </c>
      <c r="AA396" s="402">
        <f t="shared" si="1147"/>
        <v>364309.17504</v>
      </c>
      <c r="AB396" s="402">
        <f t="shared" si="1147"/>
        <v>0</v>
      </c>
      <c r="AC396" s="402">
        <f t="shared" si="1147"/>
        <v>0</v>
      </c>
      <c r="AD396" s="402">
        <f t="shared" si="1147"/>
        <v>0</v>
      </c>
      <c r="AE396" s="402">
        <f t="shared" si="1147"/>
        <v>0</v>
      </c>
      <c r="AF396" s="402">
        <f t="shared" si="1147"/>
        <v>0</v>
      </c>
      <c r="AG396" s="402">
        <f t="shared" si="1147"/>
        <v>0</v>
      </c>
      <c r="AH396" s="402">
        <f t="shared" si="1147"/>
        <v>0</v>
      </c>
      <c r="AI396" s="402">
        <f t="shared" si="1147"/>
        <v>0</v>
      </c>
      <c r="AJ396" s="402">
        <f t="shared" si="1147"/>
        <v>0</v>
      </c>
      <c r="AK396" s="402">
        <f t="shared" si="1147"/>
        <v>0</v>
      </c>
      <c r="AL396" s="402">
        <f t="shared" si="1147"/>
        <v>0</v>
      </c>
      <c r="AM396" s="401">
        <f t="shared" si="1145"/>
        <v>1062140.2552400001</v>
      </c>
    </row>
    <row r="397" spans="2:42" ht="15.6">
      <c r="B397" s="373" t="s">
        <v>285</v>
      </c>
      <c r="C397" s="369"/>
      <c r="D397" s="360"/>
      <c r="E397" s="358"/>
      <c r="F397" s="358"/>
      <c r="G397" s="358"/>
      <c r="H397" s="358"/>
      <c r="I397" s="358"/>
      <c r="J397" s="358"/>
      <c r="K397" s="358"/>
      <c r="L397" s="358"/>
      <c r="M397" s="358"/>
      <c r="N397" s="358"/>
      <c r="O397" s="325"/>
      <c r="P397" s="358"/>
      <c r="Q397" s="358"/>
      <c r="R397" s="358"/>
      <c r="S397" s="360"/>
      <c r="T397" s="360"/>
      <c r="U397" s="360"/>
      <c r="V397" s="360"/>
      <c r="W397" s="358"/>
      <c r="X397" s="358"/>
      <c r="Y397" s="370">
        <f>SUM(Y391:Y396)</f>
        <v>1265387.0936844898</v>
      </c>
      <c r="Z397" s="370">
        <f t="shared" ref="Z397:AE397" si="1148">SUM(Z391:Z396)</f>
        <v>870449.5698776861</v>
      </c>
      <c r="AA397" s="370">
        <f t="shared" si="1148"/>
        <v>1679587.0238285656</v>
      </c>
      <c r="AB397" s="370">
        <f t="shared" si="1148"/>
        <v>0</v>
      </c>
      <c r="AC397" s="370">
        <f t="shared" si="1148"/>
        <v>0</v>
      </c>
      <c r="AD397" s="370">
        <f t="shared" si="1148"/>
        <v>0</v>
      </c>
      <c r="AE397" s="370">
        <f t="shared" si="1148"/>
        <v>0</v>
      </c>
      <c r="AF397" s="370">
        <f>SUM(AF391:AF396)</f>
        <v>0</v>
      </c>
      <c r="AG397" s="370">
        <f t="shared" ref="AG397:AL397" si="1149">SUM(AG391:AG396)</f>
        <v>0</v>
      </c>
      <c r="AH397" s="370">
        <f t="shared" si="1149"/>
        <v>0</v>
      </c>
      <c r="AI397" s="370">
        <f t="shared" si="1149"/>
        <v>0</v>
      </c>
      <c r="AJ397" s="370">
        <f t="shared" si="1149"/>
        <v>0</v>
      </c>
      <c r="AK397" s="370">
        <f t="shared" si="1149"/>
        <v>0</v>
      </c>
      <c r="AL397" s="370">
        <f t="shared" si="1149"/>
        <v>0</v>
      </c>
      <c r="AM397" s="372">
        <f>SUM(AM391:AM396)</f>
        <v>3815423.6873907419</v>
      </c>
    </row>
    <row r="398" spans="2:42" ht="15.6">
      <c r="B398" s="373" t="s">
        <v>286</v>
      </c>
      <c r="C398" s="369"/>
      <c r="D398" s="374"/>
      <c r="E398" s="358"/>
      <c r="F398" s="358"/>
      <c r="G398" s="358"/>
      <c r="H398" s="358"/>
      <c r="I398" s="358"/>
      <c r="J398" s="358"/>
      <c r="K398" s="358"/>
      <c r="L398" s="358"/>
      <c r="M398" s="358"/>
      <c r="N398" s="358"/>
      <c r="O398" s="325"/>
      <c r="P398" s="358"/>
      <c r="Q398" s="358"/>
      <c r="R398" s="358"/>
      <c r="S398" s="360"/>
      <c r="T398" s="360"/>
      <c r="U398" s="360"/>
      <c r="V398" s="360"/>
      <c r="W398" s="358"/>
      <c r="X398" s="358"/>
      <c r="Y398" s="371">
        <f>Y388*Y390</f>
        <v>623331.84457701363</v>
      </c>
      <c r="Z398" s="371">
        <f t="shared" ref="Z398:AE398" si="1150">Z388*Z390</f>
        <v>241180.80030080199</v>
      </c>
      <c r="AA398" s="371">
        <f t="shared" si="1150"/>
        <v>662355.8575641939</v>
      </c>
      <c r="AB398" s="371">
        <f t="shared" si="1150"/>
        <v>5378.7648348362163</v>
      </c>
      <c r="AC398" s="371">
        <f t="shared" si="1150"/>
        <v>3379.7555712667181</v>
      </c>
      <c r="AD398" s="371">
        <f t="shared" si="1150"/>
        <v>163.89794826612723</v>
      </c>
      <c r="AE398" s="371">
        <f t="shared" si="1150"/>
        <v>19365.083484936178</v>
      </c>
      <c r="AF398" s="371">
        <f>AF388*AF390</f>
        <v>0</v>
      </c>
      <c r="AG398" s="371">
        <f t="shared" ref="AG398:AL398" si="1151">AG388*AG390</f>
        <v>0</v>
      </c>
      <c r="AH398" s="371">
        <f t="shared" si="1151"/>
        <v>0</v>
      </c>
      <c r="AI398" s="371">
        <f t="shared" si="1151"/>
        <v>0</v>
      </c>
      <c r="AJ398" s="371">
        <f t="shared" si="1151"/>
        <v>0</v>
      </c>
      <c r="AK398" s="371">
        <f t="shared" si="1151"/>
        <v>0</v>
      </c>
      <c r="AL398" s="371">
        <f t="shared" si="1151"/>
        <v>0</v>
      </c>
      <c r="AM398" s="372">
        <f>SUM(Y398:AL398)</f>
        <v>1555156.0042813148</v>
      </c>
    </row>
    <row r="399" spans="2:42" ht="15.6">
      <c r="B399" s="373" t="s">
        <v>287</v>
      </c>
      <c r="C399" s="369"/>
      <c r="D399" s="374"/>
      <c r="E399" s="358"/>
      <c r="F399" s="358"/>
      <c r="G399" s="358"/>
      <c r="H399" s="358"/>
      <c r="I399" s="358"/>
      <c r="J399" s="358"/>
      <c r="K399" s="358"/>
      <c r="L399" s="358"/>
      <c r="M399" s="358"/>
      <c r="N399" s="358"/>
      <c r="O399" s="325"/>
      <c r="P399" s="358"/>
      <c r="Q399" s="358"/>
      <c r="R399" s="358"/>
      <c r="S399" s="374"/>
      <c r="T399" s="374"/>
      <c r="U399" s="374"/>
      <c r="V399" s="374"/>
      <c r="W399" s="358"/>
      <c r="X399" s="358"/>
      <c r="Y399" s="375"/>
      <c r="Z399" s="375"/>
      <c r="AA399" s="375"/>
      <c r="AB399" s="375"/>
      <c r="AC399" s="375"/>
      <c r="AD399" s="375"/>
      <c r="AE399" s="375"/>
      <c r="AF399" s="375"/>
      <c r="AG399" s="375"/>
      <c r="AH399" s="375"/>
      <c r="AI399" s="375"/>
      <c r="AJ399" s="375"/>
      <c r="AK399" s="375"/>
      <c r="AL399" s="375"/>
      <c r="AM399" s="372">
        <f>AM397-AM398</f>
        <v>2260267.6831094269</v>
      </c>
    </row>
    <row r="400" spans="2:42" ht="15">
      <c r="B400" s="349"/>
      <c r="C400" s="374"/>
      <c r="D400" s="374"/>
      <c r="E400" s="358"/>
      <c r="F400" s="358"/>
      <c r="G400" s="358"/>
      <c r="H400" s="358"/>
      <c r="I400" s="358"/>
      <c r="J400" s="358"/>
      <c r="K400" s="358"/>
      <c r="L400" s="358"/>
      <c r="M400" s="358"/>
      <c r="N400" s="358"/>
      <c r="O400" s="325"/>
      <c r="P400" s="358"/>
      <c r="Q400" s="358"/>
      <c r="R400" s="358"/>
      <c r="S400" s="374"/>
      <c r="T400" s="369"/>
      <c r="U400" s="374"/>
      <c r="V400" s="374"/>
      <c r="W400" s="358"/>
      <c r="X400" s="358"/>
      <c r="Y400" s="376"/>
      <c r="Z400" s="376"/>
      <c r="AA400" s="376"/>
      <c r="AB400" s="376"/>
      <c r="AC400" s="376"/>
      <c r="AD400" s="376"/>
      <c r="AE400" s="376"/>
      <c r="AF400" s="376"/>
      <c r="AG400" s="376"/>
      <c r="AH400" s="376"/>
      <c r="AI400" s="376"/>
      <c r="AJ400" s="376"/>
      <c r="AK400" s="376"/>
      <c r="AL400" s="376"/>
      <c r="AM400" s="372"/>
    </row>
    <row r="401" spans="1:39" ht="15">
      <c r="B401" s="459" t="s">
        <v>288</v>
      </c>
      <c r="C401" s="329"/>
      <c r="D401" s="304"/>
      <c r="E401" s="304"/>
      <c r="F401" s="304"/>
      <c r="G401" s="304"/>
      <c r="H401" s="304"/>
      <c r="I401" s="304"/>
      <c r="J401" s="304"/>
      <c r="K401" s="304"/>
      <c r="L401" s="304"/>
      <c r="M401" s="304"/>
      <c r="N401" s="304"/>
      <c r="O401" s="381"/>
      <c r="P401" s="304"/>
      <c r="Q401" s="304"/>
      <c r="R401" s="304"/>
      <c r="S401" s="329"/>
      <c r="T401" s="334"/>
      <c r="U401" s="334"/>
      <c r="V401" s="304"/>
      <c r="W401" s="304"/>
      <c r="X401" s="334"/>
      <c r="Y401" s="316">
        <f>SUMPRODUCT(E221:E382,Y221:Y382)</f>
        <v>40014022</v>
      </c>
      <c r="Z401" s="316">
        <f>SUMPRODUCT(E221:E382,Z221:Z382)</f>
        <v>9071965.5500000007</v>
      </c>
      <c r="AA401" s="316">
        <f t="shared" ref="AA401:AL401" si="1152">IF(AA219="kw",SUMPRODUCT($N$221:$N$382,$P$221:$P$382,AA221:AA382),SUMPRODUCT($E$221:$E$382,AA221:AA382))</f>
        <v>104810.64</v>
      </c>
      <c r="AB401" s="316">
        <f t="shared" si="1152"/>
        <v>0</v>
      </c>
      <c r="AC401" s="316">
        <f t="shared" si="1152"/>
        <v>0</v>
      </c>
      <c r="AD401" s="316">
        <f t="shared" si="1152"/>
        <v>0</v>
      </c>
      <c r="AE401" s="316">
        <f t="shared" si="1152"/>
        <v>0</v>
      </c>
      <c r="AF401" s="316">
        <f t="shared" si="1152"/>
        <v>0</v>
      </c>
      <c r="AG401" s="316">
        <f t="shared" si="1152"/>
        <v>0</v>
      </c>
      <c r="AH401" s="316">
        <f t="shared" si="1152"/>
        <v>0</v>
      </c>
      <c r="AI401" s="316">
        <f t="shared" si="1152"/>
        <v>0</v>
      </c>
      <c r="AJ401" s="316">
        <f t="shared" si="1152"/>
        <v>0</v>
      </c>
      <c r="AK401" s="316">
        <f t="shared" si="1152"/>
        <v>0</v>
      </c>
      <c r="AL401" s="316">
        <f t="shared" si="1152"/>
        <v>0</v>
      </c>
      <c r="AM401" s="372"/>
    </row>
    <row r="402" spans="1:39" ht="15">
      <c r="B402" s="459" t="s">
        <v>289</v>
      </c>
      <c r="C402" s="329"/>
      <c r="D402" s="304"/>
      <c r="E402" s="304"/>
      <c r="F402" s="304"/>
      <c r="G402" s="304"/>
      <c r="H402" s="304"/>
      <c r="I402" s="304"/>
      <c r="J402" s="304"/>
      <c r="K402" s="304"/>
      <c r="L402" s="304"/>
      <c r="M402" s="304"/>
      <c r="N402" s="304"/>
      <c r="O402" s="381"/>
      <c r="P402" s="304"/>
      <c r="Q402" s="304"/>
      <c r="R402" s="304"/>
      <c r="S402" s="329"/>
      <c r="T402" s="334"/>
      <c r="U402" s="334"/>
      <c r="V402" s="304"/>
      <c r="W402" s="304"/>
      <c r="X402" s="334"/>
      <c r="Y402" s="316">
        <f>SUMPRODUCT(F221:F382,Y221:Y382)</f>
        <v>40014022</v>
      </c>
      <c r="Z402" s="316">
        <f>SUMPRODUCT(F221:F382,Z221:Z382)</f>
        <v>9071965.5500000007</v>
      </c>
      <c r="AA402" s="316">
        <f t="shared" ref="AA402:AL402" si="1153">IF(AA219="kw",SUMPRODUCT($N$221:$N$382,$Q$221:$Q$382,AA221:AA382),SUMPRODUCT($F$221:$F$382,AA221:AA382))</f>
        <v>104498.64</v>
      </c>
      <c r="AB402" s="316">
        <f t="shared" si="1153"/>
        <v>0</v>
      </c>
      <c r="AC402" s="316">
        <f t="shared" si="1153"/>
        <v>0</v>
      </c>
      <c r="AD402" s="316">
        <f t="shared" si="1153"/>
        <v>0</v>
      </c>
      <c r="AE402" s="316">
        <f t="shared" si="1153"/>
        <v>0</v>
      </c>
      <c r="AF402" s="316">
        <f t="shared" si="1153"/>
        <v>0</v>
      </c>
      <c r="AG402" s="316">
        <f t="shared" si="1153"/>
        <v>0</v>
      </c>
      <c r="AH402" s="316">
        <f t="shared" si="1153"/>
        <v>0</v>
      </c>
      <c r="AI402" s="316">
        <f t="shared" si="1153"/>
        <v>0</v>
      </c>
      <c r="AJ402" s="316">
        <f t="shared" si="1153"/>
        <v>0</v>
      </c>
      <c r="AK402" s="316">
        <f t="shared" si="1153"/>
        <v>0</v>
      </c>
      <c r="AL402" s="316">
        <f t="shared" si="1153"/>
        <v>0</v>
      </c>
      <c r="AM402" s="361"/>
    </row>
    <row r="403" spans="1:39" ht="15">
      <c r="B403" s="459" t="s">
        <v>290</v>
      </c>
      <c r="C403" s="329"/>
      <c r="D403" s="304"/>
      <c r="E403" s="304"/>
      <c r="F403" s="304"/>
      <c r="G403" s="304"/>
      <c r="H403" s="304"/>
      <c r="I403" s="304"/>
      <c r="J403" s="304"/>
      <c r="K403" s="304"/>
      <c r="L403" s="304"/>
      <c r="M403" s="304"/>
      <c r="N403" s="304"/>
      <c r="O403" s="381"/>
      <c r="P403" s="304"/>
      <c r="Q403" s="304"/>
      <c r="R403" s="304"/>
      <c r="S403" s="329"/>
      <c r="T403" s="334"/>
      <c r="U403" s="334"/>
      <c r="V403" s="304"/>
      <c r="W403" s="304"/>
      <c r="X403" s="334"/>
      <c r="Y403" s="316">
        <f>SUMPRODUCT(G221:G382,Y221:Y382)</f>
        <v>40014022</v>
      </c>
      <c r="Z403" s="316">
        <f>SUMPRODUCT(G221:G382,Z221:Z382)</f>
        <v>8960634.25</v>
      </c>
      <c r="AA403" s="316">
        <f t="shared" ref="AA403:AL403" si="1154">IF(AA219="kw",SUMPRODUCT($N$221:$N$382,$R$221:$R$382,AA221:AA382),SUMPRODUCT($G$221:$G$382,AA221:AA382))</f>
        <v>104498.64</v>
      </c>
      <c r="AB403" s="316">
        <f t="shared" si="1154"/>
        <v>0</v>
      </c>
      <c r="AC403" s="316">
        <f t="shared" si="1154"/>
        <v>0</v>
      </c>
      <c r="AD403" s="316">
        <f t="shared" si="1154"/>
        <v>0</v>
      </c>
      <c r="AE403" s="316">
        <f t="shared" si="1154"/>
        <v>0</v>
      </c>
      <c r="AF403" s="316">
        <f t="shared" si="1154"/>
        <v>0</v>
      </c>
      <c r="AG403" s="316">
        <f t="shared" si="1154"/>
        <v>0</v>
      </c>
      <c r="AH403" s="316">
        <f t="shared" si="1154"/>
        <v>0</v>
      </c>
      <c r="AI403" s="316">
        <f t="shared" si="1154"/>
        <v>0</v>
      </c>
      <c r="AJ403" s="316">
        <f t="shared" si="1154"/>
        <v>0</v>
      </c>
      <c r="AK403" s="316">
        <f t="shared" si="1154"/>
        <v>0</v>
      </c>
      <c r="AL403" s="316">
        <f t="shared" si="1154"/>
        <v>0</v>
      </c>
      <c r="AM403" s="361"/>
    </row>
    <row r="404" spans="1:39" ht="15">
      <c r="B404" s="460" t="s">
        <v>291</v>
      </c>
      <c r="C404" s="388"/>
      <c r="D404" s="408"/>
      <c r="E404" s="408"/>
      <c r="F404" s="408"/>
      <c r="G404" s="408"/>
      <c r="H404" s="408"/>
      <c r="I404" s="408"/>
      <c r="J404" s="408"/>
      <c r="K404" s="408"/>
      <c r="L404" s="408"/>
      <c r="M404" s="408"/>
      <c r="N404" s="408"/>
      <c r="O404" s="407"/>
      <c r="P404" s="408"/>
      <c r="Q404" s="408"/>
      <c r="R404" s="408"/>
      <c r="S404" s="388"/>
      <c r="T404" s="409"/>
      <c r="U404" s="409"/>
      <c r="V404" s="408"/>
      <c r="W404" s="408"/>
      <c r="X404" s="409"/>
      <c r="Y404" s="351">
        <f>SUMPRODUCT(H221:H382,Y221:Y382)</f>
        <v>40014022</v>
      </c>
      <c r="Z404" s="351">
        <f>SUMPRODUCT(H221:H382,Z221:Z382)</f>
        <v>8893875.8500000015</v>
      </c>
      <c r="AA404" s="351">
        <f t="shared" ref="AA404:AL404" si="1155">IF(AA219="kw",SUMPRODUCT($N$221:$N$382,$S$221:$S$382,AA221:AA382),SUMPRODUCT($H$221:$H$382,AA221:AA382))</f>
        <v>104498.64</v>
      </c>
      <c r="AB404" s="351">
        <f t="shared" si="1155"/>
        <v>0</v>
      </c>
      <c r="AC404" s="351">
        <f t="shared" si="1155"/>
        <v>0</v>
      </c>
      <c r="AD404" s="351">
        <f t="shared" si="1155"/>
        <v>0</v>
      </c>
      <c r="AE404" s="351">
        <f t="shared" si="1155"/>
        <v>0</v>
      </c>
      <c r="AF404" s="351">
        <f t="shared" si="1155"/>
        <v>0</v>
      </c>
      <c r="AG404" s="351">
        <f t="shared" si="1155"/>
        <v>0</v>
      </c>
      <c r="AH404" s="351">
        <f t="shared" si="1155"/>
        <v>0</v>
      </c>
      <c r="AI404" s="351">
        <f t="shared" si="1155"/>
        <v>0</v>
      </c>
      <c r="AJ404" s="351">
        <f t="shared" si="1155"/>
        <v>0</v>
      </c>
      <c r="AK404" s="351">
        <f t="shared" si="1155"/>
        <v>0</v>
      </c>
      <c r="AL404" s="351">
        <f t="shared" si="1155"/>
        <v>0</v>
      </c>
      <c r="AM404" s="410"/>
    </row>
    <row r="405" spans="1:39" ht="21" customHeight="1">
      <c r="B405" s="392" t="s">
        <v>226</v>
      </c>
      <c r="C405" s="411"/>
      <c r="D405" s="412"/>
      <c r="E405" s="412"/>
      <c r="F405" s="412"/>
      <c r="G405" s="412"/>
      <c r="H405" s="412"/>
      <c r="I405" s="412"/>
      <c r="J405" s="412"/>
      <c r="K405" s="412"/>
      <c r="L405" s="412"/>
      <c r="M405" s="412"/>
      <c r="N405" s="412"/>
      <c r="O405" s="412"/>
      <c r="P405" s="412"/>
      <c r="Q405" s="412"/>
      <c r="R405" s="412"/>
      <c r="S405" s="395"/>
      <c r="T405" s="396"/>
      <c r="U405" s="412"/>
      <c r="V405" s="412"/>
      <c r="W405" s="412"/>
      <c r="X405" s="412"/>
      <c r="Y405" s="429"/>
      <c r="Z405" s="429"/>
      <c r="AA405" s="429"/>
      <c r="AB405" s="429"/>
      <c r="AC405" s="429"/>
      <c r="AD405" s="429"/>
      <c r="AE405" s="429"/>
      <c r="AF405" s="429"/>
      <c r="AG405" s="429"/>
      <c r="AH405" s="429"/>
      <c r="AI405" s="429"/>
      <c r="AJ405" s="429"/>
      <c r="AK405" s="429"/>
      <c r="AL405" s="429"/>
      <c r="AM405" s="413"/>
    </row>
    <row r="408" spans="1:39" ht="15.6">
      <c r="B408" s="305" t="s">
        <v>294</v>
      </c>
      <c r="C408" s="306"/>
      <c r="D408" s="619" t="s">
        <v>588</v>
      </c>
      <c r="E408" s="278"/>
      <c r="F408" s="621" t="s">
        <v>599</v>
      </c>
      <c r="G408" s="278"/>
      <c r="H408" s="278"/>
      <c r="I408" s="278"/>
      <c r="J408" s="278"/>
      <c r="K408" s="278"/>
      <c r="L408" s="278"/>
      <c r="M408" s="278"/>
      <c r="N408" s="278"/>
      <c r="O408" s="306"/>
      <c r="P408" s="278"/>
      <c r="Q408" s="278"/>
      <c r="R408" s="278"/>
      <c r="S408" s="278"/>
      <c r="T408" s="278"/>
      <c r="U408" s="278"/>
      <c r="V408" s="278"/>
      <c r="W408" s="278"/>
      <c r="X408" s="278"/>
      <c r="Y408" s="295"/>
      <c r="Z408" s="292"/>
      <c r="AA408" s="292"/>
      <c r="AB408" s="292"/>
      <c r="AC408" s="292"/>
      <c r="AD408" s="292"/>
      <c r="AE408" s="292"/>
      <c r="AF408" s="292"/>
      <c r="AG408" s="292"/>
      <c r="AH408" s="292"/>
      <c r="AI408" s="292"/>
      <c r="AJ408" s="292"/>
      <c r="AK408" s="292"/>
      <c r="AL408" s="292"/>
      <c r="AM408" s="307"/>
    </row>
    <row r="409" spans="1:39" ht="33.75" customHeight="1">
      <c r="B409" s="1220" t="s">
        <v>213</v>
      </c>
      <c r="C409" s="1222" t="s">
        <v>33</v>
      </c>
      <c r="D409" s="309" t="s">
        <v>427</v>
      </c>
      <c r="E409" s="1224" t="s">
        <v>211</v>
      </c>
      <c r="F409" s="1225"/>
      <c r="G409" s="1225"/>
      <c r="H409" s="1225"/>
      <c r="I409" s="1225"/>
      <c r="J409" s="1225"/>
      <c r="K409" s="1225"/>
      <c r="L409" s="1225"/>
      <c r="M409" s="1226"/>
      <c r="N409" s="1227" t="s">
        <v>215</v>
      </c>
      <c r="O409" s="309" t="s">
        <v>428</v>
      </c>
      <c r="P409" s="1224" t="s">
        <v>214</v>
      </c>
      <c r="Q409" s="1225"/>
      <c r="R409" s="1225"/>
      <c r="S409" s="1225"/>
      <c r="T409" s="1225"/>
      <c r="U409" s="1225"/>
      <c r="V409" s="1225"/>
      <c r="W409" s="1225"/>
      <c r="X409" s="1226"/>
      <c r="Y409" s="1217" t="s">
        <v>246</v>
      </c>
      <c r="Z409" s="1218"/>
      <c r="AA409" s="1218"/>
      <c r="AB409" s="1218"/>
      <c r="AC409" s="1218"/>
      <c r="AD409" s="1218"/>
      <c r="AE409" s="1218"/>
      <c r="AF409" s="1218"/>
      <c r="AG409" s="1218"/>
      <c r="AH409" s="1218"/>
      <c r="AI409" s="1218"/>
      <c r="AJ409" s="1218"/>
      <c r="AK409" s="1218"/>
      <c r="AL409" s="1218"/>
      <c r="AM409" s="1219"/>
    </row>
    <row r="410" spans="1:39" ht="61.5" customHeight="1">
      <c r="B410" s="1221"/>
      <c r="C410" s="1223"/>
      <c r="D410" s="310">
        <v>2017</v>
      </c>
      <c r="E410" s="310">
        <v>2018</v>
      </c>
      <c r="F410" s="310">
        <v>2019</v>
      </c>
      <c r="G410" s="310">
        <v>2020</v>
      </c>
      <c r="H410" s="310">
        <v>2021</v>
      </c>
      <c r="I410" s="310">
        <v>2022</v>
      </c>
      <c r="J410" s="310">
        <v>2023</v>
      </c>
      <c r="K410" s="310">
        <v>2024</v>
      </c>
      <c r="L410" s="310">
        <v>2025</v>
      </c>
      <c r="M410" s="310">
        <v>2026</v>
      </c>
      <c r="N410" s="1228"/>
      <c r="O410" s="310">
        <v>2017</v>
      </c>
      <c r="P410" s="310">
        <v>2018</v>
      </c>
      <c r="Q410" s="310">
        <v>2019</v>
      </c>
      <c r="R410" s="310">
        <v>2020</v>
      </c>
      <c r="S410" s="310">
        <v>2021</v>
      </c>
      <c r="T410" s="310">
        <v>2022</v>
      </c>
      <c r="U410" s="310">
        <v>2023</v>
      </c>
      <c r="V410" s="310">
        <v>2024</v>
      </c>
      <c r="W410" s="310">
        <v>2025</v>
      </c>
      <c r="X410" s="310">
        <v>2026</v>
      </c>
      <c r="Y410" s="310" t="str">
        <f>'1.  LRAMVA Summary'!D51</f>
        <v>Residential</v>
      </c>
      <c r="Z410" s="310" t="str">
        <f>'1.  LRAMVA Summary'!E51</f>
        <v>GS&lt;50 kW</v>
      </c>
      <c r="AA410" s="310" t="str">
        <f>'1.  LRAMVA Summary'!F51</f>
        <v>GS&gt;50 kW</v>
      </c>
      <c r="AB410" s="310" t="str">
        <f>'1.  LRAMVA Summary'!G51</f>
        <v>Large Use</v>
      </c>
      <c r="AC410" s="310" t="str">
        <f>'1.  LRAMVA Summary'!H51</f>
        <v>Unmetered Scattered Load</v>
      </c>
      <c r="AD410" s="310" t="str">
        <f>'1.  LRAMVA Summary'!I51</f>
        <v>Sentinel Lighting</v>
      </c>
      <c r="AE410" s="310" t="str">
        <f>'1.  LRAMVA Summary'!J51</f>
        <v>Street Lighting</v>
      </c>
      <c r="AF410" s="310" t="str">
        <f>'1.  LRAMVA Summary'!K51</f>
        <v/>
      </c>
      <c r="AG410" s="310" t="str">
        <f>'1.  LRAMVA Summary'!L51</f>
        <v/>
      </c>
      <c r="AH410" s="310" t="str">
        <f>'1.  LRAMVA Summary'!M51</f>
        <v/>
      </c>
      <c r="AI410" s="310" t="str">
        <f>'1.  LRAMVA Summary'!N51</f>
        <v/>
      </c>
      <c r="AJ410" s="310" t="str">
        <f>'1.  LRAMVA Summary'!O51</f>
        <v/>
      </c>
      <c r="AK410" s="310" t="str">
        <f>'1.  LRAMVA Summary'!P51</f>
        <v/>
      </c>
      <c r="AL410" s="310" t="str">
        <f>'1.  LRAMVA Summary'!Q51</f>
        <v/>
      </c>
      <c r="AM410" s="312" t="str">
        <f>'1.  LRAMVA Summary'!R51</f>
        <v>Total</v>
      </c>
    </row>
    <row r="411" spans="1:39" ht="15.75" customHeight="1">
      <c r="A411" s="560"/>
      <c r="B411" s="552" t="s">
        <v>518</v>
      </c>
      <c r="C411" s="314"/>
      <c r="D411" s="314"/>
      <c r="E411" s="314"/>
      <c r="F411" s="314"/>
      <c r="G411" s="314"/>
      <c r="H411" s="314"/>
      <c r="I411" s="314"/>
      <c r="J411" s="314"/>
      <c r="K411" s="314"/>
      <c r="L411" s="314"/>
      <c r="M411" s="314"/>
      <c r="N411" s="315"/>
      <c r="O411" s="314"/>
      <c r="P411" s="314"/>
      <c r="Q411" s="314"/>
      <c r="R411" s="314"/>
      <c r="S411" s="314"/>
      <c r="T411" s="314"/>
      <c r="U411" s="314"/>
      <c r="V411" s="314"/>
      <c r="W411" s="314"/>
      <c r="X411" s="314"/>
      <c r="Y411" s="316" t="str">
        <f>'1.  LRAMVA Summary'!D52</f>
        <v>kWh</v>
      </c>
      <c r="Z411" s="316" t="str">
        <f>'1.  LRAMVA Summary'!E52</f>
        <v>kWh</v>
      </c>
      <c r="AA411" s="316" t="str">
        <f>'1.  LRAMVA Summary'!F52</f>
        <v>kW</v>
      </c>
      <c r="AB411" s="316" t="str">
        <f>'1.  LRAMVA Summary'!G52</f>
        <v>kW</v>
      </c>
      <c r="AC411" s="316" t="str">
        <f>'1.  LRAMVA Summary'!H52</f>
        <v>kWh</v>
      </c>
      <c r="AD411" s="316" t="str">
        <f>'1.  LRAMVA Summary'!I52</f>
        <v>kW</v>
      </c>
      <c r="AE411" s="316" t="str">
        <f>'1.  LRAMVA Summary'!J52</f>
        <v>kW</v>
      </c>
      <c r="AF411" s="316" t="str">
        <f>'1.  LRAMVA Summary'!K52</f>
        <v/>
      </c>
      <c r="AG411" s="316" t="str">
        <f>'1.  LRAMVA Summary'!L52</f>
        <v/>
      </c>
      <c r="AH411" s="316" t="str">
        <f>'1.  LRAMVA Summary'!M52</f>
        <v/>
      </c>
      <c r="AI411" s="316" t="str">
        <f>'1.  LRAMVA Summary'!N52</f>
        <v/>
      </c>
      <c r="AJ411" s="316" t="str">
        <f>'1.  LRAMVA Summary'!O52</f>
        <v/>
      </c>
      <c r="AK411" s="316" t="str">
        <f>'1.  LRAMVA Summary'!P52</f>
        <v/>
      </c>
      <c r="AL411" s="316" t="str">
        <f>'1.  LRAMVA Summary'!Q52</f>
        <v/>
      </c>
      <c r="AM411" s="317"/>
    </row>
    <row r="412" spans="1:39" ht="15.6" hidden="1" outlineLevel="1">
      <c r="A412" s="560"/>
      <c r="B412" s="533" t="s">
        <v>511</v>
      </c>
      <c r="C412" s="314"/>
      <c r="D412" s="314"/>
      <c r="E412" s="314"/>
      <c r="F412" s="314"/>
      <c r="G412" s="314"/>
      <c r="H412" s="314"/>
      <c r="I412" s="314"/>
      <c r="J412" s="314"/>
      <c r="K412" s="314"/>
      <c r="L412" s="314"/>
      <c r="M412" s="314"/>
      <c r="N412" s="315"/>
      <c r="O412" s="314"/>
      <c r="P412" s="314"/>
      <c r="Q412" s="314"/>
      <c r="R412" s="314"/>
      <c r="S412" s="314"/>
      <c r="T412" s="314"/>
      <c r="U412" s="314"/>
      <c r="V412" s="314"/>
      <c r="W412" s="314"/>
      <c r="X412" s="314"/>
      <c r="Y412" s="316"/>
      <c r="Z412" s="316"/>
      <c r="AA412" s="316"/>
      <c r="AB412" s="316"/>
      <c r="AC412" s="316"/>
      <c r="AD412" s="316"/>
      <c r="AE412" s="316"/>
      <c r="AF412" s="316"/>
      <c r="AG412" s="316"/>
      <c r="AH412" s="316"/>
      <c r="AI412" s="316"/>
      <c r="AJ412" s="316"/>
      <c r="AK412" s="316"/>
      <c r="AL412" s="316"/>
      <c r="AM412" s="317"/>
    </row>
    <row r="413" spans="1:39" ht="15" hidden="1" outlineLevel="1">
      <c r="A413" s="560">
        <v>1</v>
      </c>
      <c r="B413" s="448" t="s">
        <v>95</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t="15"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56">Z413</f>
        <v>0</v>
      </c>
      <c r="AA414" s="431">
        <f t="shared" ref="AA414" si="1157">AA413</f>
        <v>0</v>
      </c>
      <c r="AB414" s="431">
        <f t="shared" ref="AB414" si="1158">AB413</f>
        <v>0</v>
      </c>
      <c r="AC414" s="431">
        <f t="shared" ref="AC414" si="1159">AC413</f>
        <v>0</v>
      </c>
      <c r="AD414" s="431">
        <f t="shared" ref="AD414" si="1160">AD413</f>
        <v>0</v>
      </c>
      <c r="AE414" s="431">
        <f t="shared" ref="AE414" si="1161">AE413</f>
        <v>0</v>
      </c>
      <c r="AF414" s="431">
        <f t="shared" ref="AF414" si="1162">AF413</f>
        <v>0</v>
      </c>
      <c r="AG414" s="431">
        <f t="shared" ref="AG414" si="1163">AG413</f>
        <v>0</v>
      </c>
      <c r="AH414" s="431">
        <f t="shared" ref="AH414" si="1164">AH413</f>
        <v>0</v>
      </c>
      <c r="AI414" s="431">
        <f t="shared" ref="AI414" si="1165">AI413</f>
        <v>0</v>
      </c>
      <c r="AJ414" s="431">
        <f t="shared" ref="AJ414" si="1166">AJ413</f>
        <v>0</v>
      </c>
      <c r="AK414" s="431">
        <f t="shared" ref="AK414" si="1167">AK413</f>
        <v>0</v>
      </c>
      <c r="AL414" s="431">
        <f t="shared" ref="AL414" si="1168">AL413</f>
        <v>0</v>
      </c>
      <c r="AM414" s="322"/>
    </row>
    <row r="415" spans="1:39" ht="15.6" hidden="1" outlineLevel="1">
      <c r="A415" s="560"/>
      <c r="B415" s="553"/>
      <c r="C415" s="324"/>
      <c r="D415" s="324"/>
      <c r="E415" s="324"/>
      <c r="F415" s="324"/>
      <c r="G415" s="324"/>
      <c r="H415" s="324"/>
      <c r="I415" s="324"/>
      <c r="J415" s="324"/>
      <c r="K415" s="324"/>
      <c r="L415" s="324"/>
      <c r="M415" s="324"/>
      <c r="N415" s="325"/>
      <c r="O415" s="324"/>
      <c r="P415" s="324"/>
      <c r="Q415" s="324"/>
      <c r="R415" s="324"/>
      <c r="S415" s="324"/>
      <c r="T415" s="324"/>
      <c r="U415" s="324"/>
      <c r="V415" s="324"/>
      <c r="W415" s="324"/>
      <c r="X415" s="324"/>
      <c r="Y415" s="432"/>
      <c r="Z415" s="433"/>
      <c r="AA415" s="433"/>
      <c r="AB415" s="433"/>
      <c r="AC415" s="433"/>
      <c r="AD415" s="433"/>
      <c r="AE415" s="433"/>
      <c r="AF415" s="433"/>
      <c r="AG415" s="433"/>
      <c r="AH415" s="433"/>
      <c r="AI415" s="433"/>
      <c r="AJ415" s="433"/>
      <c r="AK415" s="433"/>
      <c r="AL415" s="433"/>
      <c r="AM415" s="327"/>
    </row>
    <row r="416" spans="1:39" ht="15" hidden="1" outlineLevel="1">
      <c r="A416" s="560">
        <v>2</v>
      </c>
      <c r="B416" s="448" t="s">
        <v>96</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t="15"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169">Z416</f>
        <v>0</v>
      </c>
      <c r="AA417" s="431">
        <f t="shared" ref="AA417" si="1170">AA416</f>
        <v>0</v>
      </c>
      <c r="AB417" s="431">
        <f t="shared" ref="AB417" si="1171">AB416</f>
        <v>0</v>
      </c>
      <c r="AC417" s="431">
        <f t="shared" ref="AC417" si="1172">AC416</f>
        <v>0</v>
      </c>
      <c r="AD417" s="431">
        <f t="shared" ref="AD417" si="1173">AD416</f>
        <v>0</v>
      </c>
      <c r="AE417" s="431">
        <f t="shared" ref="AE417" si="1174">AE416</f>
        <v>0</v>
      </c>
      <c r="AF417" s="431">
        <f t="shared" ref="AF417" si="1175">AF416</f>
        <v>0</v>
      </c>
      <c r="AG417" s="431">
        <f t="shared" ref="AG417" si="1176">AG416</f>
        <v>0</v>
      </c>
      <c r="AH417" s="431">
        <f t="shared" ref="AH417" si="1177">AH416</f>
        <v>0</v>
      </c>
      <c r="AI417" s="431">
        <f t="shared" ref="AI417" si="1178">AI416</f>
        <v>0</v>
      </c>
      <c r="AJ417" s="431">
        <f t="shared" ref="AJ417" si="1179">AJ416</f>
        <v>0</v>
      </c>
      <c r="AK417" s="431">
        <f t="shared" ref="AK417" si="1180">AK416</f>
        <v>0</v>
      </c>
      <c r="AL417" s="431">
        <f t="shared" ref="AL417" si="1181">AL416</f>
        <v>0</v>
      </c>
      <c r="AM417" s="322"/>
    </row>
    <row r="418" spans="1:39" ht="15.6" hidden="1" outlineLevel="1">
      <c r="A418" s="560"/>
      <c r="B418" s="553"/>
      <c r="C418" s="324"/>
      <c r="D418" s="329"/>
      <c r="E418" s="329"/>
      <c r="F418" s="329"/>
      <c r="G418" s="329"/>
      <c r="H418" s="329"/>
      <c r="I418" s="329"/>
      <c r="J418" s="329"/>
      <c r="K418" s="329"/>
      <c r="L418" s="329"/>
      <c r="M418" s="329"/>
      <c r="N418" s="325"/>
      <c r="O418" s="329"/>
      <c r="P418" s="329"/>
      <c r="Q418" s="329"/>
      <c r="R418" s="329"/>
      <c r="S418" s="329"/>
      <c r="T418" s="329"/>
      <c r="U418" s="329"/>
      <c r="V418" s="329"/>
      <c r="W418" s="329"/>
      <c r="X418" s="329"/>
      <c r="Y418" s="432"/>
      <c r="Z418" s="433"/>
      <c r="AA418" s="433"/>
      <c r="AB418" s="433"/>
      <c r="AC418" s="433"/>
      <c r="AD418" s="433"/>
      <c r="AE418" s="433"/>
      <c r="AF418" s="433"/>
      <c r="AG418" s="433"/>
      <c r="AH418" s="433"/>
      <c r="AI418" s="433"/>
      <c r="AJ418" s="433"/>
      <c r="AK418" s="433"/>
      <c r="AL418" s="433"/>
      <c r="AM418" s="327"/>
    </row>
    <row r="419" spans="1:39" ht="15" hidden="1" outlineLevel="1">
      <c r="A419" s="560">
        <v>3</v>
      </c>
      <c r="B419" s="448" t="s">
        <v>97</v>
      </c>
      <c r="C419" s="316" t="s">
        <v>25</v>
      </c>
      <c r="D419" s="320"/>
      <c r="E419" s="320"/>
      <c r="F419" s="320"/>
      <c r="G419" s="320"/>
      <c r="H419" s="320"/>
      <c r="I419" s="320"/>
      <c r="J419" s="320"/>
      <c r="K419" s="320"/>
      <c r="L419" s="320"/>
      <c r="M419" s="320"/>
      <c r="N419" s="316"/>
      <c r="O419" s="320"/>
      <c r="P419" s="320"/>
      <c r="Q419" s="320"/>
      <c r="R419" s="320"/>
      <c r="S419" s="320"/>
      <c r="T419" s="320"/>
      <c r="U419" s="320"/>
      <c r="V419" s="320"/>
      <c r="W419" s="320"/>
      <c r="X419" s="320"/>
      <c r="Y419" s="430"/>
      <c r="Z419" s="430"/>
      <c r="AA419" s="430"/>
      <c r="AB419" s="430"/>
      <c r="AC419" s="430"/>
      <c r="AD419" s="430"/>
      <c r="AE419" s="430"/>
      <c r="AF419" s="430"/>
      <c r="AG419" s="430"/>
      <c r="AH419" s="430"/>
      <c r="AI419" s="430"/>
      <c r="AJ419" s="430"/>
      <c r="AK419" s="430"/>
      <c r="AL419" s="430"/>
      <c r="AM419" s="321">
        <f>SUM(Y419:AL419)</f>
        <v>0</v>
      </c>
    </row>
    <row r="420" spans="1:39" ht="15" hidden="1" outlineLevel="1">
      <c r="A420" s="560"/>
      <c r="B420" s="451" t="s">
        <v>311</v>
      </c>
      <c r="C420" s="316" t="s">
        <v>164</v>
      </c>
      <c r="D420" s="320"/>
      <c r="E420" s="320"/>
      <c r="F420" s="320"/>
      <c r="G420" s="320"/>
      <c r="H420" s="320"/>
      <c r="I420" s="320"/>
      <c r="J420" s="320"/>
      <c r="K420" s="320"/>
      <c r="L420" s="320"/>
      <c r="M420" s="320"/>
      <c r="N420" s="488"/>
      <c r="O420" s="320"/>
      <c r="P420" s="320"/>
      <c r="Q420" s="320"/>
      <c r="R420" s="320"/>
      <c r="S420" s="320"/>
      <c r="T420" s="320"/>
      <c r="U420" s="320"/>
      <c r="V420" s="320"/>
      <c r="W420" s="320"/>
      <c r="X420" s="320"/>
      <c r="Y420" s="431">
        <f>Y419</f>
        <v>0</v>
      </c>
      <c r="Z420" s="431">
        <f t="shared" ref="Z420" si="1182">Z419</f>
        <v>0</v>
      </c>
      <c r="AA420" s="431">
        <f t="shared" ref="AA420" si="1183">AA419</f>
        <v>0</v>
      </c>
      <c r="AB420" s="431">
        <f t="shared" ref="AB420" si="1184">AB419</f>
        <v>0</v>
      </c>
      <c r="AC420" s="431">
        <f t="shared" ref="AC420" si="1185">AC419</f>
        <v>0</v>
      </c>
      <c r="AD420" s="431">
        <f t="shared" ref="AD420" si="1186">AD419</f>
        <v>0</v>
      </c>
      <c r="AE420" s="431">
        <f t="shared" ref="AE420" si="1187">AE419</f>
        <v>0</v>
      </c>
      <c r="AF420" s="431">
        <f t="shared" ref="AF420" si="1188">AF419</f>
        <v>0</v>
      </c>
      <c r="AG420" s="431">
        <f t="shared" ref="AG420" si="1189">AG419</f>
        <v>0</v>
      </c>
      <c r="AH420" s="431">
        <f t="shared" ref="AH420" si="1190">AH419</f>
        <v>0</v>
      </c>
      <c r="AI420" s="431">
        <f t="shared" ref="AI420" si="1191">AI419</f>
        <v>0</v>
      </c>
      <c r="AJ420" s="431">
        <f t="shared" ref="AJ420" si="1192">AJ419</f>
        <v>0</v>
      </c>
      <c r="AK420" s="431">
        <f t="shared" ref="AK420" si="1193">AK419</f>
        <v>0</v>
      </c>
      <c r="AL420" s="431">
        <f t="shared" ref="AL420" si="1194">AL419</f>
        <v>0</v>
      </c>
      <c r="AM420" s="322"/>
    </row>
    <row r="421" spans="1:39" ht="15" hidden="1" outlineLevel="1">
      <c r="A421" s="560"/>
      <c r="B421" s="451"/>
      <c r="C421" s="330"/>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432"/>
      <c r="Z421" s="432"/>
      <c r="AA421" s="432"/>
      <c r="AB421" s="432"/>
      <c r="AC421" s="432"/>
      <c r="AD421" s="432"/>
      <c r="AE421" s="432"/>
      <c r="AF421" s="432"/>
      <c r="AG421" s="432"/>
      <c r="AH421" s="432"/>
      <c r="AI421" s="432"/>
      <c r="AJ421" s="432"/>
      <c r="AK421" s="432"/>
      <c r="AL421" s="432"/>
      <c r="AM421" s="331"/>
    </row>
    <row r="422" spans="1:39" ht="15" hidden="1" outlineLevel="1">
      <c r="A422" s="560">
        <v>4</v>
      </c>
      <c r="B422" s="448" t="s">
        <v>98</v>
      </c>
      <c r="C422" s="316" t="s">
        <v>25</v>
      </c>
      <c r="D422" s="320"/>
      <c r="E422" s="320"/>
      <c r="F422" s="320"/>
      <c r="G422" s="320"/>
      <c r="H422" s="320"/>
      <c r="I422" s="320"/>
      <c r="J422" s="320"/>
      <c r="K422" s="320"/>
      <c r="L422" s="320"/>
      <c r="M422" s="320"/>
      <c r="N422" s="316"/>
      <c r="O422" s="320"/>
      <c r="P422" s="320"/>
      <c r="Q422" s="320"/>
      <c r="R422" s="320"/>
      <c r="S422" s="320"/>
      <c r="T422" s="320"/>
      <c r="U422" s="320"/>
      <c r="V422" s="320"/>
      <c r="W422" s="320"/>
      <c r="X422" s="320"/>
      <c r="Y422" s="430"/>
      <c r="Z422" s="430"/>
      <c r="AA422" s="430"/>
      <c r="AB422" s="430"/>
      <c r="AC422" s="430"/>
      <c r="AD422" s="430"/>
      <c r="AE422" s="430"/>
      <c r="AF422" s="430"/>
      <c r="AG422" s="430"/>
      <c r="AH422" s="430"/>
      <c r="AI422" s="430"/>
      <c r="AJ422" s="430"/>
      <c r="AK422" s="430"/>
      <c r="AL422" s="430"/>
      <c r="AM422" s="321">
        <f>SUM(Y422:AL422)</f>
        <v>0</v>
      </c>
    </row>
    <row r="423" spans="1:39" ht="15" hidden="1" outlineLevel="1">
      <c r="A423" s="560"/>
      <c r="B423" s="451" t="s">
        <v>311</v>
      </c>
      <c r="C423" s="316" t="s">
        <v>164</v>
      </c>
      <c r="D423" s="320"/>
      <c r="E423" s="320"/>
      <c r="F423" s="320"/>
      <c r="G423" s="320"/>
      <c r="H423" s="320"/>
      <c r="I423" s="320"/>
      <c r="J423" s="320"/>
      <c r="K423" s="320"/>
      <c r="L423" s="320"/>
      <c r="M423" s="320"/>
      <c r="N423" s="488"/>
      <c r="O423" s="320"/>
      <c r="P423" s="320"/>
      <c r="Q423" s="320"/>
      <c r="R423" s="320"/>
      <c r="S423" s="320"/>
      <c r="T423" s="320"/>
      <c r="U423" s="320"/>
      <c r="V423" s="320"/>
      <c r="W423" s="320"/>
      <c r="X423" s="320"/>
      <c r="Y423" s="431">
        <f>Y422</f>
        <v>0</v>
      </c>
      <c r="Z423" s="431">
        <f t="shared" ref="Z423" si="1195">Z422</f>
        <v>0</v>
      </c>
      <c r="AA423" s="431">
        <f t="shared" ref="AA423" si="1196">AA422</f>
        <v>0</v>
      </c>
      <c r="AB423" s="431">
        <f t="shared" ref="AB423" si="1197">AB422</f>
        <v>0</v>
      </c>
      <c r="AC423" s="431">
        <f t="shared" ref="AC423" si="1198">AC422</f>
        <v>0</v>
      </c>
      <c r="AD423" s="431">
        <f t="shared" ref="AD423" si="1199">AD422</f>
        <v>0</v>
      </c>
      <c r="AE423" s="431">
        <f t="shared" ref="AE423" si="1200">AE422</f>
        <v>0</v>
      </c>
      <c r="AF423" s="431">
        <f t="shared" ref="AF423" si="1201">AF422</f>
        <v>0</v>
      </c>
      <c r="AG423" s="431">
        <f t="shared" ref="AG423" si="1202">AG422</f>
        <v>0</v>
      </c>
      <c r="AH423" s="431">
        <f t="shared" ref="AH423" si="1203">AH422</f>
        <v>0</v>
      </c>
      <c r="AI423" s="431">
        <f t="shared" ref="AI423" si="1204">AI422</f>
        <v>0</v>
      </c>
      <c r="AJ423" s="431">
        <f t="shared" ref="AJ423" si="1205">AJ422</f>
        <v>0</v>
      </c>
      <c r="AK423" s="431">
        <f t="shared" ref="AK423" si="1206">AK422</f>
        <v>0</v>
      </c>
      <c r="AL423" s="431">
        <f t="shared" ref="AL423" si="1207">AL422</f>
        <v>0</v>
      </c>
      <c r="AM423" s="322"/>
    </row>
    <row r="424" spans="1:39" ht="15" hidden="1" outlineLevel="1">
      <c r="A424" s="560"/>
      <c r="B424" s="451"/>
      <c r="C424" s="330"/>
      <c r="D424" s="329"/>
      <c r="E424" s="329"/>
      <c r="F424" s="329"/>
      <c r="G424" s="329"/>
      <c r="H424" s="329"/>
      <c r="I424" s="329"/>
      <c r="J424" s="329"/>
      <c r="K424" s="329"/>
      <c r="L424" s="329"/>
      <c r="M424" s="329"/>
      <c r="N424" s="316"/>
      <c r="O424" s="329"/>
      <c r="P424" s="329"/>
      <c r="Q424" s="329"/>
      <c r="R424" s="329"/>
      <c r="S424" s="329"/>
      <c r="T424" s="329"/>
      <c r="U424" s="329"/>
      <c r="V424" s="329"/>
      <c r="W424" s="329"/>
      <c r="X424" s="329"/>
      <c r="Y424" s="432"/>
      <c r="Z424" s="432"/>
      <c r="AA424" s="432"/>
      <c r="AB424" s="432"/>
      <c r="AC424" s="432"/>
      <c r="AD424" s="432"/>
      <c r="AE424" s="432"/>
      <c r="AF424" s="432"/>
      <c r="AG424" s="432"/>
      <c r="AH424" s="432"/>
      <c r="AI424" s="432"/>
      <c r="AJ424" s="432"/>
      <c r="AK424" s="432"/>
      <c r="AL424" s="432"/>
      <c r="AM424" s="331"/>
    </row>
    <row r="425" spans="1:39" ht="30" hidden="1" outlineLevel="1">
      <c r="A425" s="560">
        <v>5</v>
      </c>
      <c r="B425" s="448" t="s">
        <v>99</v>
      </c>
      <c r="C425" s="316" t="s">
        <v>25</v>
      </c>
      <c r="D425" s="320"/>
      <c r="E425" s="320"/>
      <c r="F425" s="320"/>
      <c r="G425" s="320"/>
      <c r="H425" s="320"/>
      <c r="I425" s="320"/>
      <c r="J425" s="320"/>
      <c r="K425" s="320"/>
      <c r="L425" s="320"/>
      <c r="M425" s="320"/>
      <c r="N425" s="316"/>
      <c r="O425" s="320"/>
      <c r="P425" s="320"/>
      <c r="Q425" s="320"/>
      <c r="R425" s="320"/>
      <c r="S425" s="320"/>
      <c r="T425" s="320"/>
      <c r="U425" s="320"/>
      <c r="V425" s="320"/>
      <c r="W425" s="320"/>
      <c r="X425" s="320"/>
      <c r="Y425" s="430"/>
      <c r="Z425" s="430"/>
      <c r="AA425" s="430"/>
      <c r="AB425" s="430"/>
      <c r="AC425" s="430"/>
      <c r="AD425" s="430"/>
      <c r="AE425" s="430"/>
      <c r="AF425" s="430"/>
      <c r="AG425" s="430"/>
      <c r="AH425" s="430"/>
      <c r="AI425" s="430"/>
      <c r="AJ425" s="430"/>
      <c r="AK425" s="430"/>
      <c r="AL425" s="430"/>
      <c r="AM425" s="321">
        <f>SUM(Y425:AL425)</f>
        <v>0</v>
      </c>
    </row>
    <row r="426" spans="1:39" ht="15" hidden="1" outlineLevel="1">
      <c r="A426" s="560"/>
      <c r="B426" s="451" t="s">
        <v>311</v>
      </c>
      <c r="C426" s="316" t="s">
        <v>164</v>
      </c>
      <c r="D426" s="320"/>
      <c r="E426" s="320"/>
      <c r="F426" s="320"/>
      <c r="G426" s="320"/>
      <c r="H426" s="320"/>
      <c r="I426" s="320"/>
      <c r="J426" s="320"/>
      <c r="K426" s="320"/>
      <c r="L426" s="320"/>
      <c r="M426" s="320"/>
      <c r="N426" s="488"/>
      <c r="O426" s="320"/>
      <c r="P426" s="320"/>
      <c r="Q426" s="320"/>
      <c r="R426" s="320"/>
      <c r="S426" s="320"/>
      <c r="T426" s="320"/>
      <c r="U426" s="320"/>
      <c r="V426" s="320"/>
      <c r="W426" s="320"/>
      <c r="X426" s="320"/>
      <c r="Y426" s="431">
        <f>Y425</f>
        <v>0</v>
      </c>
      <c r="Z426" s="431">
        <f t="shared" ref="Z426" si="1208">Z425</f>
        <v>0</v>
      </c>
      <c r="AA426" s="431">
        <f t="shared" ref="AA426" si="1209">AA425</f>
        <v>0</v>
      </c>
      <c r="AB426" s="431">
        <f t="shared" ref="AB426" si="1210">AB425</f>
        <v>0</v>
      </c>
      <c r="AC426" s="431">
        <f t="shared" ref="AC426" si="1211">AC425</f>
        <v>0</v>
      </c>
      <c r="AD426" s="431">
        <f t="shared" ref="AD426" si="1212">AD425</f>
        <v>0</v>
      </c>
      <c r="AE426" s="431">
        <f t="shared" ref="AE426" si="1213">AE425</f>
        <v>0</v>
      </c>
      <c r="AF426" s="431">
        <f t="shared" ref="AF426" si="1214">AF425</f>
        <v>0</v>
      </c>
      <c r="AG426" s="431">
        <f t="shared" ref="AG426" si="1215">AG425</f>
        <v>0</v>
      </c>
      <c r="AH426" s="431">
        <f t="shared" ref="AH426" si="1216">AH425</f>
        <v>0</v>
      </c>
      <c r="AI426" s="431">
        <f t="shared" ref="AI426" si="1217">AI425</f>
        <v>0</v>
      </c>
      <c r="AJ426" s="431">
        <f t="shared" ref="AJ426" si="1218">AJ425</f>
        <v>0</v>
      </c>
      <c r="AK426" s="431">
        <f t="shared" ref="AK426" si="1219">AK425</f>
        <v>0</v>
      </c>
      <c r="AL426" s="431">
        <f t="shared" ref="AL426" si="1220">AL425</f>
        <v>0</v>
      </c>
      <c r="AM426" s="322"/>
    </row>
    <row r="427" spans="1:39" ht="15" hidden="1" outlineLevel="1">
      <c r="A427" s="560"/>
      <c r="B427" s="451"/>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442"/>
      <c r="Z427" s="443"/>
      <c r="AA427" s="443"/>
      <c r="AB427" s="443"/>
      <c r="AC427" s="443"/>
      <c r="AD427" s="443"/>
      <c r="AE427" s="443"/>
      <c r="AF427" s="443"/>
      <c r="AG427" s="443"/>
      <c r="AH427" s="443"/>
      <c r="AI427" s="443"/>
      <c r="AJ427" s="443"/>
      <c r="AK427" s="443"/>
      <c r="AL427" s="443"/>
      <c r="AM427" s="322"/>
    </row>
    <row r="428" spans="1:39" ht="15.6" hidden="1" outlineLevel="1">
      <c r="A428" s="560"/>
      <c r="B428" s="543" t="s">
        <v>512</v>
      </c>
      <c r="C428" s="314"/>
      <c r="D428" s="314"/>
      <c r="E428" s="314"/>
      <c r="F428" s="314"/>
      <c r="G428" s="314"/>
      <c r="H428" s="314"/>
      <c r="I428" s="314"/>
      <c r="J428" s="314"/>
      <c r="K428" s="314"/>
      <c r="L428" s="314"/>
      <c r="M428" s="314"/>
      <c r="N428" s="315"/>
      <c r="O428" s="314"/>
      <c r="P428" s="314"/>
      <c r="Q428" s="314"/>
      <c r="R428" s="314"/>
      <c r="S428" s="314"/>
      <c r="T428" s="314"/>
      <c r="U428" s="314"/>
      <c r="V428" s="314"/>
      <c r="W428" s="314"/>
      <c r="X428" s="314"/>
      <c r="Y428" s="434"/>
      <c r="Z428" s="434"/>
      <c r="AA428" s="434"/>
      <c r="AB428" s="434"/>
      <c r="AC428" s="434"/>
      <c r="AD428" s="434"/>
      <c r="AE428" s="434"/>
      <c r="AF428" s="434"/>
      <c r="AG428" s="434"/>
      <c r="AH428" s="434"/>
      <c r="AI428" s="434"/>
      <c r="AJ428" s="434"/>
      <c r="AK428" s="434"/>
      <c r="AL428" s="434"/>
      <c r="AM428" s="317"/>
    </row>
    <row r="429" spans="1:39" ht="15" hidden="1" outlineLevel="1">
      <c r="A429" s="560">
        <v>6</v>
      </c>
      <c r="B429" s="448" t="s">
        <v>100</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t="15"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21">Z429</f>
        <v>0</v>
      </c>
      <c r="AA430" s="431">
        <f t="shared" ref="AA430" si="1222">AA429</f>
        <v>0</v>
      </c>
      <c r="AB430" s="431">
        <f t="shared" ref="AB430" si="1223">AB429</f>
        <v>0</v>
      </c>
      <c r="AC430" s="431">
        <f t="shared" ref="AC430" si="1224">AC429</f>
        <v>0</v>
      </c>
      <c r="AD430" s="431">
        <f t="shared" ref="AD430" si="1225">AD429</f>
        <v>0</v>
      </c>
      <c r="AE430" s="431">
        <f t="shared" ref="AE430" si="1226">AE429</f>
        <v>0</v>
      </c>
      <c r="AF430" s="431">
        <f t="shared" ref="AF430" si="1227">AF429</f>
        <v>0</v>
      </c>
      <c r="AG430" s="431">
        <f t="shared" ref="AG430" si="1228">AG429</f>
        <v>0</v>
      </c>
      <c r="AH430" s="431">
        <f t="shared" ref="AH430" si="1229">AH429</f>
        <v>0</v>
      </c>
      <c r="AI430" s="431">
        <f t="shared" ref="AI430" si="1230">AI429</f>
        <v>0</v>
      </c>
      <c r="AJ430" s="431">
        <f t="shared" ref="AJ430" si="1231">AJ429</f>
        <v>0</v>
      </c>
      <c r="AK430" s="431">
        <f t="shared" ref="AK430" si="1232">AK429</f>
        <v>0</v>
      </c>
      <c r="AL430" s="431">
        <f t="shared" ref="AL430" si="1233">AL429</f>
        <v>0</v>
      </c>
      <c r="AM430" s="336"/>
    </row>
    <row r="431" spans="1:39" ht="15" hidden="1" outlineLevel="1">
      <c r="A431" s="560"/>
      <c r="B431" s="554"/>
      <c r="C431" s="337"/>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436"/>
      <c r="Z431" s="436"/>
      <c r="AA431" s="436"/>
      <c r="AB431" s="436"/>
      <c r="AC431" s="436"/>
      <c r="AD431" s="436"/>
      <c r="AE431" s="436"/>
      <c r="AF431" s="436"/>
      <c r="AG431" s="436"/>
      <c r="AH431" s="436"/>
      <c r="AI431" s="436"/>
      <c r="AJ431" s="436"/>
      <c r="AK431" s="436"/>
      <c r="AL431" s="436"/>
      <c r="AM431" s="338"/>
    </row>
    <row r="432" spans="1:39" ht="30" hidden="1" outlineLevel="1">
      <c r="A432" s="560">
        <v>7</v>
      </c>
      <c r="B432" s="448" t="s">
        <v>101</v>
      </c>
      <c r="C432" s="316" t="s">
        <v>25</v>
      </c>
      <c r="D432" s="320"/>
      <c r="E432" s="320"/>
      <c r="F432" s="320"/>
      <c r="G432" s="320"/>
      <c r="H432" s="320"/>
      <c r="I432" s="320"/>
      <c r="J432" s="320"/>
      <c r="K432" s="320"/>
      <c r="L432" s="320"/>
      <c r="M432" s="320"/>
      <c r="N432" s="320">
        <v>12</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t="15" hidden="1" outlineLevel="1">
      <c r="A433" s="560"/>
      <c r="B433" s="451" t="s">
        <v>311</v>
      </c>
      <c r="C433" s="316" t="s">
        <v>164</v>
      </c>
      <c r="D433" s="320"/>
      <c r="E433" s="320"/>
      <c r="F433" s="320"/>
      <c r="G433" s="320"/>
      <c r="H433" s="320"/>
      <c r="I433" s="320"/>
      <c r="J433" s="320"/>
      <c r="K433" s="320"/>
      <c r="L433" s="320"/>
      <c r="M433" s="320"/>
      <c r="N433" s="320">
        <f>N432</f>
        <v>12</v>
      </c>
      <c r="O433" s="320"/>
      <c r="P433" s="320"/>
      <c r="Q433" s="320"/>
      <c r="R433" s="320"/>
      <c r="S433" s="320"/>
      <c r="T433" s="320"/>
      <c r="U433" s="320"/>
      <c r="V433" s="320"/>
      <c r="W433" s="320"/>
      <c r="X433" s="320"/>
      <c r="Y433" s="431">
        <f>Y432</f>
        <v>0</v>
      </c>
      <c r="Z433" s="431">
        <f t="shared" ref="Z433" si="1234">Z432</f>
        <v>0</v>
      </c>
      <c r="AA433" s="431">
        <f t="shared" ref="AA433" si="1235">AA432</f>
        <v>0</v>
      </c>
      <c r="AB433" s="431">
        <f t="shared" ref="AB433" si="1236">AB432</f>
        <v>0</v>
      </c>
      <c r="AC433" s="431">
        <f t="shared" ref="AC433" si="1237">AC432</f>
        <v>0</v>
      </c>
      <c r="AD433" s="431">
        <f t="shared" ref="AD433" si="1238">AD432</f>
        <v>0</v>
      </c>
      <c r="AE433" s="431">
        <f t="shared" ref="AE433" si="1239">AE432</f>
        <v>0</v>
      </c>
      <c r="AF433" s="431">
        <f t="shared" ref="AF433" si="1240">AF432</f>
        <v>0</v>
      </c>
      <c r="AG433" s="431">
        <f t="shared" ref="AG433" si="1241">AG432</f>
        <v>0</v>
      </c>
      <c r="AH433" s="431">
        <f t="shared" ref="AH433" si="1242">AH432</f>
        <v>0</v>
      </c>
      <c r="AI433" s="431">
        <f t="shared" ref="AI433" si="1243">AI432</f>
        <v>0</v>
      </c>
      <c r="AJ433" s="431">
        <f t="shared" ref="AJ433" si="1244">AJ432</f>
        <v>0</v>
      </c>
      <c r="AK433" s="431">
        <f t="shared" ref="AK433" si="1245">AK432</f>
        <v>0</v>
      </c>
      <c r="AL433" s="431">
        <f t="shared" ref="AL433" si="1246">AL432</f>
        <v>0</v>
      </c>
      <c r="AM433" s="336"/>
    </row>
    <row r="434" spans="1:39" ht="15" hidden="1" outlineLevel="1">
      <c r="A434" s="560"/>
      <c r="B434" s="555"/>
      <c r="C434" s="337"/>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6"/>
      <c r="Z434" s="437"/>
      <c r="AA434" s="436"/>
      <c r="AB434" s="436"/>
      <c r="AC434" s="436"/>
      <c r="AD434" s="436"/>
      <c r="AE434" s="436"/>
      <c r="AF434" s="436"/>
      <c r="AG434" s="436"/>
      <c r="AH434" s="436"/>
      <c r="AI434" s="436"/>
      <c r="AJ434" s="436"/>
      <c r="AK434" s="436"/>
      <c r="AL434" s="436"/>
      <c r="AM434" s="338"/>
    </row>
    <row r="435" spans="1:39" ht="30" hidden="1" outlineLevel="1">
      <c r="A435" s="560">
        <v>8</v>
      </c>
      <c r="B435" s="448" t="s">
        <v>102</v>
      </c>
      <c r="C435" s="316" t="s">
        <v>25</v>
      </c>
      <c r="D435" s="320"/>
      <c r="E435" s="320"/>
      <c r="F435" s="320"/>
      <c r="G435" s="320"/>
      <c r="H435" s="320"/>
      <c r="I435" s="320"/>
      <c r="J435" s="320"/>
      <c r="K435" s="320"/>
      <c r="L435" s="320"/>
      <c r="M435" s="320"/>
      <c r="N435" s="320">
        <v>12</v>
      </c>
      <c r="O435" s="320"/>
      <c r="P435" s="320"/>
      <c r="Q435" s="320"/>
      <c r="R435" s="320"/>
      <c r="S435" s="320"/>
      <c r="T435" s="320"/>
      <c r="U435" s="320"/>
      <c r="V435" s="320"/>
      <c r="W435" s="320"/>
      <c r="X435" s="320"/>
      <c r="Y435" s="435"/>
      <c r="Z435" s="430"/>
      <c r="AA435" s="430"/>
      <c r="AB435" s="430"/>
      <c r="AC435" s="430"/>
      <c r="AD435" s="430"/>
      <c r="AE435" s="430"/>
      <c r="AF435" s="435"/>
      <c r="AG435" s="435"/>
      <c r="AH435" s="435"/>
      <c r="AI435" s="435"/>
      <c r="AJ435" s="435"/>
      <c r="AK435" s="435"/>
      <c r="AL435" s="435"/>
      <c r="AM435" s="321">
        <f>SUM(Y435:AL435)</f>
        <v>0</v>
      </c>
    </row>
    <row r="436" spans="1:39" ht="15" hidden="1" outlineLevel="1">
      <c r="A436" s="560"/>
      <c r="B436" s="451" t="s">
        <v>311</v>
      </c>
      <c r="C436" s="316" t="s">
        <v>164</v>
      </c>
      <c r="D436" s="320"/>
      <c r="E436" s="320"/>
      <c r="F436" s="320"/>
      <c r="G436" s="320"/>
      <c r="H436" s="320"/>
      <c r="I436" s="320"/>
      <c r="J436" s="320"/>
      <c r="K436" s="320"/>
      <c r="L436" s="320"/>
      <c r="M436" s="320"/>
      <c r="N436" s="320">
        <f>N435</f>
        <v>12</v>
      </c>
      <c r="O436" s="320"/>
      <c r="P436" s="320"/>
      <c r="Q436" s="320"/>
      <c r="R436" s="320"/>
      <c r="S436" s="320"/>
      <c r="T436" s="320"/>
      <c r="U436" s="320"/>
      <c r="V436" s="320"/>
      <c r="W436" s="320"/>
      <c r="X436" s="320"/>
      <c r="Y436" s="431">
        <f>Y435</f>
        <v>0</v>
      </c>
      <c r="Z436" s="431">
        <f t="shared" ref="Z436" si="1247">Z435</f>
        <v>0</v>
      </c>
      <c r="AA436" s="431">
        <f t="shared" ref="AA436" si="1248">AA435</f>
        <v>0</v>
      </c>
      <c r="AB436" s="431">
        <f t="shared" ref="AB436" si="1249">AB435</f>
        <v>0</v>
      </c>
      <c r="AC436" s="431">
        <f t="shared" ref="AC436" si="1250">AC435</f>
        <v>0</v>
      </c>
      <c r="AD436" s="431">
        <f t="shared" ref="AD436" si="1251">AD435</f>
        <v>0</v>
      </c>
      <c r="AE436" s="431">
        <f t="shared" ref="AE436" si="1252">AE435</f>
        <v>0</v>
      </c>
      <c r="AF436" s="431">
        <f t="shared" ref="AF436" si="1253">AF435</f>
        <v>0</v>
      </c>
      <c r="AG436" s="431">
        <f t="shared" ref="AG436" si="1254">AG435</f>
        <v>0</v>
      </c>
      <c r="AH436" s="431">
        <f t="shared" ref="AH436" si="1255">AH435</f>
        <v>0</v>
      </c>
      <c r="AI436" s="431">
        <f t="shared" ref="AI436" si="1256">AI435</f>
        <v>0</v>
      </c>
      <c r="AJ436" s="431">
        <f t="shared" ref="AJ436" si="1257">AJ435</f>
        <v>0</v>
      </c>
      <c r="AK436" s="431">
        <f t="shared" ref="AK436" si="1258">AK435</f>
        <v>0</v>
      </c>
      <c r="AL436" s="431">
        <f t="shared" ref="AL436" si="1259">AL435</f>
        <v>0</v>
      </c>
      <c r="AM436" s="336"/>
    </row>
    <row r="437" spans="1:39" ht="15" hidden="1" outlineLevel="1">
      <c r="A437" s="560"/>
      <c r="B437" s="555"/>
      <c r="C437" s="337"/>
      <c r="D437" s="341"/>
      <c r="E437" s="341"/>
      <c r="F437" s="341"/>
      <c r="G437" s="341"/>
      <c r="H437" s="341"/>
      <c r="I437" s="341"/>
      <c r="J437" s="341"/>
      <c r="K437" s="341"/>
      <c r="L437" s="341"/>
      <c r="M437" s="341"/>
      <c r="N437" s="316"/>
      <c r="O437" s="341"/>
      <c r="P437" s="341"/>
      <c r="Q437" s="341"/>
      <c r="R437" s="341"/>
      <c r="S437" s="341"/>
      <c r="T437" s="341"/>
      <c r="U437" s="341"/>
      <c r="V437" s="341"/>
      <c r="W437" s="341"/>
      <c r="X437" s="341"/>
      <c r="Y437" s="436"/>
      <c r="Z437" s="437"/>
      <c r="AA437" s="436"/>
      <c r="AB437" s="436"/>
      <c r="AC437" s="436"/>
      <c r="AD437" s="436"/>
      <c r="AE437" s="436"/>
      <c r="AF437" s="436"/>
      <c r="AG437" s="436"/>
      <c r="AH437" s="436"/>
      <c r="AI437" s="436"/>
      <c r="AJ437" s="436"/>
      <c r="AK437" s="436"/>
      <c r="AL437" s="436"/>
      <c r="AM437" s="338"/>
    </row>
    <row r="438" spans="1:39" ht="30" hidden="1" outlineLevel="1">
      <c r="A438" s="560">
        <v>9</v>
      </c>
      <c r="B438" s="448" t="s">
        <v>103</v>
      </c>
      <c r="C438" s="316" t="s">
        <v>25</v>
      </c>
      <c r="D438" s="320"/>
      <c r="E438" s="320"/>
      <c r="F438" s="320"/>
      <c r="G438" s="320"/>
      <c r="H438" s="320"/>
      <c r="I438" s="320"/>
      <c r="J438" s="320"/>
      <c r="K438" s="320"/>
      <c r="L438" s="320"/>
      <c r="M438" s="320"/>
      <c r="N438" s="320">
        <v>12</v>
      </c>
      <c r="O438" s="320"/>
      <c r="P438" s="320"/>
      <c r="Q438" s="320"/>
      <c r="R438" s="320"/>
      <c r="S438" s="320"/>
      <c r="T438" s="320"/>
      <c r="U438" s="320"/>
      <c r="V438" s="320"/>
      <c r="W438" s="320"/>
      <c r="X438" s="320"/>
      <c r="Y438" s="435"/>
      <c r="Z438" s="430"/>
      <c r="AA438" s="430"/>
      <c r="AB438" s="430"/>
      <c r="AC438" s="430"/>
      <c r="AD438" s="430"/>
      <c r="AE438" s="430"/>
      <c r="AF438" s="435"/>
      <c r="AG438" s="435"/>
      <c r="AH438" s="435"/>
      <c r="AI438" s="435"/>
      <c r="AJ438" s="435"/>
      <c r="AK438" s="435"/>
      <c r="AL438" s="435"/>
      <c r="AM438" s="321">
        <f>SUM(Y438:AL438)</f>
        <v>0</v>
      </c>
    </row>
    <row r="439" spans="1:39" ht="15" hidden="1" outlineLevel="1">
      <c r="A439" s="560"/>
      <c r="B439" s="451" t="s">
        <v>311</v>
      </c>
      <c r="C439" s="316" t="s">
        <v>164</v>
      </c>
      <c r="D439" s="320"/>
      <c r="E439" s="320"/>
      <c r="F439" s="320"/>
      <c r="G439" s="320"/>
      <c r="H439" s="320"/>
      <c r="I439" s="320"/>
      <c r="J439" s="320"/>
      <c r="K439" s="320"/>
      <c r="L439" s="320"/>
      <c r="M439" s="320"/>
      <c r="N439" s="320">
        <f>N438</f>
        <v>12</v>
      </c>
      <c r="O439" s="320"/>
      <c r="P439" s="320"/>
      <c r="Q439" s="320"/>
      <c r="R439" s="320"/>
      <c r="S439" s="320"/>
      <c r="T439" s="320"/>
      <c r="U439" s="320"/>
      <c r="V439" s="320"/>
      <c r="W439" s="320"/>
      <c r="X439" s="320"/>
      <c r="Y439" s="431">
        <f>Y438</f>
        <v>0</v>
      </c>
      <c r="Z439" s="431">
        <f t="shared" ref="Z439" si="1260">Z438</f>
        <v>0</v>
      </c>
      <c r="AA439" s="431">
        <f t="shared" ref="AA439" si="1261">AA438</f>
        <v>0</v>
      </c>
      <c r="AB439" s="431">
        <f t="shared" ref="AB439" si="1262">AB438</f>
        <v>0</v>
      </c>
      <c r="AC439" s="431">
        <f t="shared" ref="AC439" si="1263">AC438</f>
        <v>0</v>
      </c>
      <c r="AD439" s="431">
        <f t="shared" ref="AD439" si="1264">AD438</f>
        <v>0</v>
      </c>
      <c r="AE439" s="431">
        <f t="shared" ref="AE439" si="1265">AE438</f>
        <v>0</v>
      </c>
      <c r="AF439" s="431">
        <f t="shared" ref="AF439" si="1266">AF438</f>
        <v>0</v>
      </c>
      <c r="AG439" s="431">
        <f t="shared" ref="AG439" si="1267">AG438</f>
        <v>0</v>
      </c>
      <c r="AH439" s="431">
        <f t="shared" ref="AH439" si="1268">AH438</f>
        <v>0</v>
      </c>
      <c r="AI439" s="431">
        <f t="shared" ref="AI439" si="1269">AI438</f>
        <v>0</v>
      </c>
      <c r="AJ439" s="431">
        <f t="shared" ref="AJ439" si="1270">AJ438</f>
        <v>0</v>
      </c>
      <c r="AK439" s="431">
        <f t="shared" ref="AK439" si="1271">AK438</f>
        <v>0</v>
      </c>
      <c r="AL439" s="431">
        <f t="shared" ref="AL439" si="1272">AL438</f>
        <v>0</v>
      </c>
      <c r="AM439" s="336"/>
    </row>
    <row r="440" spans="1:39" ht="15" hidden="1" outlineLevel="1">
      <c r="A440" s="560"/>
      <c r="B440" s="555"/>
      <c r="C440" s="337"/>
      <c r="D440" s="341"/>
      <c r="E440" s="341"/>
      <c r="F440" s="341"/>
      <c r="G440" s="341"/>
      <c r="H440" s="341"/>
      <c r="I440" s="341"/>
      <c r="J440" s="341"/>
      <c r="K440" s="341"/>
      <c r="L440" s="341"/>
      <c r="M440" s="341"/>
      <c r="N440" s="316"/>
      <c r="O440" s="341"/>
      <c r="P440" s="341"/>
      <c r="Q440" s="341"/>
      <c r="R440" s="341"/>
      <c r="S440" s="341"/>
      <c r="T440" s="341"/>
      <c r="U440" s="341"/>
      <c r="V440" s="341"/>
      <c r="W440" s="341"/>
      <c r="X440" s="341"/>
      <c r="Y440" s="436"/>
      <c r="Z440" s="436"/>
      <c r="AA440" s="436"/>
      <c r="AB440" s="436"/>
      <c r="AC440" s="436"/>
      <c r="AD440" s="436"/>
      <c r="AE440" s="436"/>
      <c r="AF440" s="436"/>
      <c r="AG440" s="436"/>
      <c r="AH440" s="436"/>
      <c r="AI440" s="436"/>
      <c r="AJ440" s="436"/>
      <c r="AK440" s="436"/>
      <c r="AL440" s="436"/>
      <c r="AM440" s="338"/>
    </row>
    <row r="441" spans="1:39" ht="30" hidden="1" outlineLevel="1">
      <c r="A441" s="560">
        <v>10</v>
      </c>
      <c r="B441" s="448" t="s">
        <v>104</v>
      </c>
      <c r="C441" s="316" t="s">
        <v>25</v>
      </c>
      <c r="D441" s="320"/>
      <c r="E441" s="320"/>
      <c r="F441" s="320"/>
      <c r="G441" s="320"/>
      <c r="H441" s="320"/>
      <c r="I441" s="320"/>
      <c r="J441" s="320"/>
      <c r="K441" s="320"/>
      <c r="L441" s="320"/>
      <c r="M441" s="320"/>
      <c r="N441" s="320">
        <v>3</v>
      </c>
      <c r="O441" s="320"/>
      <c r="P441" s="320"/>
      <c r="Q441" s="320"/>
      <c r="R441" s="320"/>
      <c r="S441" s="320"/>
      <c r="T441" s="320"/>
      <c r="U441" s="320"/>
      <c r="V441" s="320"/>
      <c r="W441" s="320"/>
      <c r="X441" s="320"/>
      <c r="Y441" s="435"/>
      <c r="Z441" s="430"/>
      <c r="AA441" s="430"/>
      <c r="AB441" s="430"/>
      <c r="AC441" s="430"/>
      <c r="AD441" s="430"/>
      <c r="AE441" s="430"/>
      <c r="AF441" s="435"/>
      <c r="AG441" s="435"/>
      <c r="AH441" s="435"/>
      <c r="AI441" s="435"/>
      <c r="AJ441" s="435"/>
      <c r="AK441" s="435"/>
      <c r="AL441" s="435"/>
      <c r="AM441" s="321">
        <f>SUM(Y441:AL441)</f>
        <v>0</v>
      </c>
    </row>
    <row r="442" spans="1:39" ht="15" hidden="1" outlineLevel="1">
      <c r="A442" s="560"/>
      <c r="B442" s="451" t="s">
        <v>311</v>
      </c>
      <c r="C442" s="316" t="s">
        <v>164</v>
      </c>
      <c r="D442" s="320"/>
      <c r="E442" s="320"/>
      <c r="F442" s="320"/>
      <c r="G442" s="320"/>
      <c r="H442" s="320"/>
      <c r="I442" s="320"/>
      <c r="J442" s="320"/>
      <c r="K442" s="320"/>
      <c r="L442" s="320"/>
      <c r="M442" s="320"/>
      <c r="N442" s="320">
        <f>N441</f>
        <v>3</v>
      </c>
      <c r="O442" s="320"/>
      <c r="P442" s="320"/>
      <c r="Q442" s="320"/>
      <c r="R442" s="320"/>
      <c r="S442" s="320"/>
      <c r="T442" s="320"/>
      <c r="U442" s="320"/>
      <c r="V442" s="320"/>
      <c r="W442" s="320"/>
      <c r="X442" s="320"/>
      <c r="Y442" s="431">
        <f>Y441</f>
        <v>0</v>
      </c>
      <c r="Z442" s="431">
        <f t="shared" ref="Z442" si="1273">Z441</f>
        <v>0</v>
      </c>
      <c r="AA442" s="431">
        <f t="shared" ref="AA442" si="1274">AA441</f>
        <v>0</v>
      </c>
      <c r="AB442" s="431">
        <f t="shared" ref="AB442" si="1275">AB441</f>
        <v>0</v>
      </c>
      <c r="AC442" s="431">
        <f t="shared" ref="AC442" si="1276">AC441</f>
        <v>0</v>
      </c>
      <c r="AD442" s="431">
        <f t="shared" ref="AD442" si="1277">AD441</f>
        <v>0</v>
      </c>
      <c r="AE442" s="431">
        <f t="shared" ref="AE442" si="1278">AE441</f>
        <v>0</v>
      </c>
      <c r="AF442" s="431">
        <f t="shared" ref="AF442" si="1279">AF441</f>
        <v>0</v>
      </c>
      <c r="AG442" s="431">
        <f t="shared" ref="AG442" si="1280">AG441</f>
        <v>0</v>
      </c>
      <c r="AH442" s="431">
        <f t="shared" ref="AH442" si="1281">AH441</f>
        <v>0</v>
      </c>
      <c r="AI442" s="431">
        <f t="shared" ref="AI442" si="1282">AI441</f>
        <v>0</v>
      </c>
      <c r="AJ442" s="431">
        <f t="shared" ref="AJ442" si="1283">AJ441</f>
        <v>0</v>
      </c>
      <c r="AK442" s="431">
        <f t="shared" ref="AK442" si="1284">AK441</f>
        <v>0</v>
      </c>
      <c r="AL442" s="431">
        <f t="shared" ref="AL442" si="1285">AL441</f>
        <v>0</v>
      </c>
      <c r="AM442" s="336"/>
    </row>
    <row r="443" spans="1:39" ht="15" hidden="1" outlineLevel="1">
      <c r="A443" s="560"/>
      <c r="B443" s="555"/>
      <c r="C443" s="337"/>
      <c r="D443" s="341"/>
      <c r="E443" s="341"/>
      <c r="F443" s="341"/>
      <c r="G443" s="341"/>
      <c r="H443" s="341"/>
      <c r="I443" s="341"/>
      <c r="J443" s="341"/>
      <c r="K443" s="341"/>
      <c r="L443" s="341"/>
      <c r="M443" s="341"/>
      <c r="N443" s="316"/>
      <c r="O443" s="341"/>
      <c r="P443" s="341"/>
      <c r="Q443" s="341"/>
      <c r="R443" s="341"/>
      <c r="S443" s="341"/>
      <c r="T443" s="341"/>
      <c r="U443" s="341"/>
      <c r="V443" s="341"/>
      <c r="W443" s="341"/>
      <c r="X443" s="341"/>
      <c r="Y443" s="436"/>
      <c r="Z443" s="437"/>
      <c r="AA443" s="436"/>
      <c r="AB443" s="436"/>
      <c r="AC443" s="436"/>
      <c r="AD443" s="436"/>
      <c r="AE443" s="436"/>
      <c r="AF443" s="436"/>
      <c r="AG443" s="436"/>
      <c r="AH443" s="436"/>
      <c r="AI443" s="436"/>
      <c r="AJ443" s="436"/>
      <c r="AK443" s="436"/>
      <c r="AL443" s="436"/>
      <c r="AM443" s="338"/>
    </row>
    <row r="444" spans="1:39" ht="15.6" hidden="1" outlineLevel="1">
      <c r="A444" s="560"/>
      <c r="B444" s="533" t="s">
        <v>10</v>
      </c>
      <c r="C444" s="314"/>
      <c r="D444" s="314"/>
      <c r="E444" s="314"/>
      <c r="F444" s="314"/>
      <c r="G444" s="314"/>
      <c r="H444" s="314"/>
      <c r="I444" s="314"/>
      <c r="J444" s="314"/>
      <c r="K444" s="314"/>
      <c r="L444" s="314"/>
      <c r="M444" s="314"/>
      <c r="N444" s="315"/>
      <c r="O444" s="314"/>
      <c r="P444" s="314"/>
      <c r="Q444" s="314"/>
      <c r="R444" s="314"/>
      <c r="S444" s="314"/>
      <c r="T444" s="314"/>
      <c r="U444" s="314"/>
      <c r="V444" s="314"/>
      <c r="W444" s="314"/>
      <c r="X444" s="314"/>
      <c r="Y444" s="434"/>
      <c r="Z444" s="434"/>
      <c r="AA444" s="434"/>
      <c r="AB444" s="434"/>
      <c r="AC444" s="434"/>
      <c r="AD444" s="434"/>
      <c r="AE444" s="434"/>
      <c r="AF444" s="434"/>
      <c r="AG444" s="434"/>
      <c r="AH444" s="434"/>
      <c r="AI444" s="434"/>
      <c r="AJ444" s="434"/>
      <c r="AK444" s="434"/>
      <c r="AL444" s="434"/>
      <c r="AM444" s="317"/>
    </row>
    <row r="445" spans="1:39" ht="30" hidden="1" outlineLevel="1">
      <c r="A445" s="560">
        <v>11</v>
      </c>
      <c r="B445" s="448" t="s">
        <v>105</v>
      </c>
      <c r="C445" s="316" t="s">
        <v>25</v>
      </c>
      <c r="D445" s="320"/>
      <c r="E445" s="320"/>
      <c r="F445" s="320"/>
      <c r="G445" s="320"/>
      <c r="H445" s="320"/>
      <c r="I445" s="320"/>
      <c r="J445" s="320"/>
      <c r="K445" s="320"/>
      <c r="L445" s="320"/>
      <c r="M445" s="320"/>
      <c r="N445" s="320">
        <v>12</v>
      </c>
      <c r="O445" s="320"/>
      <c r="P445" s="320"/>
      <c r="Q445" s="320"/>
      <c r="R445" s="320"/>
      <c r="S445" s="320"/>
      <c r="T445" s="320"/>
      <c r="U445" s="320"/>
      <c r="V445" s="320"/>
      <c r="W445" s="320"/>
      <c r="X445" s="320"/>
      <c r="Y445" s="446"/>
      <c r="Z445" s="430"/>
      <c r="AA445" s="430"/>
      <c r="AB445" s="430"/>
      <c r="AC445" s="430"/>
      <c r="AD445" s="430"/>
      <c r="AE445" s="430"/>
      <c r="AF445" s="435"/>
      <c r="AG445" s="435"/>
      <c r="AH445" s="435"/>
      <c r="AI445" s="435"/>
      <c r="AJ445" s="435"/>
      <c r="AK445" s="435"/>
      <c r="AL445" s="435"/>
      <c r="AM445" s="321">
        <f>SUM(Y445:AL445)</f>
        <v>0</v>
      </c>
    </row>
    <row r="446" spans="1:39" ht="15" hidden="1" outlineLevel="1">
      <c r="A446" s="560"/>
      <c r="B446" s="451" t="s">
        <v>311</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 t="shared" ref="Z446" si="1286">Z445</f>
        <v>0</v>
      </c>
      <c r="AA446" s="431">
        <f t="shared" ref="AA446" si="1287">AA445</f>
        <v>0</v>
      </c>
      <c r="AB446" s="431">
        <f t="shared" ref="AB446" si="1288">AB445</f>
        <v>0</v>
      </c>
      <c r="AC446" s="431">
        <f t="shared" ref="AC446" si="1289">AC445</f>
        <v>0</v>
      </c>
      <c r="AD446" s="431">
        <f t="shared" ref="AD446" si="1290">AD445</f>
        <v>0</v>
      </c>
      <c r="AE446" s="431">
        <f t="shared" ref="AE446" si="1291">AE445</f>
        <v>0</v>
      </c>
      <c r="AF446" s="431">
        <f t="shared" ref="AF446" si="1292">AF445</f>
        <v>0</v>
      </c>
      <c r="AG446" s="431">
        <f t="shared" ref="AG446" si="1293">AG445</f>
        <v>0</v>
      </c>
      <c r="AH446" s="431">
        <f t="shared" ref="AH446" si="1294">AH445</f>
        <v>0</v>
      </c>
      <c r="AI446" s="431">
        <f t="shared" ref="AI446" si="1295">AI445</f>
        <v>0</v>
      </c>
      <c r="AJ446" s="431">
        <f t="shared" ref="AJ446" si="1296">AJ445</f>
        <v>0</v>
      </c>
      <c r="AK446" s="431">
        <f t="shared" ref="AK446" si="1297">AK445</f>
        <v>0</v>
      </c>
      <c r="AL446" s="431">
        <f t="shared" ref="AL446" si="1298">AL445</f>
        <v>0</v>
      </c>
      <c r="AM446" s="322"/>
    </row>
    <row r="447" spans="1:39" ht="15" hidden="1" outlineLevel="1">
      <c r="A447" s="560"/>
      <c r="B447" s="556"/>
      <c r="C447" s="330"/>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432"/>
      <c r="Z447" s="441"/>
      <c r="AA447" s="441"/>
      <c r="AB447" s="441"/>
      <c r="AC447" s="441"/>
      <c r="AD447" s="441"/>
      <c r="AE447" s="441"/>
      <c r="AF447" s="441"/>
      <c r="AG447" s="441"/>
      <c r="AH447" s="441"/>
      <c r="AI447" s="441"/>
      <c r="AJ447" s="441"/>
      <c r="AK447" s="441"/>
      <c r="AL447" s="441"/>
      <c r="AM447" s="331"/>
    </row>
    <row r="448" spans="1:39" ht="30" hidden="1" outlineLevel="1">
      <c r="A448" s="560">
        <v>12</v>
      </c>
      <c r="B448" s="448" t="s">
        <v>106</v>
      </c>
      <c r="C448" s="316" t="s">
        <v>25</v>
      </c>
      <c r="D448" s="320"/>
      <c r="E448" s="320"/>
      <c r="F448" s="320"/>
      <c r="G448" s="320"/>
      <c r="H448" s="320"/>
      <c r="I448" s="320"/>
      <c r="J448" s="320"/>
      <c r="K448" s="320"/>
      <c r="L448" s="320"/>
      <c r="M448" s="320"/>
      <c r="N448" s="320">
        <v>12</v>
      </c>
      <c r="O448" s="320"/>
      <c r="P448" s="320"/>
      <c r="Q448" s="320"/>
      <c r="R448" s="320"/>
      <c r="S448" s="320"/>
      <c r="T448" s="320"/>
      <c r="U448" s="320"/>
      <c r="V448" s="320"/>
      <c r="W448" s="320"/>
      <c r="X448" s="320"/>
      <c r="Y448" s="430"/>
      <c r="Z448" s="430"/>
      <c r="AA448" s="430"/>
      <c r="AB448" s="430"/>
      <c r="AC448" s="430"/>
      <c r="AD448" s="430"/>
      <c r="AE448" s="430"/>
      <c r="AF448" s="435"/>
      <c r="AG448" s="435"/>
      <c r="AH448" s="435"/>
      <c r="AI448" s="435"/>
      <c r="AJ448" s="435"/>
      <c r="AK448" s="435"/>
      <c r="AL448" s="435"/>
      <c r="AM448" s="321">
        <f>SUM(Y448:AL448)</f>
        <v>0</v>
      </c>
    </row>
    <row r="449" spans="1:39" ht="15" hidden="1" outlineLevel="1">
      <c r="A449" s="560"/>
      <c r="B449" s="451" t="s">
        <v>311</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 t="shared" ref="Z449" si="1299">Z448</f>
        <v>0</v>
      </c>
      <c r="AA449" s="431">
        <f t="shared" ref="AA449" si="1300">AA448</f>
        <v>0</v>
      </c>
      <c r="AB449" s="431">
        <f t="shared" ref="AB449" si="1301">AB448</f>
        <v>0</v>
      </c>
      <c r="AC449" s="431">
        <f t="shared" ref="AC449" si="1302">AC448</f>
        <v>0</v>
      </c>
      <c r="AD449" s="431">
        <f t="shared" ref="AD449" si="1303">AD448</f>
        <v>0</v>
      </c>
      <c r="AE449" s="431">
        <f t="shared" ref="AE449" si="1304">AE448</f>
        <v>0</v>
      </c>
      <c r="AF449" s="431">
        <f t="shared" ref="AF449" si="1305">AF448</f>
        <v>0</v>
      </c>
      <c r="AG449" s="431">
        <f t="shared" ref="AG449" si="1306">AG448</f>
        <v>0</v>
      </c>
      <c r="AH449" s="431">
        <f t="shared" ref="AH449" si="1307">AH448</f>
        <v>0</v>
      </c>
      <c r="AI449" s="431">
        <f t="shared" ref="AI449" si="1308">AI448</f>
        <v>0</v>
      </c>
      <c r="AJ449" s="431">
        <f t="shared" ref="AJ449" si="1309">AJ448</f>
        <v>0</v>
      </c>
      <c r="AK449" s="431">
        <f t="shared" ref="AK449" si="1310">AK448</f>
        <v>0</v>
      </c>
      <c r="AL449" s="431">
        <f t="shared" ref="AL449" si="1311">AL448</f>
        <v>0</v>
      </c>
      <c r="AM449" s="322"/>
    </row>
    <row r="450" spans="1:39" ht="15" hidden="1" outlineLevel="1">
      <c r="A450" s="560"/>
      <c r="B450" s="556"/>
      <c r="C450" s="330"/>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442"/>
      <c r="Z450" s="442"/>
      <c r="AA450" s="432"/>
      <c r="AB450" s="432"/>
      <c r="AC450" s="432"/>
      <c r="AD450" s="432"/>
      <c r="AE450" s="432"/>
      <c r="AF450" s="432"/>
      <c r="AG450" s="432"/>
      <c r="AH450" s="432"/>
      <c r="AI450" s="432"/>
      <c r="AJ450" s="432"/>
      <c r="AK450" s="432"/>
      <c r="AL450" s="432"/>
      <c r="AM450" s="331"/>
    </row>
    <row r="451" spans="1:39" ht="30" hidden="1" outlineLevel="1">
      <c r="A451" s="560">
        <v>13</v>
      </c>
      <c r="B451" s="448" t="s">
        <v>107</v>
      </c>
      <c r="C451" s="316" t="s">
        <v>25</v>
      </c>
      <c r="D451" s="320"/>
      <c r="E451" s="320"/>
      <c r="F451" s="320"/>
      <c r="G451" s="320"/>
      <c r="H451" s="320"/>
      <c r="I451" s="320"/>
      <c r="J451" s="320"/>
      <c r="K451" s="320"/>
      <c r="L451" s="320"/>
      <c r="M451" s="320"/>
      <c r="N451" s="320">
        <v>12</v>
      </c>
      <c r="O451" s="320"/>
      <c r="P451" s="320"/>
      <c r="Q451" s="320"/>
      <c r="R451" s="320"/>
      <c r="S451" s="320"/>
      <c r="T451" s="320"/>
      <c r="U451" s="320"/>
      <c r="V451" s="320"/>
      <c r="W451" s="320"/>
      <c r="X451" s="320"/>
      <c r="Y451" s="430"/>
      <c r="Z451" s="430"/>
      <c r="AA451" s="430"/>
      <c r="AB451" s="430"/>
      <c r="AC451" s="430"/>
      <c r="AD451" s="430"/>
      <c r="AE451" s="430"/>
      <c r="AF451" s="435"/>
      <c r="AG451" s="435"/>
      <c r="AH451" s="435"/>
      <c r="AI451" s="435"/>
      <c r="AJ451" s="435"/>
      <c r="AK451" s="435"/>
      <c r="AL451" s="435"/>
      <c r="AM451" s="321">
        <f>SUM(Y451:AL451)</f>
        <v>0</v>
      </c>
    </row>
    <row r="452" spans="1:39" ht="15" hidden="1" outlineLevel="1">
      <c r="A452" s="560"/>
      <c r="B452" s="451" t="s">
        <v>311</v>
      </c>
      <c r="C452" s="316" t="s">
        <v>164</v>
      </c>
      <c r="D452" s="320"/>
      <c r="E452" s="320"/>
      <c r="F452" s="320"/>
      <c r="G452" s="320"/>
      <c r="H452" s="320"/>
      <c r="I452" s="320"/>
      <c r="J452" s="320"/>
      <c r="K452" s="320"/>
      <c r="L452" s="320"/>
      <c r="M452" s="320"/>
      <c r="N452" s="320">
        <f>N451</f>
        <v>12</v>
      </c>
      <c r="O452" s="320"/>
      <c r="P452" s="320"/>
      <c r="Q452" s="320"/>
      <c r="R452" s="320"/>
      <c r="S452" s="320"/>
      <c r="T452" s="320"/>
      <c r="U452" s="320"/>
      <c r="V452" s="320"/>
      <c r="W452" s="320"/>
      <c r="X452" s="320"/>
      <c r="Y452" s="431">
        <f>Y451</f>
        <v>0</v>
      </c>
      <c r="Z452" s="431">
        <f t="shared" ref="Z452" si="1312">Z451</f>
        <v>0</v>
      </c>
      <c r="AA452" s="431">
        <f t="shared" ref="AA452" si="1313">AA451</f>
        <v>0</v>
      </c>
      <c r="AB452" s="431">
        <f t="shared" ref="AB452" si="1314">AB451</f>
        <v>0</v>
      </c>
      <c r="AC452" s="431">
        <f t="shared" ref="AC452" si="1315">AC451</f>
        <v>0</v>
      </c>
      <c r="AD452" s="431">
        <f t="shared" ref="AD452" si="1316">AD451</f>
        <v>0</v>
      </c>
      <c r="AE452" s="431">
        <f t="shared" ref="AE452" si="1317">AE451</f>
        <v>0</v>
      </c>
      <c r="AF452" s="431">
        <f t="shared" ref="AF452" si="1318">AF451</f>
        <v>0</v>
      </c>
      <c r="AG452" s="431">
        <f t="shared" ref="AG452" si="1319">AG451</f>
        <v>0</v>
      </c>
      <c r="AH452" s="431">
        <f t="shared" ref="AH452" si="1320">AH451</f>
        <v>0</v>
      </c>
      <c r="AI452" s="431">
        <f t="shared" ref="AI452" si="1321">AI451</f>
        <v>0</v>
      </c>
      <c r="AJ452" s="431">
        <f t="shared" ref="AJ452" si="1322">AJ451</f>
        <v>0</v>
      </c>
      <c r="AK452" s="431">
        <f t="shared" ref="AK452" si="1323">AK451</f>
        <v>0</v>
      </c>
      <c r="AL452" s="431">
        <f t="shared" ref="AL452" si="1324">AL451</f>
        <v>0</v>
      </c>
      <c r="AM452" s="331"/>
    </row>
    <row r="453" spans="1:39" ht="15" hidden="1" outlineLevel="1">
      <c r="A453" s="560"/>
      <c r="B453" s="556"/>
      <c r="C453" s="330"/>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432"/>
      <c r="Z453" s="432"/>
      <c r="AA453" s="432"/>
      <c r="AB453" s="432"/>
      <c r="AC453" s="432"/>
      <c r="AD453" s="432"/>
      <c r="AE453" s="432"/>
      <c r="AF453" s="432"/>
      <c r="AG453" s="432"/>
      <c r="AH453" s="432"/>
      <c r="AI453" s="432"/>
      <c r="AJ453" s="432"/>
      <c r="AK453" s="432"/>
      <c r="AL453" s="432"/>
      <c r="AM453" s="331"/>
    </row>
    <row r="454" spans="1:39" ht="15.6" hidden="1" outlineLevel="1">
      <c r="A454" s="560"/>
      <c r="B454" s="533" t="s">
        <v>108</v>
      </c>
      <c r="C454" s="314"/>
      <c r="D454" s="315"/>
      <c r="E454" s="315"/>
      <c r="F454" s="315"/>
      <c r="G454" s="315"/>
      <c r="H454" s="315"/>
      <c r="I454" s="315"/>
      <c r="J454" s="315"/>
      <c r="K454" s="315"/>
      <c r="L454" s="315"/>
      <c r="M454" s="315"/>
      <c r="N454" s="315"/>
      <c r="O454" s="315"/>
      <c r="P454" s="314"/>
      <c r="Q454" s="314"/>
      <c r="R454" s="314"/>
      <c r="S454" s="314"/>
      <c r="T454" s="314"/>
      <c r="U454" s="314"/>
      <c r="V454" s="314"/>
      <c r="W454" s="314"/>
      <c r="X454" s="314"/>
      <c r="Y454" s="434"/>
      <c r="Z454" s="434"/>
      <c r="AA454" s="434"/>
      <c r="AB454" s="434"/>
      <c r="AC454" s="434"/>
      <c r="AD454" s="434"/>
      <c r="AE454" s="434"/>
      <c r="AF454" s="434"/>
      <c r="AG454" s="434"/>
      <c r="AH454" s="434"/>
      <c r="AI454" s="434"/>
      <c r="AJ454" s="434"/>
      <c r="AK454" s="434"/>
      <c r="AL454" s="434"/>
      <c r="AM454" s="317"/>
    </row>
    <row r="455" spans="1:39" ht="15" hidden="1" outlineLevel="1">
      <c r="A455" s="560">
        <v>14</v>
      </c>
      <c r="B455" s="556" t="s">
        <v>109</v>
      </c>
      <c r="C455" s="316" t="s">
        <v>25</v>
      </c>
      <c r="D455" s="320"/>
      <c r="E455" s="320"/>
      <c r="F455" s="320"/>
      <c r="G455" s="320"/>
      <c r="H455" s="320"/>
      <c r="I455" s="320"/>
      <c r="J455" s="320"/>
      <c r="K455" s="320"/>
      <c r="L455" s="320"/>
      <c r="M455" s="320"/>
      <c r="N455" s="320">
        <v>12</v>
      </c>
      <c r="O455" s="320"/>
      <c r="P455" s="320"/>
      <c r="Q455" s="320"/>
      <c r="R455" s="320"/>
      <c r="S455" s="320"/>
      <c r="T455" s="320"/>
      <c r="U455" s="320"/>
      <c r="V455" s="320"/>
      <c r="W455" s="320"/>
      <c r="X455" s="320"/>
      <c r="Y455" s="430"/>
      <c r="Z455" s="430"/>
      <c r="AA455" s="430"/>
      <c r="AB455" s="430"/>
      <c r="AC455" s="430"/>
      <c r="AD455" s="430"/>
      <c r="AE455" s="430"/>
      <c r="AF455" s="430"/>
      <c r="AG455" s="430"/>
      <c r="AH455" s="430"/>
      <c r="AI455" s="430"/>
      <c r="AJ455" s="430"/>
      <c r="AK455" s="430"/>
      <c r="AL455" s="430"/>
      <c r="AM455" s="321">
        <f>SUM(Y455:AL455)</f>
        <v>0</v>
      </c>
    </row>
    <row r="456" spans="1:39" ht="15" hidden="1" outlineLevel="1">
      <c r="A456" s="560"/>
      <c r="B456" s="451" t="s">
        <v>311</v>
      </c>
      <c r="C456" s="316" t="s">
        <v>164</v>
      </c>
      <c r="D456" s="320"/>
      <c r="E456" s="320"/>
      <c r="F456" s="320"/>
      <c r="G456" s="320"/>
      <c r="H456" s="320"/>
      <c r="I456" s="320"/>
      <c r="J456" s="320"/>
      <c r="K456" s="320"/>
      <c r="L456" s="320"/>
      <c r="M456" s="320"/>
      <c r="N456" s="320">
        <f>N455</f>
        <v>12</v>
      </c>
      <c r="O456" s="320"/>
      <c r="P456" s="320"/>
      <c r="Q456" s="320"/>
      <c r="R456" s="320"/>
      <c r="S456" s="320"/>
      <c r="T456" s="320"/>
      <c r="U456" s="320"/>
      <c r="V456" s="320"/>
      <c r="W456" s="320"/>
      <c r="X456" s="320"/>
      <c r="Y456" s="431">
        <f>Y455</f>
        <v>0</v>
      </c>
      <c r="Z456" s="431">
        <f t="shared" ref="Z456" si="1325">Z455</f>
        <v>0</v>
      </c>
      <c r="AA456" s="431">
        <f t="shared" ref="AA456" si="1326">AA455</f>
        <v>0</v>
      </c>
      <c r="AB456" s="431">
        <f t="shared" ref="AB456" si="1327">AB455</f>
        <v>0</v>
      </c>
      <c r="AC456" s="431">
        <f t="shared" ref="AC456" si="1328">AC455</f>
        <v>0</v>
      </c>
      <c r="AD456" s="431">
        <f t="shared" ref="AD456" si="1329">AD455</f>
        <v>0</v>
      </c>
      <c r="AE456" s="431">
        <f t="shared" ref="AE456" si="1330">AE455</f>
        <v>0</v>
      </c>
      <c r="AF456" s="431">
        <f t="shared" ref="AF456" si="1331">AF455</f>
        <v>0</v>
      </c>
      <c r="AG456" s="431">
        <f t="shared" ref="AG456" si="1332">AG455</f>
        <v>0</v>
      </c>
      <c r="AH456" s="431">
        <f t="shared" ref="AH456" si="1333">AH455</f>
        <v>0</v>
      </c>
      <c r="AI456" s="431">
        <f t="shared" ref="AI456" si="1334">AI455</f>
        <v>0</v>
      </c>
      <c r="AJ456" s="431">
        <f t="shared" ref="AJ456" si="1335">AJ455</f>
        <v>0</v>
      </c>
      <c r="AK456" s="431">
        <f t="shared" ref="AK456" si="1336">AK455</f>
        <v>0</v>
      </c>
      <c r="AL456" s="431">
        <f t="shared" ref="AL456" si="1337">AL455</f>
        <v>0</v>
      </c>
      <c r="AM456" s="322"/>
    </row>
    <row r="457" spans="1:39" ht="15" hidden="1" outlineLevel="1">
      <c r="A457" s="560"/>
      <c r="B457" s="556"/>
      <c r="C457" s="330"/>
      <c r="D457" s="316"/>
      <c r="E457" s="316"/>
      <c r="F457" s="316"/>
      <c r="G457" s="316"/>
      <c r="H457" s="316"/>
      <c r="I457" s="316"/>
      <c r="J457" s="316"/>
      <c r="K457" s="316"/>
      <c r="L457" s="316"/>
      <c r="M457" s="316"/>
      <c r="N457" s="488"/>
      <c r="O457" s="316"/>
      <c r="P457" s="316"/>
      <c r="Q457" s="316"/>
      <c r="R457" s="316"/>
      <c r="S457" s="316"/>
      <c r="T457" s="316"/>
      <c r="U457" s="316"/>
      <c r="V457" s="316"/>
      <c r="W457" s="316"/>
      <c r="X457" s="316"/>
      <c r="Y457" s="432"/>
      <c r="Z457" s="432"/>
      <c r="AA457" s="432"/>
      <c r="AB457" s="432"/>
      <c r="AC457" s="432"/>
      <c r="AD457" s="432"/>
      <c r="AE457" s="432"/>
      <c r="AF457" s="432"/>
      <c r="AG457" s="432"/>
      <c r="AH457" s="432"/>
      <c r="AI457" s="432"/>
      <c r="AJ457" s="432"/>
      <c r="AK457" s="432"/>
      <c r="AL457" s="432"/>
      <c r="AM457" s="331"/>
    </row>
    <row r="458" spans="1:39" s="334" customFormat="1" ht="15.6" hidden="1" outlineLevel="1">
      <c r="A458" s="560"/>
      <c r="B458" s="533" t="s">
        <v>504</v>
      </c>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432"/>
      <c r="Z458" s="432"/>
      <c r="AA458" s="432"/>
      <c r="AB458" s="432"/>
      <c r="AC458" s="432"/>
      <c r="AD458" s="432"/>
      <c r="AE458" s="436"/>
      <c r="AF458" s="436"/>
      <c r="AG458" s="436"/>
      <c r="AH458" s="436"/>
      <c r="AI458" s="436"/>
      <c r="AJ458" s="436"/>
      <c r="AK458" s="436"/>
      <c r="AL458" s="436"/>
      <c r="AM458" s="546"/>
    </row>
    <row r="459" spans="1:39" ht="15" hidden="1" outlineLevel="1">
      <c r="A459" s="560">
        <v>15</v>
      </c>
      <c r="B459" s="451" t="s">
        <v>509</v>
      </c>
      <c r="C459" s="316" t="s">
        <v>25</v>
      </c>
      <c r="D459" s="320"/>
      <c r="E459" s="320"/>
      <c r="F459" s="320"/>
      <c r="G459" s="320"/>
      <c r="H459" s="320"/>
      <c r="I459" s="320"/>
      <c r="J459" s="320"/>
      <c r="K459" s="320"/>
      <c r="L459" s="320"/>
      <c r="M459" s="320"/>
      <c r="N459" s="320">
        <v>0</v>
      </c>
      <c r="O459" s="320"/>
      <c r="P459" s="320"/>
      <c r="Q459" s="320"/>
      <c r="R459" s="320"/>
      <c r="S459" s="320"/>
      <c r="T459" s="320"/>
      <c r="U459" s="320"/>
      <c r="V459" s="320"/>
      <c r="W459" s="320"/>
      <c r="X459" s="320"/>
      <c r="Y459" s="430"/>
      <c r="Z459" s="430"/>
      <c r="AA459" s="430"/>
      <c r="AB459" s="430"/>
      <c r="AC459" s="430"/>
      <c r="AD459" s="430"/>
      <c r="AE459" s="430"/>
      <c r="AF459" s="430"/>
      <c r="AG459" s="430"/>
      <c r="AH459" s="430"/>
      <c r="AI459" s="430"/>
      <c r="AJ459" s="430"/>
      <c r="AK459" s="430"/>
      <c r="AL459" s="430"/>
      <c r="AM459" s="321">
        <f>SUM(Y459:AL459)</f>
        <v>0</v>
      </c>
    </row>
    <row r="460" spans="1:39" ht="15" hidden="1" outlineLevel="1">
      <c r="A460" s="560"/>
      <c r="B460" s="451" t="s">
        <v>311</v>
      </c>
      <c r="C460" s="316" t="s">
        <v>164</v>
      </c>
      <c r="D460" s="320"/>
      <c r="E460" s="320"/>
      <c r="F460" s="320"/>
      <c r="G460" s="320"/>
      <c r="H460" s="320"/>
      <c r="I460" s="320"/>
      <c r="J460" s="320"/>
      <c r="K460" s="320"/>
      <c r="L460" s="320"/>
      <c r="M460" s="320"/>
      <c r="N460" s="320">
        <f>N459</f>
        <v>0</v>
      </c>
      <c r="O460" s="320"/>
      <c r="P460" s="320"/>
      <c r="Q460" s="320"/>
      <c r="R460" s="320"/>
      <c r="S460" s="320"/>
      <c r="T460" s="320"/>
      <c r="U460" s="320"/>
      <c r="V460" s="320"/>
      <c r="W460" s="320"/>
      <c r="X460" s="320"/>
      <c r="Y460" s="431">
        <f>Y459</f>
        <v>0</v>
      </c>
      <c r="Z460" s="431">
        <f t="shared" ref="Z460:AL460" si="1338">Z459</f>
        <v>0</v>
      </c>
      <c r="AA460" s="431">
        <f t="shared" si="1338"/>
        <v>0</v>
      </c>
      <c r="AB460" s="431">
        <f t="shared" si="1338"/>
        <v>0</v>
      </c>
      <c r="AC460" s="431">
        <f t="shared" si="1338"/>
        <v>0</v>
      </c>
      <c r="AD460" s="431">
        <f t="shared" si="1338"/>
        <v>0</v>
      </c>
      <c r="AE460" s="431">
        <f t="shared" si="1338"/>
        <v>0</v>
      </c>
      <c r="AF460" s="431">
        <f t="shared" si="1338"/>
        <v>0</v>
      </c>
      <c r="AG460" s="431">
        <f t="shared" si="1338"/>
        <v>0</v>
      </c>
      <c r="AH460" s="431">
        <f t="shared" si="1338"/>
        <v>0</v>
      </c>
      <c r="AI460" s="431">
        <f t="shared" si="1338"/>
        <v>0</v>
      </c>
      <c r="AJ460" s="431">
        <f t="shared" si="1338"/>
        <v>0</v>
      </c>
      <c r="AK460" s="431">
        <f t="shared" si="1338"/>
        <v>0</v>
      </c>
      <c r="AL460" s="431">
        <f t="shared" si="1338"/>
        <v>0</v>
      </c>
      <c r="AM460" s="322"/>
    </row>
    <row r="461" spans="1:39" ht="15" hidden="1" outlineLevel="1">
      <c r="A461" s="560"/>
      <c r="B461" s="556"/>
      <c r="C461" s="330"/>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432"/>
      <c r="Z461" s="432"/>
      <c r="AA461" s="432"/>
      <c r="AB461" s="432"/>
      <c r="AC461" s="432"/>
      <c r="AD461" s="432"/>
      <c r="AE461" s="432"/>
      <c r="AF461" s="432"/>
      <c r="AG461" s="432"/>
      <c r="AH461" s="432"/>
      <c r="AI461" s="432"/>
      <c r="AJ461" s="432"/>
      <c r="AK461" s="432"/>
      <c r="AL461" s="432"/>
      <c r="AM461" s="331"/>
    </row>
    <row r="462" spans="1:39" s="308" customFormat="1" ht="15" hidden="1" outlineLevel="1">
      <c r="A462" s="560">
        <v>16</v>
      </c>
      <c r="B462" s="557" t="s">
        <v>505</v>
      </c>
      <c r="C462" s="316" t="s">
        <v>25</v>
      </c>
      <c r="D462" s="320"/>
      <c r="E462" s="320"/>
      <c r="F462" s="320"/>
      <c r="G462" s="320"/>
      <c r="H462" s="320"/>
      <c r="I462" s="320"/>
      <c r="J462" s="320"/>
      <c r="K462" s="320"/>
      <c r="L462" s="320"/>
      <c r="M462" s="320"/>
      <c r="N462" s="320">
        <v>0</v>
      </c>
      <c r="O462" s="320"/>
      <c r="P462" s="320"/>
      <c r="Q462" s="320"/>
      <c r="R462" s="320"/>
      <c r="S462" s="320"/>
      <c r="T462" s="320"/>
      <c r="U462" s="320"/>
      <c r="V462" s="320"/>
      <c r="W462" s="320"/>
      <c r="X462" s="320"/>
      <c r="Y462" s="430"/>
      <c r="Z462" s="430"/>
      <c r="AA462" s="430"/>
      <c r="AB462" s="430"/>
      <c r="AC462" s="430"/>
      <c r="AD462" s="430"/>
      <c r="AE462" s="430"/>
      <c r="AF462" s="430"/>
      <c r="AG462" s="430"/>
      <c r="AH462" s="430"/>
      <c r="AI462" s="430"/>
      <c r="AJ462" s="430"/>
      <c r="AK462" s="430"/>
      <c r="AL462" s="430"/>
      <c r="AM462" s="321">
        <f>SUM(Y462:AL462)</f>
        <v>0</v>
      </c>
    </row>
    <row r="463" spans="1:39" s="308" customFormat="1" ht="15" hidden="1" outlineLevel="1">
      <c r="A463" s="560"/>
      <c r="B463" s="557" t="s">
        <v>311</v>
      </c>
      <c r="C463" s="316" t="s">
        <v>164</v>
      </c>
      <c r="D463" s="320"/>
      <c r="E463" s="320"/>
      <c r="F463" s="320"/>
      <c r="G463" s="320"/>
      <c r="H463" s="320"/>
      <c r="I463" s="320"/>
      <c r="J463" s="320"/>
      <c r="K463" s="320"/>
      <c r="L463" s="320"/>
      <c r="M463" s="320"/>
      <c r="N463" s="320">
        <f>N462</f>
        <v>0</v>
      </c>
      <c r="O463" s="320"/>
      <c r="P463" s="320"/>
      <c r="Q463" s="320"/>
      <c r="R463" s="320"/>
      <c r="S463" s="320"/>
      <c r="T463" s="320"/>
      <c r="U463" s="320"/>
      <c r="V463" s="320"/>
      <c r="W463" s="320"/>
      <c r="X463" s="320"/>
      <c r="Y463" s="431">
        <f>Y462</f>
        <v>0</v>
      </c>
      <c r="Z463" s="431">
        <f t="shared" ref="Z463:AL463" si="1339">Z462</f>
        <v>0</v>
      </c>
      <c r="AA463" s="431">
        <f t="shared" si="1339"/>
        <v>0</v>
      </c>
      <c r="AB463" s="431">
        <f t="shared" si="1339"/>
        <v>0</v>
      </c>
      <c r="AC463" s="431">
        <f t="shared" si="1339"/>
        <v>0</v>
      </c>
      <c r="AD463" s="431">
        <f t="shared" si="1339"/>
        <v>0</v>
      </c>
      <c r="AE463" s="431">
        <f t="shared" si="1339"/>
        <v>0</v>
      </c>
      <c r="AF463" s="431">
        <f t="shared" si="1339"/>
        <v>0</v>
      </c>
      <c r="AG463" s="431">
        <f t="shared" si="1339"/>
        <v>0</v>
      </c>
      <c r="AH463" s="431">
        <f t="shared" si="1339"/>
        <v>0</v>
      </c>
      <c r="AI463" s="431">
        <f t="shared" si="1339"/>
        <v>0</v>
      </c>
      <c r="AJ463" s="431">
        <f t="shared" si="1339"/>
        <v>0</v>
      </c>
      <c r="AK463" s="431">
        <f t="shared" si="1339"/>
        <v>0</v>
      </c>
      <c r="AL463" s="431">
        <f t="shared" si="1339"/>
        <v>0</v>
      </c>
      <c r="AM463" s="322"/>
    </row>
    <row r="464" spans="1:39" s="308" customFormat="1" ht="15" hidden="1" outlineLevel="1">
      <c r="A464" s="560"/>
      <c r="B464" s="557"/>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432"/>
      <c r="Z464" s="432"/>
      <c r="AA464" s="432"/>
      <c r="AB464" s="432"/>
      <c r="AC464" s="432"/>
      <c r="AD464" s="432"/>
      <c r="AE464" s="436"/>
      <c r="AF464" s="436"/>
      <c r="AG464" s="436"/>
      <c r="AH464" s="436"/>
      <c r="AI464" s="436"/>
      <c r="AJ464" s="436"/>
      <c r="AK464" s="436"/>
      <c r="AL464" s="436"/>
      <c r="AM464" s="338"/>
    </row>
    <row r="465" spans="1:39" ht="15.6" hidden="1" outlineLevel="1">
      <c r="A465" s="560"/>
      <c r="B465" s="558" t="s">
        <v>510</v>
      </c>
      <c r="C465" s="345"/>
      <c r="D465" s="315"/>
      <c r="E465" s="314"/>
      <c r="F465" s="314"/>
      <c r="G465" s="314"/>
      <c r="H465" s="314"/>
      <c r="I465" s="314"/>
      <c r="J465" s="314"/>
      <c r="K465" s="314"/>
      <c r="L465" s="314"/>
      <c r="M465" s="314"/>
      <c r="N465" s="315"/>
      <c r="O465" s="314"/>
      <c r="P465" s="314"/>
      <c r="Q465" s="314"/>
      <c r="R465" s="314"/>
      <c r="S465" s="314"/>
      <c r="T465" s="314"/>
      <c r="U465" s="314"/>
      <c r="V465" s="314"/>
      <c r="W465" s="314"/>
      <c r="X465" s="314"/>
      <c r="Y465" s="434"/>
      <c r="Z465" s="434"/>
      <c r="AA465" s="434"/>
      <c r="AB465" s="434"/>
      <c r="AC465" s="434"/>
      <c r="AD465" s="434"/>
      <c r="AE465" s="434"/>
      <c r="AF465" s="434"/>
      <c r="AG465" s="434"/>
      <c r="AH465" s="434"/>
      <c r="AI465" s="434"/>
      <c r="AJ465" s="434"/>
      <c r="AK465" s="434"/>
      <c r="AL465" s="434"/>
      <c r="AM465" s="317"/>
    </row>
    <row r="466" spans="1:39" ht="15" hidden="1" outlineLevel="1">
      <c r="A466" s="560">
        <v>17</v>
      </c>
      <c r="B466" s="448" t="s">
        <v>113</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t="15"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Y466</f>
        <v>0</v>
      </c>
      <c r="Z467" s="431">
        <f t="shared" ref="Z467:AL467" si="1340">Z466</f>
        <v>0</v>
      </c>
      <c r="AA467" s="431">
        <f t="shared" si="1340"/>
        <v>0</v>
      </c>
      <c r="AB467" s="431">
        <f t="shared" si="1340"/>
        <v>0</v>
      </c>
      <c r="AC467" s="431">
        <f t="shared" si="1340"/>
        <v>0</v>
      </c>
      <c r="AD467" s="431">
        <f t="shared" si="1340"/>
        <v>0</v>
      </c>
      <c r="AE467" s="431">
        <f t="shared" si="1340"/>
        <v>0</v>
      </c>
      <c r="AF467" s="431">
        <f t="shared" si="1340"/>
        <v>0</v>
      </c>
      <c r="AG467" s="431">
        <f t="shared" si="1340"/>
        <v>0</v>
      </c>
      <c r="AH467" s="431">
        <f t="shared" si="1340"/>
        <v>0</v>
      </c>
      <c r="AI467" s="431">
        <f t="shared" si="1340"/>
        <v>0</v>
      </c>
      <c r="AJ467" s="431">
        <f t="shared" si="1340"/>
        <v>0</v>
      </c>
      <c r="AK467" s="431">
        <f t="shared" si="1340"/>
        <v>0</v>
      </c>
      <c r="AL467" s="431">
        <f t="shared" si="1340"/>
        <v>0</v>
      </c>
      <c r="AM467" s="331"/>
    </row>
    <row r="468" spans="1:39" ht="15" hidden="1" outlineLevel="1">
      <c r="A468" s="560"/>
      <c r="B468" s="451"/>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442"/>
      <c r="Z468" s="445"/>
      <c r="AA468" s="445"/>
      <c r="AB468" s="445"/>
      <c r="AC468" s="445"/>
      <c r="AD468" s="445"/>
      <c r="AE468" s="445"/>
      <c r="AF468" s="445"/>
      <c r="AG468" s="445"/>
      <c r="AH468" s="445"/>
      <c r="AI468" s="445"/>
      <c r="AJ468" s="445"/>
      <c r="AK468" s="445"/>
      <c r="AL468" s="445"/>
      <c r="AM468" s="331"/>
    </row>
    <row r="469" spans="1:39" ht="15" hidden="1" outlineLevel="1">
      <c r="A469" s="560">
        <v>18</v>
      </c>
      <c r="B469" s="448" t="s">
        <v>110</v>
      </c>
      <c r="C469" s="316" t="s">
        <v>25</v>
      </c>
      <c r="D469" s="320"/>
      <c r="E469" s="320"/>
      <c r="F469" s="320"/>
      <c r="G469" s="320"/>
      <c r="H469" s="320"/>
      <c r="I469" s="320"/>
      <c r="J469" s="320"/>
      <c r="K469" s="320"/>
      <c r="L469" s="320"/>
      <c r="M469" s="320"/>
      <c r="N469" s="320">
        <v>0</v>
      </c>
      <c r="O469" s="320"/>
      <c r="P469" s="320"/>
      <c r="Q469" s="320"/>
      <c r="R469" s="320"/>
      <c r="S469" s="320"/>
      <c r="T469" s="320"/>
      <c r="U469" s="320"/>
      <c r="V469" s="320"/>
      <c r="W469" s="320"/>
      <c r="X469" s="320"/>
      <c r="Y469" s="446"/>
      <c r="Z469" s="430"/>
      <c r="AA469" s="430"/>
      <c r="AB469" s="430"/>
      <c r="AC469" s="430"/>
      <c r="AD469" s="430"/>
      <c r="AE469" s="430"/>
      <c r="AF469" s="435"/>
      <c r="AG469" s="435"/>
      <c r="AH469" s="435"/>
      <c r="AI469" s="435"/>
      <c r="AJ469" s="435"/>
      <c r="AK469" s="435"/>
      <c r="AL469" s="435"/>
      <c r="AM469" s="321">
        <f>SUM(Y469:AL469)</f>
        <v>0</v>
      </c>
    </row>
    <row r="470" spans="1:39" ht="15" hidden="1" outlineLevel="1">
      <c r="A470" s="560"/>
      <c r="B470" s="451" t="s">
        <v>311</v>
      </c>
      <c r="C470" s="316" t="s">
        <v>164</v>
      </c>
      <c r="D470" s="320"/>
      <c r="E470" s="320"/>
      <c r="F470" s="320"/>
      <c r="G470" s="320"/>
      <c r="H470" s="320"/>
      <c r="I470" s="320"/>
      <c r="J470" s="320"/>
      <c r="K470" s="320"/>
      <c r="L470" s="320"/>
      <c r="M470" s="320"/>
      <c r="N470" s="320">
        <f>N469</f>
        <v>0</v>
      </c>
      <c r="O470" s="320"/>
      <c r="P470" s="320"/>
      <c r="Q470" s="320"/>
      <c r="R470" s="320"/>
      <c r="S470" s="320"/>
      <c r="T470" s="320"/>
      <c r="U470" s="320"/>
      <c r="V470" s="320"/>
      <c r="W470" s="320"/>
      <c r="X470" s="320"/>
      <c r="Y470" s="431">
        <f>Y469</f>
        <v>0</v>
      </c>
      <c r="Z470" s="431">
        <f t="shared" ref="Z470:AL470" si="1341">Z469</f>
        <v>0</v>
      </c>
      <c r="AA470" s="431">
        <f t="shared" si="1341"/>
        <v>0</v>
      </c>
      <c r="AB470" s="431">
        <f t="shared" si="1341"/>
        <v>0</v>
      </c>
      <c r="AC470" s="431">
        <f t="shared" si="1341"/>
        <v>0</v>
      </c>
      <c r="AD470" s="431">
        <f t="shared" si="1341"/>
        <v>0</v>
      </c>
      <c r="AE470" s="431">
        <f t="shared" si="1341"/>
        <v>0</v>
      </c>
      <c r="AF470" s="431">
        <f t="shared" si="1341"/>
        <v>0</v>
      </c>
      <c r="AG470" s="431">
        <f t="shared" si="1341"/>
        <v>0</v>
      </c>
      <c r="AH470" s="431">
        <f t="shared" si="1341"/>
        <v>0</v>
      </c>
      <c r="AI470" s="431">
        <f t="shared" si="1341"/>
        <v>0</v>
      </c>
      <c r="AJ470" s="431">
        <f t="shared" si="1341"/>
        <v>0</v>
      </c>
      <c r="AK470" s="431">
        <f t="shared" si="1341"/>
        <v>0</v>
      </c>
      <c r="AL470" s="431">
        <f t="shared" si="1341"/>
        <v>0</v>
      </c>
      <c r="AM470" s="331"/>
    </row>
    <row r="471" spans="1:39" ht="15" hidden="1" outlineLevel="1">
      <c r="A471" s="560"/>
      <c r="B471" s="450"/>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443"/>
      <c r="Z471" s="444"/>
      <c r="AA471" s="444"/>
      <c r="AB471" s="444"/>
      <c r="AC471" s="444"/>
      <c r="AD471" s="444"/>
      <c r="AE471" s="444"/>
      <c r="AF471" s="444"/>
      <c r="AG471" s="444"/>
      <c r="AH471" s="444"/>
      <c r="AI471" s="444"/>
      <c r="AJ471" s="444"/>
      <c r="AK471" s="444"/>
      <c r="AL471" s="444"/>
      <c r="AM471" s="322"/>
    </row>
    <row r="472" spans="1:39" ht="15" hidden="1" outlineLevel="1">
      <c r="A472" s="560">
        <v>19</v>
      </c>
      <c r="B472" s="448" t="s">
        <v>112</v>
      </c>
      <c r="C472" s="316" t="s">
        <v>25</v>
      </c>
      <c r="D472" s="320"/>
      <c r="E472" s="320"/>
      <c r="F472" s="320"/>
      <c r="G472" s="320"/>
      <c r="H472" s="320"/>
      <c r="I472" s="320"/>
      <c r="J472" s="320"/>
      <c r="K472" s="320"/>
      <c r="L472" s="320"/>
      <c r="M472" s="320"/>
      <c r="N472" s="320">
        <v>0</v>
      </c>
      <c r="O472" s="320"/>
      <c r="P472" s="320"/>
      <c r="Q472" s="320"/>
      <c r="R472" s="320"/>
      <c r="S472" s="320"/>
      <c r="T472" s="320"/>
      <c r="U472" s="320"/>
      <c r="V472" s="320"/>
      <c r="W472" s="320"/>
      <c r="X472" s="320"/>
      <c r="Y472" s="446"/>
      <c r="Z472" s="430"/>
      <c r="AA472" s="430"/>
      <c r="AB472" s="430"/>
      <c r="AC472" s="430"/>
      <c r="AD472" s="430"/>
      <c r="AE472" s="430"/>
      <c r="AF472" s="435"/>
      <c r="AG472" s="435"/>
      <c r="AH472" s="435"/>
      <c r="AI472" s="435"/>
      <c r="AJ472" s="435"/>
      <c r="AK472" s="435"/>
      <c r="AL472" s="435"/>
      <c r="AM472" s="321">
        <f>SUM(Y472:AL472)</f>
        <v>0</v>
      </c>
    </row>
    <row r="473" spans="1:39" ht="15" hidden="1" outlineLevel="1">
      <c r="A473" s="560"/>
      <c r="B473" s="451" t="s">
        <v>311</v>
      </c>
      <c r="C473" s="316" t="s">
        <v>164</v>
      </c>
      <c r="D473" s="320"/>
      <c r="E473" s="320"/>
      <c r="F473" s="320"/>
      <c r="G473" s="320"/>
      <c r="H473" s="320"/>
      <c r="I473" s="320"/>
      <c r="J473" s="320"/>
      <c r="K473" s="320"/>
      <c r="L473" s="320"/>
      <c r="M473" s="320"/>
      <c r="N473" s="320">
        <f>N472</f>
        <v>0</v>
      </c>
      <c r="O473" s="320"/>
      <c r="P473" s="320"/>
      <c r="Q473" s="320"/>
      <c r="R473" s="320"/>
      <c r="S473" s="320"/>
      <c r="T473" s="320"/>
      <c r="U473" s="320"/>
      <c r="V473" s="320"/>
      <c r="W473" s="320"/>
      <c r="X473" s="320"/>
      <c r="Y473" s="431">
        <f>Y472</f>
        <v>0</v>
      </c>
      <c r="Z473" s="431">
        <f t="shared" ref="Z473:AL473" si="1342">Z472</f>
        <v>0</v>
      </c>
      <c r="AA473" s="431">
        <f t="shared" si="1342"/>
        <v>0</v>
      </c>
      <c r="AB473" s="431">
        <f t="shared" si="1342"/>
        <v>0</v>
      </c>
      <c r="AC473" s="431">
        <f t="shared" si="1342"/>
        <v>0</v>
      </c>
      <c r="AD473" s="431">
        <f t="shared" si="1342"/>
        <v>0</v>
      </c>
      <c r="AE473" s="431">
        <f t="shared" si="1342"/>
        <v>0</v>
      </c>
      <c r="AF473" s="431">
        <f t="shared" si="1342"/>
        <v>0</v>
      </c>
      <c r="AG473" s="431">
        <f t="shared" si="1342"/>
        <v>0</v>
      </c>
      <c r="AH473" s="431">
        <f t="shared" si="1342"/>
        <v>0</v>
      </c>
      <c r="AI473" s="431">
        <f t="shared" si="1342"/>
        <v>0</v>
      </c>
      <c r="AJ473" s="431">
        <f t="shared" si="1342"/>
        <v>0</v>
      </c>
      <c r="AK473" s="431">
        <f t="shared" si="1342"/>
        <v>0</v>
      </c>
      <c r="AL473" s="431">
        <f t="shared" si="1342"/>
        <v>0</v>
      </c>
      <c r="AM473" s="322"/>
    </row>
    <row r="474" spans="1:39" ht="15" hidden="1" outlineLevel="1">
      <c r="A474" s="560"/>
      <c r="B474" s="450"/>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432"/>
      <c r="Z474" s="432"/>
      <c r="AA474" s="432"/>
      <c r="AB474" s="432"/>
      <c r="AC474" s="432"/>
      <c r="AD474" s="432"/>
      <c r="AE474" s="432"/>
      <c r="AF474" s="432"/>
      <c r="AG474" s="432"/>
      <c r="AH474" s="432"/>
      <c r="AI474" s="432"/>
      <c r="AJ474" s="432"/>
      <c r="AK474" s="432"/>
      <c r="AL474" s="432"/>
      <c r="AM474" s="331"/>
    </row>
    <row r="475" spans="1:39" ht="15" hidden="1" outlineLevel="1">
      <c r="A475" s="560">
        <v>20</v>
      </c>
      <c r="B475" s="448" t="s">
        <v>111</v>
      </c>
      <c r="C475" s="316" t="s">
        <v>25</v>
      </c>
      <c r="D475" s="320"/>
      <c r="E475" s="320"/>
      <c r="F475" s="320"/>
      <c r="G475" s="320"/>
      <c r="H475" s="320"/>
      <c r="I475" s="320"/>
      <c r="J475" s="320"/>
      <c r="K475" s="320"/>
      <c r="L475" s="320"/>
      <c r="M475" s="320"/>
      <c r="N475" s="320">
        <v>0</v>
      </c>
      <c r="O475" s="320"/>
      <c r="P475" s="320"/>
      <c r="Q475" s="320"/>
      <c r="R475" s="320"/>
      <c r="S475" s="320"/>
      <c r="T475" s="320"/>
      <c r="U475" s="320"/>
      <c r="V475" s="320"/>
      <c r="W475" s="320"/>
      <c r="X475" s="320"/>
      <c r="Y475" s="446"/>
      <c r="Z475" s="430"/>
      <c r="AA475" s="430"/>
      <c r="AB475" s="430"/>
      <c r="AC475" s="430"/>
      <c r="AD475" s="430"/>
      <c r="AE475" s="430"/>
      <c r="AF475" s="435"/>
      <c r="AG475" s="435"/>
      <c r="AH475" s="435"/>
      <c r="AI475" s="435"/>
      <c r="AJ475" s="435"/>
      <c r="AK475" s="435"/>
      <c r="AL475" s="435"/>
      <c r="AM475" s="321">
        <f>SUM(Y475:AL475)</f>
        <v>0</v>
      </c>
    </row>
    <row r="476" spans="1:39" ht="15" hidden="1" outlineLevel="1">
      <c r="A476" s="560"/>
      <c r="B476" s="451" t="s">
        <v>311</v>
      </c>
      <c r="C476" s="316" t="s">
        <v>164</v>
      </c>
      <c r="D476" s="320"/>
      <c r="E476" s="320"/>
      <c r="F476" s="320"/>
      <c r="G476" s="320"/>
      <c r="H476" s="320"/>
      <c r="I476" s="320"/>
      <c r="J476" s="320"/>
      <c r="K476" s="320"/>
      <c r="L476" s="320"/>
      <c r="M476" s="320"/>
      <c r="N476" s="320">
        <f>N475</f>
        <v>0</v>
      </c>
      <c r="O476" s="320"/>
      <c r="P476" s="320"/>
      <c r="Q476" s="320"/>
      <c r="R476" s="320"/>
      <c r="S476" s="320"/>
      <c r="T476" s="320"/>
      <c r="U476" s="320"/>
      <c r="V476" s="320"/>
      <c r="W476" s="320"/>
      <c r="X476" s="320"/>
      <c r="Y476" s="431">
        <f t="shared" ref="Y476:AL476" si="1343">Y475</f>
        <v>0</v>
      </c>
      <c r="Z476" s="431">
        <f t="shared" si="1343"/>
        <v>0</v>
      </c>
      <c r="AA476" s="431">
        <f t="shared" si="1343"/>
        <v>0</v>
      </c>
      <c r="AB476" s="431">
        <f t="shared" si="1343"/>
        <v>0</v>
      </c>
      <c r="AC476" s="431">
        <f t="shared" si="1343"/>
        <v>0</v>
      </c>
      <c r="AD476" s="431">
        <f t="shared" si="1343"/>
        <v>0</v>
      </c>
      <c r="AE476" s="431">
        <f t="shared" si="1343"/>
        <v>0</v>
      </c>
      <c r="AF476" s="431">
        <f t="shared" si="1343"/>
        <v>0</v>
      </c>
      <c r="AG476" s="431">
        <f t="shared" si="1343"/>
        <v>0</v>
      </c>
      <c r="AH476" s="431">
        <f t="shared" si="1343"/>
        <v>0</v>
      </c>
      <c r="AI476" s="431">
        <f t="shared" si="1343"/>
        <v>0</v>
      </c>
      <c r="AJ476" s="431">
        <f t="shared" si="1343"/>
        <v>0</v>
      </c>
      <c r="AK476" s="431">
        <f t="shared" si="1343"/>
        <v>0</v>
      </c>
      <c r="AL476" s="431">
        <f t="shared" si="1343"/>
        <v>0</v>
      </c>
      <c r="AM476" s="331"/>
    </row>
    <row r="477" spans="1:39" ht="15.6" hidden="1" outlineLevel="1">
      <c r="A477" s="560"/>
      <c r="B477" s="559"/>
      <c r="C477" s="325"/>
      <c r="D477" s="316"/>
      <c r="E477" s="316"/>
      <c r="F477" s="316"/>
      <c r="G477" s="316"/>
      <c r="H477" s="316"/>
      <c r="I477" s="316"/>
      <c r="J477" s="316"/>
      <c r="K477" s="316"/>
      <c r="L477" s="316"/>
      <c r="M477" s="316"/>
      <c r="N477" s="325"/>
      <c r="O477" s="316"/>
      <c r="P477" s="316"/>
      <c r="Q477" s="316"/>
      <c r="R477" s="316"/>
      <c r="S477" s="316"/>
      <c r="T477" s="316"/>
      <c r="U477" s="316"/>
      <c r="V477" s="316"/>
      <c r="W477" s="316"/>
      <c r="X477" s="316"/>
      <c r="Y477" s="432"/>
      <c r="Z477" s="432"/>
      <c r="AA477" s="432"/>
      <c r="AB477" s="432"/>
      <c r="AC477" s="432"/>
      <c r="AD477" s="432"/>
      <c r="AE477" s="432"/>
      <c r="AF477" s="432"/>
      <c r="AG477" s="432"/>
      <c r="AH477" s="432"/>
      <c r="AI477" s="432"/>
      <c r="AJ477" s="432"/>
      <c r="AK477" s="432"/>
      <c r="AL477" s="432"/>
      <c r="AM477" s="331"/>
    </row>
    <row r="478" spans="1:39" ht="15.6" hidden="1" outlineLevel="1">
      <c r="A478" s="560"/>
      <c r="B478" s="552" t="s">
        <v>517</v>
      </c>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442"/>
      <c r="Z478" s="445"/>
      <c r="AA478" s="445"/>
      <c r="AB478" s="445"/>
      <c r="AC478" s="445"/>
      <c r="AD478" s="445"/>
      <c r="AE478" s="445"/>
      <c r="AF478" s="445"/>
      <c r="AG478" s="445"/>
      <c r="AH478" s="445"/>
      <c r="AI478" s="445"/>
      <c r="AJ478" s="445"/>
      <c r="AK478" s="445"/>
      <c r="AL478" s="445"/>
      <c r="AM478" s="331"/>
    </row>
    <row r="479" spans="1:39" ht="15.6" hidden="1" outlineLevel="1">
      <c r="A479" s="560"/>
      <c r="B479" s="533" t="s">
        <v>513</v>
      </c>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t="15" hidden="1" outlineLevel="1">
      <c r="A480" s="560">
        <v>21</v>
      </c>
      <c r="B480" s="448" t="s">
        <v>114</v>
      </c>
      <c r="C480" s="316" t="s">
        <v>25</v>
      </c>
      <c r="D480" s="320">
        <v>26872740.667150658</v>
      </c>
      <c r="E480" s="320"/>
      <c r="F480" s="320"/>
      <c r="G480" s="320"/>
      <c r="H480" s="320"/>
      <c r="I480" s="320"/>
      <c r="J480" s="320"/>
      <c r="K480" s="320"/>
      <c r="L480" s="320"/>
      <c r="M480" s="320"/>
      <c r="N480" s="316"/>
      <c r="O480" s="320">
        <v>1810.5625509911222</v>
      </c>
      <c r="P480" s="320"/>
      <c r="Q480" s="320"/>
      <c r="R480" s="320"/>
      <c r="S480" s="320"/>
      <c r="T480" s="320"/>
      <c r="U480" s="320"/>
      <c r="V480" s="320"/>
      <c r="W480" s="320"/>
      <c r="X480" s="320"/>
      <c r="Y480" s="430">
        <v>1</v>
      </c>
      <c r="Z480" s="430"/>
      <c r="AA480" s="430"/>
      <c r="AB480" s="430"/>
      <c r="AC480" s="430"/>
      <c r="AD480" s="430"/>
      <c r="AE480" s="430"/>
      <c r="AF480" s="430"/>
      <c r="AG480" s="430"/>
      <c r="AH480" s="430"/>
      <c r="AI480" s="430"/>
      <c r="AJ480" s="430"/>
      <c r="AK480" s="430"/>
      <c r="AL480" s="430"/>
      <c r="AM480" s="321">
        <f>SUM(Y480:AL480)</f>
        <v>1</v>
      </c>
    </row>
    <row r="481" spans="1:53" ht="15"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1</v>
      </c>
      <c r="Z481" s="431">
        <f t="shared" ref="Z481" si="1344">Z480</f>
        <v>0</v>
      </c>
      <c r="AA481" s="431">
        <f t="shared" ref="AA481" si="1345">AA480</f>
        <v>0</v>
      </c>
      <c r="AB481" s="431">
        <f t="shared" ref="AB481" si="1346">AB480</f>
        <v>0</v>
      </c>
      <c r="AC481" s="431">
        <f t="shared" ref="AC481" si="1347">AC480</f>
        <v>0</v>
      </c>
      <c r="AD481" s="431">
        <f t="shared" ref="AD481" si="1348">AD480</f>
        <v>0</v>
      </c>
      <c r="AE481" s="431">
        <f t="shared" ref="AE481" si="1349">AE480</f>
        <v>0</v>
      </c>
      <c r="AF481" s="431">
        <f t="shared" ref="AF481" si="1350">AF480</f>
        <v>0</v>
      </c>
      <c r="AG481" s="431">
        <f t="shared" ref="AG481" si="1351">AG480</f>
        <v>0</v>
      </c>
      <c r="AH481" s="431">
        <f t="shared" ref="AH481" si="1352">AH480</f>
        <v>0</v>
      </c>
      <c r="AI481" s="431">
        <f t="shared" ref="AI481" si="1353">AI480</f>
        <v>0</v>
      </c>
      <c r="AJ481" s="431">
        <f t="shared" ref="AJ481" si="1354">AJ480</f>
        <v>0</v>
      </c>
      <c r="AK481" s="431">
        <f t="shared" ref="AK481" si="1355">AK480</f>
        <v>0</v>
      </c>
      <c r="AL481" s="431">
        <f t="shared" ref="AL481" si="1356">AL480</f>
        <v>0</v>
      </c>
      <c r="AM481" s="331"/>
    </row>
    <row r="482" spans="1:53" ht="15"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42"/>
      <c r="Z482" s="445"/>
      <c r="AA482" s="445"/>
      <c r="AB482" s="445"/>
      <c r="AC482" s="445"/>
      <c r="AD482" s="445"/>
      <c r="AE482" s="445"/>
      <c r="AF482" s="445"/>
      <c r="AG482" s="445"/>
      <c r="AH482" s="445"/>
      <c r="AI482" s="445"/>
      <c r="AJ482" s="445"/>
      <c r="AK482" s="445"/>
      <c r="AL482" s="445"/>
      <c r="AM482" s="331"/>
    </row>
    <row r="483" spans="1:53" ht="30" hidden="1" outlineLevel="1">
      <c r="A483" s="560">
        <v>22</v>
      </c>
      <c r="B483" s="448" t="s">
        <v>115</v>
      </c>
      <c r="C483" s="316" t="s">
        <v>25</v>
      </c>
      <c r="D483" s="320">
        <v>2717159.4512896109</v>
      </c>
      <c r="E483" s="320"/>
      <c r="F483" s="320"/>
      <c r="G483" s="320"/>
      <c r="H483" s="320"/>
      <c r="I483" s="320"/>
      <c r="J483" s="320"/>
      <c r="K483" s="320"/>
      <c r="L483" s="320"/>
      <c r="M483" s="320"/>
      <c r="N483" s="316"/>
      <c r="O483" s="320">
        <v>868.87985860262029</v>
      </c>
      <c r="P483" s="320"/>
      <c r="Q483" s="320"/>
      <c r="R483" s="320"/>
      <c r="S483" s="320"/>
      <c r="T483" s="320"/>
      <c r="U483" s="320"/>
      <c r="V483" s="320"/>
      <c r="W483" s="320"/>
      <c r="X483" s="320"/>
      <c r="Y483" s="430">
        <v>1</v>
      </c>
      <c r="Z483" s="430"/>
      <c r="AA483" s="430"/>
      <c r="AB483" s="430"/>
      <c r="AC483" s="430"/>
      <c r="AD483" s="430"/>
      <c r="AE483" s="430"/>
      <c r="AF483" s="430"/>
      <c r="AG483" s="430"/>
      <c r="AH483" s="430"/>
      <c r="AI483" s="430"/>
      <c r="AJ483" s="430"/>
      <c r="AK483" s="430"/>
      <c r="AL483" s="430"/>
      <c r="AM483" s="321">
        <f>SUM(Y483:AL483)</f>
        <v>1</v>
      </c>
    </row>
    <row r="484" spans="1:53" ht="15" hidden="1" outlineLevel="1">
      <c r="A484" s="560"/>
      <c r="B484" s="451" t="s">
        <v>311</v>
      </c>
      <c r="C484" s="316" t="s">
        <v>164</v>
      </c>
      <c r="D484" s="320"/>
      <c r="E484" s="320"/>
      <c r="F484" s="320"/>
      <c r="G484" s="320"/>
      <c r="H484" s="320"/>
      <c r="I484" s="320"/>
      <c r="J484" s="320"/>
      <c r="K484" s="320"/>
      <c r="L484" s="320"/>
      <c r="M484" s="320"/>
      <c r="N484" s="316"/>
      <c r="O484" s="320"/>
      <c r="P484" s="320"/>
      <c r="Q484" s="320"/>
      <c r="R484" s="320"/>
      <c r="S484" s="320"/>
      <c r="T484" s="320"/>
      <c r="U484" s="320"/>
      <c r="V484" s="320"/>
      <c r="W484" s="320"/>
      <c r="X484" s="320"/>
      <c r="Y484" s="431">
        <f>Y483</f>
        <v>1</v>
      </c>
      <c r="Z484" s="431">
        <f t="shared" ref="Z484" si="1357">Z483</f>
        <v>0</v>
      </c>
      <c r="AA484" s="431">
        <f t="shared" ref="AA484" si="1358">AA483</f>
        <v>0</v>
      </c>
      <c r="AB484" s="431">
        <f t="shared" ref="AB484" si="1359">AB483</f>
        <v>0</v>
      </c>
      <c r="AC484" s="431">
        <f t="shared" ref="AC484" si="1360">AC483</f>
        <v>0</v>
      </c>
      <c r="AD484" s="431">
        <f t="shared" ref="AD484" si="1361">AD483</f>
        <v>0</v>
      </c>
      <c r="AE484" s="431">
        <f t="shared" ref="AE484" si="1362">AE483</f>
        <v>0</v>
      </c>
      <c r="AF484" s="431">
        <f t="shared" ref="AF484" si="1363">AF483</f>
        <v>0</v>
      </c>
      <c r="AG484" s="431">
        <f t="shared" ref="AG484" si="1364">AG483</f>
        <v>0</v>
      </c>
      <c r="AH484" s="431">
        <f t="shared" ref="AH484" si="1365">AH483</f>
        <v>0</v>
      </c>
      <c r="AI484" s="431">
        <f t="shared" ref="AI484" si="1366">AI483</f>
        <v>0</v>
      </c>
      <c r="AJ484" s="431">
        <f t="shared" ref="AJ484" si="1367">AJ483</f>
        <v>0</v>
      </c>
      <c r="AK484" s="431">
        <f t="shared" ref="AK484" si="1368">AK483</f>
        <v>0</v>
      </c>
      <c r="AL484" s="431">
        <f t="shared" ref="AL484" si="1369">AL483</f>
        <v>0</v>
      </c>
      <c r="AM484" s="331"/>
    </row>
    <row r="485" spans="1:53" ht="15" hidden="1" outlineLevel="1">
      <c r="A485" s="560"/>
      <c r="B485" s="451"/>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442"/>
      <c r="Z485" s="445"/>
      <c r="AA485" s="445"/>
      <c r="AB485" s="445"/>
      <c r="AC485" s="445"/>
      <c r="AD485" s="445"/>
      <c r="AE485" s="445"/>
      <c r="AF485" s="445"/>
      <c r="AG485" s="445"/>
      <c r="AH485" s="445"/>
      <c r="AI485" s="445"/>
      <c r="AJ485" s="445"/>
      <c r="AK485" s="445"/>
      <c r="AL485" s="445"/>
      <c r="AM485" s="331"/>
    </row>
    <row r="486" spans="1:53" ht="30" hidden="1" outlineLevel="1">
      <c r="A486" s="560">
        <v>23</v>
      </c>
      <c r="B486" s="448" t="s">
        <v>116</v>
      </c>
      <c r="C486" s="316" t="s">
        <v>25</v>
      </c>
      <c r="D486" s="320">
        <v>0</v>
      </c>
      <c r="E486" s="320"/>
      <c r="F486" s="320"/>
      <c r="G486" s="320"/>
      <c r="H486" s="320"/>
      <c r="I486" s="320"/>
      <c r="J486" s="320"/>
      <c r="K486" s="320"/>
      <c r="L486" s="320"/>
      <c r="M486" s="320"/>
      <c r="N486" s="316"/>
      <c r="O486" s="320">
        <v>0</v>
      </c>
      <c r="P486" s="320"/>
      <c r="Q486" s="320"/>
      <c r="R486" s="320"/>
      <c r="S486" s="320"/>
      <c r="T486" s="320"/>
      <c r="U486" s="320"/>
      <c r="V486" s="320"/>
      <c r="W486" s="320"/>
      <c r="X486" s="320"/>
      <c r="Y486" s="430">
        <v>1</v>
      </c>
      <c r="Z486" s="430"/>
      <c r="AA486" s="430"/>
      <c r="AB486" s="430"/>
      <c r="AC486" s="430"/>
      <c r="AD486" s="430"/>
      <c r="AE486" s="430"/>
      <c r="AF486" s="430"/>
      <c r="AG486" s="430"/>
      <c r="AH486" s="430"/>
      <c r="AI486" s="430"/>
      <c r="AJ486" s="430"/>
      <c r="AK486" s="430"/>
      <c r="AL486" s="430"/>
      <c r="AM486" s="321">
        <f>SUM(Y486:AL486)</f>
        <v>1</v>
      </c>
    </row>
    <row r="487" spans="1:53" ht="15" hidden="1" outlineLevel="1">
      <c r="A487" s="560"/>
      <c r="B487" s="451" t="s">
        <v>311</v>
      </c>
      <c r="C487" s="316" t="s">
        <v>164</v>
      </c>
      <c r="D487" s="320"/>
      <c r="E487" s="320"/>
      <c r="F487" s="320"/>
      <c r="G487" s="320"/>
      <c r="H487" s="320"/>
      <c r="I487" s="320"/>
      <c r="J487" s="320"/>
      <c r="K487" s="320"/>
      <c r="L487" s="320"/>
      <c r="M487" s="320"/>
      <c r="N487" s="316"/>
      <c r="O487" s="320"/>
      <c r="P487" s="320"/>
      <c r="Q487" s="320"/>
      <c r="R487" s="320"/>
      <c r="S487" s="320"/>
      <c r="T487" s="320"/>
      <c r="U487" s="320"/>
      <c r="V487" s="320"/>
      <c r="W487" s="320"/>
      <c r="X487" s="320"/>
      <c r="Y487" s="431">
        <f>Y486</f>
        <v>1</v>
      </c>
      <c r="Z487" s="431">
        <f t="shared" ref="Z487" si="1370">Z486</f>
        <v>0</v>
      </c>
      <c r="AA487" s="431">
        <f t="shared" ref="AA487" si="1371">AA486</f>
        <v>0</v>
      </c>
      <c r="AB487" s="431">
        <f t="shared" ref="AB487" si="1372">AB486</f>
        <v>0</v>
      </c>
      <c r="AC487" s="431">
        <f t="shared" ref="AC487" si="1373">AC486</f>
        <v>0</v>
      </c>
      <c r="AD487" s="431">
        <f t="shared" ref="AD487" si="1374">AD486</f>
        <v>0</v>
      </c>
      <c r="AE487" s="431">
        <f t="shared" ref="AE487" si="1375">AE486</f>
        <v>0</v>
      </c>
      <c r="AF487" s="431">
        <f t="shared" ref="AF487" si="1376">AF486</f>
        <v>0</v>
      </c>
      <c r="AG487" s="431">
        <f t="shared" ref="AG487" si="1377">AG486</f>
        <v>0</v>
      </c>
      <c r="AH487" s="431">
        <f t="shared" ref="AH487" si="1378">AH486</f>
        <v>0</v>
      </c>
      <c r="AI487" s="431">
        <f t="shared" ref="AI487" si="1379">AI486</f>
        <v>0</v>
      </c>
      <c r="AJ487" s="431">
        <f t="shared" ref="AJ487" si="1380">AJ486</f>
        <v>0</v>
      </c>
      <c r="AK487" s="431">
        <f t="shared" ref="AK487" si="1381">AK486</f>
        <v>0</v>
      </c>
      <c r="AL487" s="431">
        <f t="shared" ref="AL487" si="1382">AL486</f>
        <v>0</v>
      </c>
      <c r="AM487" s="331"/>
    </row>
    <row r="488" spans="1:53" ht="15" hidden="1" outlineLevel="1">
      <c r="A488" s="560"/>
      <c r="B488" s="450"/>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442"/>
      <c r="Z488" s="445"/>
      <c r="AA488" s="445"/>
      <c r="AB488" s="445"/>
      <c r="AC488" s="445"/>
      <c r="AD488" s="445"/>
      <c r="AE488" s="445"/>
      <c r="AF488" s="445"/>
      <c r="AG488" s="445"/>
      <c r="AH488" s="445"/>
      <c r="AI488" s="445"/>
      <c r="AJ488" s="445"/>
      <c r="AK488" s="445"/>
      <c r="AL488" s="445"/>
      <c r="AM488" s="331"/>
    </row>
    <row r="489" spans="1:53" ht="15" hidden="1" outlineLevel="1">
      <c r="A489" s="560">
        <v>24</v>
      </c>
      <c r="B489" s="448" t="s">
        <v>117</v>
      </c>
      <c r="C489" s="316" t="s">
        <v>25</v>
      </c>
      <c r="D489" s="320">
        <v>154097.83999999997</v>
      </c>
      <c r="E489" s="320"/>
      <c r="F489" s="320"/>
      <c r="G489" s="320"/>
      <c r="H489" s="320"/>
      <c r="I489" s="320"/>
      <c r="J489" s="320"/>
      <c r="K489" s="320"/>
      <c r="L489" s="320"/>
      <c r="M489" s="320"/>
      <c r="N489" s="316"/>
      <c r="O489" s="320">
        <v>80.176355335899984</v>
      </c>
      <c r="P489" s="320"/>
      <c r="Q489" s="320"/>
      <c r="R489" s="320"/>
      <c r="S489" s="320"/>
      <c r="T489" s="320"/>
      <c r="U489" s="320"/>
      <c r="V489" s="320"/>
      <c r="W489" s="320"/>
      <c r="X489" s="320"/>
      <c r="Y489" s="430">
        <v>1</v>
      </c>
      <c r="Z489" s="430"/>
      <c r="AA489" s="430"/>
      <c r="AB489" s="430"/>
      <c r="AC489" s="430"/>
      <c r="AD489" s="430"/>
      <c r="AE489" s="430"/>
      <c r="AF489" s="430"/>
      <c r="AG489" s="430"/>
      <c r="AH489" s="430"/>
      <c r="AI489" s="430"/>
      <c r="AJ489" s="430"/>
      <c r="AK489" s="430"/>
      <c r="AL489" s="430"/>
      <c r="AM489" s="321">
        <f>SUM(Y489:AL489)</f>
        <v>1</v>
      </c>
    </row>
    <row r="490" spans="1:53" ht="15" hidden="1" outlineLevel="1">
      <c r="A490" s="560"/>
      <c r="B490" s="451" t="s">
        <v>311</v>
      </c>
      <c r="C490" s="316" t="s">
        <v>164</v>
      </c>
      <c r="D490" s="320"/>
      <c r="E490" s="320"/>
      <c r="F490" s="320"/>
      <c r="G490" s="320"/>
      <c r="H490" s="320"/>
      <c r="I490" s="320"/>
      <c r="J490" s="320"/>
      <c r="K490" s="320"/>
      <c r="L490" s="320"/>
      <c r="M490" s="320"/>
      <c r="N490" s="316"/>
      <c r="O490" s="320"/>
      <c r="P490" s="320"/>
      <c r="Q490" s="320"/>
      <c r="R490" s="320"/>
      <c r="S490" s="320"/>
      <c r="T490" s="320"/>
      <c r="U490" s="320"/>
      <c r="V490" s="320"/>
      <c r="W490" s="320"/>
      <c r="X490" s="320"/>
      <c r="Y490" s="431">
        <f>Y489</f>
        <v>1</v>
      </c>
      <c r="Z490" s="431">
        <f t="shared" ref="Z490" si="1383">Z489</f>
        <v>0</v>
      </c>
      <c r="AA490" s="431">
        <f t="shared" ref="AA490" si="1384">AA489</f>
        <v>0</v>
      </c>
      <c r="AB490" s="431">
        <f t="shared" ref="AB490" si="1385">AB489</f>
        <v>0</v>
      </c>
      <c r="AC490" s="431">
        <f t="shared" ref="AC490" si="1386">AC489</f>
        <v>0</v>
      </c>
      <c r="AD490" s="431">
        <f t="shared" ref="AD490" si="1387">AD489</f>
        <v>0</v>
      </c>
      <c r="AE490" s="431">
        <f t="shared" ref="AE490" si="1388">AE489</f>
        <v>0</v>
      </c>
      <c r="AF490" s="431">
        <f t="shared" ref="AF490" si="1389">AF489</f>
        <v>0</v>
      </c>
      <c r="AG490" s="431">
        <f t="shared" ref="AG490" si="1390">AG489</f>
        <v>0</v>
      </c>
      <c r="AH490" s="431">
        <f t="shared" ref="AH490" si="1391">AH489</f>
        <v>0</v>
      </c>
      <c r="AI490" s="431">
        <f t="shared" ref="AI490" si="1392">AI489</f>
        <v>0</v>
      </c>
      <c r="AJ490" s="431">
        <f t="shared" ref="AJ490" si="1393">AJ489</f>
        <v>0</v>
      </c>
      <c r="AK490" s="431">
        <f t="shared" ref="AK490" si="1394">AK489</f>
        <v>0</v>
      </c>
      <c r="AL490" s="431">
        <f t="shared" ref="AL490" si="1395">AL489</f>
        <v>0</v>
      </c>
      <c r="AM490" s="331"/>
    </row>
    <row r="491" spans="1:53" ht="15" hidden="1" outlineLevel="1">
      <c r="A491" s="560"/>
      <c r="B491" s="451"/>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432"/>
      <c r="Z491" s="445"/>
      <c r="AA491" s="445"/>
      <c r="AB491" s="445"/>
      <c r="AC491" s="445"/>
      <c r="AD491" s="445"/>
      <c r="AE491" s="445"/>
      <c r="AF491" s="445"/>
      <c r="AG491" s="445"/>
      <c r="AH491" s="445"/>
      <c r="AI491" s="445"/>
      <c r="AJ491" s="445"/>
      <c r="AK491" s="445"/>
      <c r="AL491" s="445"/>
      <c r="AM491" s="331"/>
    </row>
    <row r="492" spans="1:53" ht="15.6" hidden="1" outlineLevel="1">
      <c r="A492" s="560"/>
      <c r="B492" s="533" t="s">
        <v>514</v>
      </c>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53" ht="15" hidden="1" outlineLevel="1">
      <c r="A493" s="560">
        <v>25</v>
      </c>
      <c r="B493" s="448" t="s">
        <v>118</v>
      </c>
      <c r="C493" s="316" t="s">
        <v>25</v>
      </c>
      <c r="D493" s="320">
        <v>545419.58239909937</v>
      </c>
      <c r="E493" s="320"/>
      <c r="F493" s="320"/>
      <c r="G493" s="320"/>
      <c r="H493" s="320"/>
      <c r="I493" s="320"/>
      <c r="J493" s="320"/>
      <c r="K493" s="320"/>
      <c r="L493" s="320"/>
      <c r="M493" s="320"/>
      <c r="N493" s="320">
        <v>12</v>
      </c>
      <c r="O493" s="320">
        <v>71.171865856094854</v>
      </c>
      <c r="P493" s="320"/>
      <c r="Q493" s="320"/>
      <c r="R493" s="320"/>
      <c r="S493" s="320"/>
      <c r="T493" s="320"/>
      <c r="U493" s="320"/>
      <c r="V493" s="320"/>
      <c r="W493" s="320"/>
      <c r="X493" s="320"/>
      <c r="Y493" s="446"/>
      <c r="Z493" s="430"/>
      <c r="AA493" s="430">
        <v>1</v>
      </c>
      <c r="AB493" s="430"/>
      <c r="AC493" s="430"/>
      <c r="AD493" s="430"/>
      <c r="AE493" s="430"/>
      <c r="AF493" s="435"/>
      <c r="AG493" s="435"/>
      <c r="AH493" s="435"/>
      <c r="AI493" s="435"/>
      <c r="AJ493" s="435"/>
      <c r="AK493" s="435"/>
      <c r="AL493" s="435"/>
      <c r="AM493" s="321">
        <f>SUM(Y493:AL493)</f>
        <v>1</v>
      </c>
    </row>
    <row r="494" spans="1:53" ht="15"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396">Z493</f>
        <v>0</v>
      </c>
      <c r="AA494" s="431">
        <f t="shared" ref="AA494" si="1397">AA493</f>
        <v>1</v>
      </c>
      <c r="AB494" s="431">
        <f t="shared" ref="AB494" si="1398">AB493</f>
        <v>0</v>
      </c>
      <c r="AC494" s="431">
        <f t="shared" ref="AC494" si="1399">AC493</f>
        <v>0</v>
      </c>
      <c r="AD494" s="431">
        <f t="shared" ref="AD494" si="1400">AD493</f>
        <v>0</v>
      </c>
      <c r="AE494" s="431">
        <f t="shared" ref="AE494" si="1401">AE493</f>
        <v>0</v>
      </c>
      <c r="AF494" s="431">
        <f t="shared" ref="AF494" si="1402">AF493</f>
        <v>0</v>
      </c>
      <c r="AG494" s="431">
        <f t="shared" ref="AG494" si="1403">AG493</f>
        <v>0</v>
      </c>
      <c r="AH494" s="431">
        <f t="shared" ref="AH494" si="1404">AH493</f>
        <v>0</v>
      </c>
      <c r="AI494" s="431">
        <f t="shared" ref="AI494" si="1405">AI493</f>
        <v>0</v>
      </c>
      <c r="AJ494" s="431">
        <f t="shared" ref="AJ494" si="1406">AJ493</f>
        <v>0</v>
      </c>
      <c r="AK494" s="431">
        <f t="shared" ref="AK494" si="1407">AK493</f>
        <v>0</v>
      </c>
      <c r="AL494" s="431">
        <f t="shared" ref="AL494" si="1408">AL493</f>
        <v>0</v>
      </c>
      <c r="AM494" s="331"/>
    </row>
    <row r="495" spans="1:53" ht="15"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c r="AR495" s="544"/>
      <c r="AS495" s="544"/>
      <c r="AT495" s="544"/>
      <c r="AU495" s="544"/>
      <c r="AV495" s="544"/>
      <c r="AW495" s="544"/>
      <c r="AX495" s="544"/>
      <c r="AY495" s="544"/>
      <c r="AZ495" s="544"/>
      <c r="BA495" s="544"/>
    </row>
    <row r="496" spans="1:53" ht="15" hidden="1" outlineLevel="1">
      <c r="A496" s="560">
        <v>26</v>
      </c>
      <c r="B496" s="887" t="s">
        <v>119</v>
      </c>
      <c r="C496" s="316" t="s">
        <v>25</v>
      </c>
      <c r="D496" s="320">
        <f>80674293.8973981</f>
        <v>80674293.897398099</v>
      </c>
      <c r="E496" s="320"/>
      <c r="F496" s="320"/>
      <c r="G496" s="320"/>
      <c r="H496" s="320"/>
      <c r="I496" s="320"/>
      <c r="J496" s="320"/>
      <c r="K496" s="320"/>
      <c r="L496" s="320"/>
      <c r="M496" s="320"/>
      <c r="N496" s="320">
        <v>12</v>
      </c>
      <c r="O496" s="320">
        <v>10495.856174546385</v>
      </c>
      <c r="P496" s="320"/>
      <c r="Q496" s="320"/>
      <c r="R496" s="320"/>
      <c r="S496" s="320"/>
      <c r="T496" s="320"/>
      <c r="U496" s="320"/>
      <c r="V496" s="320"/>
      <c r="W496" s="320"/>
      <c r="X496" s="320"/>
      <c r="Y496" s="446"/>
      <c r="Z496" s="430">
        <v>0.15035612072655419</v>
      </c>
      <c r="AA496" s="430">
        <v>0.84964387927344576</v>
      </c>
      <c r="AB496" s="430"/>
      <c r="AC496" s="430"/>
      <c r="AD496" s="430"/>
      <c r="AE496" s="430"/>
      <c r="AF496" s="435"/>
      <c r="AG496" s="435"/>
      <c r="AH496" s="435"/>
      <c r="AI496" s="435"/>
      <c r="AJ496" s="435"/>
      <c r="AK496" s="435"/>
      <c r="AL496" s="435"/>
      <c r="AM496" s="321">
        <f>SUM(Y496:AL496)</f>
        <v>1</v>
      </c>
      <c r="AR496" s="544"/>
      <c r="AS496" s="925"/>
      <c r="AT496" s="925"/>
      <c r="AU496" s="925"/>
      <c r="AV496" s="925"/>
      <c r="AW496" s="925"/>
      <c r="AX496" s="925"/>
      <c r="AY496" s="925"/>
      <c r="AZ496" s="925"/>
      <c r="BA496" s="544"/>
    </row>
    <row r="497" spans="1:53" ht="15" hidden="1" outlineLevel="1">
      <c r="A497" s="560"/>
      <c r="B497" s="888" t="s">
        <v>311</v>
      </c>
      <c r="C497" s="316" t="s">
        <v>164</v>
      </c>
      <c r="D497" s="320"/>
      <c r="E497" s="320"/>
      <c r="F497" s="320"/>
      <c r="G497" s="320"/>
      <c r="H497" s="320"/>
      <c r="I497" s="320"/>
      <c r="J497" s="320"/>
      <c r="K497" s="320"/>
      <c r="L497" s="320"/>
      <c r="M497" s="320"/>
      <c r="N497" s="320">
        <f>N496</f>
        <v>12</v>
      </c>
      <c r="O497" s="320"/>
      <c r="P497" s="320"/>
      <c r="Q497" s="320"/>
      <c r="R497" s="320"/>
      <c r="S497" s="320"/>
      <c r="T497" s="320"/>
      <c r="U497" s="320"/>
      <c r="V497" s="320"/>
      <c r="W497" s="320"/>
      <c r="X497" s="320"/>
      <c r="Y497" s="431">
        <f>Y496</f>
        <v>0</v>
      </c>
      <c r="Z497" s="431">
        <f t="shared" ref="Z497" si="1409">Z496</f>
        <v>0.15035612072655419</v>
      </c>
      <c r="AA497" s="431">
        <f t="shared" ref="AA497" si="1410">AA496</f>
        <v>0.84964387927344576</v>
      </c>
      <c r="AB497" s="431">
        <f t="shared" ref="AB497" si="1411">AB496</f>
        <v>0</v>
      </c>
      <c r="AC497" s="431">
        <f t="shared" ref="AC497" si="1412">AC496</f>
        <v>0</v>
      </c>
      <c r="AD497" s="431">
        <f t="shared" ref="AD497" si="1413">AD496</f>
        <v>0</v>
      </c>
      <c r="AE497" s="431">
        <f t="shared" ref="AE497" si="1414">AE496</f>
        <v>0</v>
      </c>
      <c r="AF497" s="431">
        <f t="shared" ref="AF497" si="1415">AF496</f>
        <v>0</v>
      </c>
      <c r="AG497" s="431">
        <f t="shared" ref="AG497" si="1416">AG496</f>
        <v>0</v>
      </c>
      <c r="AH497" s="431">
        <f t="shared" ref="AH497" si="1417">AH496</f>
        <v>0</v>
      </c>
      <c r="AI497" s="431">
        <f t="shared" ref="AI497" si="1418">AI496</f>
        <v>0</v>
      </c>
      <c r="AJ497" s="431">
        <f t="shared" ref="AJ497" si="1419">AJ496</f>
        <v>0</v>
      </c>
      <c r="AK497" s="431">
        <f t="shared" ref="AK497" si="1420">AK496</f>
        <v>0</v>
      </c>
      <c r="AL497" s="431">
        <f t="shared" ref="AL497" si="1421">AL496</f>
        <v>0</v>
      </c>
      <c r="AM497" s="331"/>
      <c r="AR497" s="544"/>
      <c r="AS497" s="925"/>
      <c r="AT497" s="925"/>
      <c r="AU497" s="925"/>
      <c r="AV497" s="925"/>
      <c r="AW497" s="925"/>
      <c r="AX497" s="925"/>
      <c r="AY497" s="925"/>
      <c r="AZ497" s="925"/>
      <c r="BA497" s="544"/>
    </row>
    <row r="498" spans="1:53" ht="15"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c r="AR498" s="544"/>
      <c r="AS498" s="925"/>
      <c r="AT498" s="925"/>
      <c r="AU498" s="925"/>
      <c r="AV498" s="925"/>
      <c r="AW498" s="925"/>
      <c r="AX498" s="925"/>
      <c r="AY498" s="925"/>
      <c r="AZ498" s="925"/>
      <c r="BA498" s="544"/>
    </row>
    <row r="499" spans="1:53" ht="30" hidden="1" outlineLevel="1">
      <c r="A499" s="560">
        <v>27</v>
      </c>
      <c r="B499" s="448" t="s">
        <v>120</v>
      </c>
      <c r="C499" s="316" t="s">
        <v>25</v>
      </c>
      <c r="D499" s="320">
        <v>2152874.6866903077</v>
      </c>
      <c r="E499" s="320"/>
      <c r="F499" s="320"/>
      <c r="G499" s="320"/>
      <c r="H499" s="320"/>
      <c r="I499" s="320"/>
      <c r="J499" s="320"/>
      <c r="K499" s="320"/>
      <c r="L499" s="320"/>
      <c r="M499" s="320"/>
      <c r="N499" s="320">
        <v>12</v>
      </c>
      <c r="O499" s="320">
        <v>450.21705669199946</v>
      </c>
      <c r="P499" s="320"/>
      <c r="Q499" s="320"/>
      <c r="R499" s="320"/>
      <c r="S499" s="320"/>
      <c r="T499" s="320"/>
      <c r="U499" s="320"/>
      <c r="V499" s="320"/>
      <c r="W499" s="320"/>
      <c r="X499" s="320"/>
      <c r="Y499" s="446"/>
      <c r="Z499" s="430">
        <v>1</v>
      </c>
      <c r="AA499" s="430"/>
      <c r="AB499" s="430"/>
      <c r="AC499" s="430"/>
      <c r="AD499" s="430"/>
      <c r="AE499" s="430"/>
      <c r="AF499" s="435"/>
      <c r="AG499" s="435"/>
      <c r="AH499" s="435"/>
      <c r="AI499" s="435"/>
      <c r="AJ499" s="435"/>
      <c r="AK499" s="435"/>
      <c r="AL499" s="435"/>
      <c r="AM499" s="321">
        <f>SUM(Y499:AL499)</f>
        <v>1</v>
      </c>
    </row>
    <row r="500" spans="1:53" ht="15"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22">Z499</f>
        <v>1</v>
      </c>
      <c r="AA500" s="431">
        <f t="shared" ref="AA500" si="1423">AA499</f>
        <v>0</v>
      </c>
      <c r="AB500" s="431">
        <f t="shared" ref="AB500" si="1424">AB499</f>
        <v>0</v>
      </c>
      <c r="AC500" s="431">
        <f t="shared" ref="AC500" si="1425">AC499</f>
        <v>0</v>
      </c>
      <c r="AD500" s="431">
        <f t="shared" ref="AD500" si="1426">AD499</f>
        <v>0</v>
      </c>
      <c r="AE500" s="431">
        <f t="shared" ref="AE500" si="1427">AE499</f>
        <v>0</v>
      </c>
      <c r="AF500" s="431">
        <f t="shared" ref="AF500" si="1428">AF499</f>
        <v>0</v>
      </c>
      <c r="AG500" s="431">
        <f t="shared" ref="AG500" si="1429">AG499</f>
        <v>0</v>
      </c>
      <c r="AH500" s="431">
        <f t="shared" ref="AH500" si="1430">AH499</f>
        <v>0</v>
      </c>
      <c r="AI500" s="431">
        <f t="shared" ref="AI500" si="1431">AI499</f>
        <v>0</v>
      </c>
      <c r="AJ500" s="431">
        <f t="shared" ref="AJ500" si="1432">AJ499</f>
        <v>0</v>
      </c>
      <c r="AK500" s="431">
        <f t="shared" ref="AK500" si="1433">AK499</f>
        <v>0</v>
      </c>
      <c r="AL500" s="431">
        <f t="shared" ref="AL500" si="1434">AL499</f>
        <v>0</v>
      </c>
      <c r="AM500" s="331"/>
    </row>
    <row r="501" spans="1:53" ht="15"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53" ht="30" hidden="1" outlineLevel="1">
      <c r="A502" s="560">
        <v>28</v>
      </c>
      <c r="B502" s="448" t="s">
        <v>121</v>
      </c>
      <c r="C502" s="316" t="s">
        <v>25</v>
      </c>
      <c r="D502" s="320">
        <v>798602.09477471339</v>
      </c>
      <c r="E502" s="320"/>
      <c r="F502" s="320"/>
      <c r="G502" s="320"/>
      <c r="H502" s="320"/>
      <c r="I502" s="320"/>
      <c r="J502" s="320"/>
      <c r="K502" s="320"/>
      <c r="L502" s="320"/>
      <c r="M502" s="320"/>
      <c r="N502" s="320">
        <v>12</v>
      </c>
      <c r="O502" s="320">
        <v>221.51683891377155</v>
      </c>
      <c r="P502" s="320"/>
      <c r="Q502" s="320"/>
      <c r="R502" s="320"/>
      <c r="S502" s="320"/>
      <c r="T502" s="320"/>
      <c r="U502" s="320"/>
      <c r="V502" s="320"/>
      <c r="W502" s="320"/>
      <c r="X502" s="320"/>
      <c r="Y502" s="446"/>
      <c r="Z502" s="430"/>
      <c r="AA502" s="430">
        <v>1</v>
      </c>
      <c r="AB502" s="430"/>
      <c r="AC502" s="430"/>
      <c r="AD502" s="430"/>
      <c r="AE502" s="430"/>
      <c r="AF502" s="435"/>
      <c r="AG502" s="435"/>
      <c r="AH502" s="435"/>
      <c r="AI502" s="435"/>
      <c r="AJ502" s="435"/>
      <c r="AK502" s="435"/>
      <c r="AL502" s="435"/>
      <c r="AM502" s="321">
        <f>SUM(Y502:AL502)</f>
        <v>1</v>
      </c>
    </row>
    <row r="503" spans="1:53" ht="15"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35">Z502</f>
        <v>0</v>
      </c>
      <c r="AA503" s="431">
        <f t="shared" ref="AA503" si="1436">AA502</f>
        <v>1</v>
      </c>
      <c r="AB503" s="431">
        <f t="shared" ref="AB503" si="1437">AB502</f>
        <v>0</v>
      </c>
      <c r="AC503" s="431">
        <f t="shared" ref="AC503" si="1438">AC502</f>
        <v>0</v>
      </c>
      <c r="AD503" s="431">
        <f t="shared" ref="AD503" si="1439">AD502</f>
        <v>0</v>
      </c>
      <c r="AE503" s="431">
        <f t="shared" ref="AE503" si="1440">AE502</f>
        <v>0</v>
      </c>
      <c r="AF503" s="431">
        <f t="shared" ref="AF503" si="1441">AF502</f>
        <v>0</v>
      </c>
      <c r="AG503" s="431">
        <f t="shared" ref="AG503" si="1442">AG502</f>
        <v>0</v>
      </c>
      <c r="AH503" s="431">
        <f t="shared" ref="AH503" si="1443">AH502</f>
        <v>0</v>
      </c>
      <c r="AI503" s="431">
        <f t="shared" ref="AI503" si="1444">AI502</f>
        <v>0</v>
      </c>
      <c r="AJ503" s="431">
        <f t="shared" ref="AJ503" si="1445">AJ502</f>
        <v>0</v>
      </c>
      <c r="AK503" s="431">
        <f t="shared" ref="AK503" si="1446">AK502</f>
        <v>0</v>
      </c>
      <c r="AL503" s="431">
        <f t="shared" ref="AL503" si="1447">AL502</f>
        <v>0</v>
      </c>
      <c r="AM503" s="331"/>
    </row>
    <row r="504" spans="1:53" ht="15" hidden="1" outlineLevel="1">
      <c r="A504" s="560"/>
      <c r="B504" s="451"/>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53" ht="30" hidden="1" outlineLevel="1">
      <c r="A505" s="560">
        <v>29</v>
      </c>
      <c r="B505" s="448" t="s">
        <v>122</v>
      </c>
      <c r="C505" s="316" t="s">
        <v>25</v>
      </c>
      <c r="D505" s="320">
        <v>0</v>
      </c>
      <c r="E505" s="320"/>
      <c r="F505" s="320"/>
      <c r="G505" s="320"/>
      <c r="H505" s="320"/>
      <c r="I505" s="320"/>
      <c r="J505" s="320"/>
      <c r="K505" s="320"/>
      <c r="L505" s="320"/>
      <c r="M505" s="320"/>
      <c r="N505" s="320">
        <v>3</v>
      </c>
      <c r="O505" s="320">
        <v>0</v>
      </c>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53" ht="15" hidden="1" outlineLevel="1">
      <c r="A506" s="560"/>
      <c r="B506" s="451" t="s">
        <v>311</v>
      </c>
      <c r="C506" s="316" t="s">
        <v>164</v>
      </c>
      <c r="D506" s="320"/>
      <c r="E506" s="320"/>
      <c r="F506" s="320"/>
      <c r="G506" s="320"/>
      <c r="H506" s="320"/>
      <c r="I506" s="320"/>
      <c r="J506" s="320"/>
      <c r="K506" s="320"/>
      <c r="L506" s="320"/>
      <c r="M506" s="320"/>
      <c r="N506" s="320">
        <f>N505</f>
        <v>3</v>
      </c>
      <c r="O506" s="320"/>
      <c r="P506" s="320"/>
      <c r="Q506" s="320"/>
      <c r="R506" s="320"/>
      <c r="S506" s="320"/>
      <c r="T506" s="320"/>
      <c r="U506" s="320"/>
      <c r="V506" s="320"/>
      <c r="W506" s="320"/>
      <c r="X506" s="320"/>
      <c r="Y506" s="431">
        <f>Y505</f>
        <v>0</v>
      </c>
      <c r="Z506" s="431">
        <f t="shared" ref="Z506" si="1448">Z505</f>
        <v>0</v>
      </c>
      <c r="AA506" s="431">
        <f t="shared" ref="AA506" si="1449">AA505</f>
        <v>0</v>
      </c>
      <c r="AB506" s="431">
        <f t="shared" ref="AB506" si="1450">AB505</f>
        <v>0</v>
      </c>
      <c r="AC506" s="431">
        <f t="shared" ref="AC506" si="1451">AC505</f>
        <v>0</v>
      </c>
      <c r="AD506" s="431">
        <f t="shared" ref="AD506" si="1452">AD505</f>
        <v>0</v>
      </c>
      <c r="AE506" s="431">
        <f t="shared" ref="AE506" si="1453">AE505</f>
        <v>0</v>
      </c>
      <c r="AF506" s="431">
        <f t="shared" ref="AF506" si="1454">AF505</f>
        <v>0</v>
      </c>
      <c r="AG506" s="431">
        <f t="shared" ref="AG506" si="1455">AG505</f>
        <v>0</v>
      </c>
      <c r="AH506" s="431">
        <f t="shared" ref="AH506" si="1456">AH505</f>
        <v>0</v>
      </c>
      <c r="AI506" s="431">
        <f t="shared" ref="AI506" si="1457">AI505</f>
        <v>0</v>
      </c>
      <c r="AJ506" s="431">
        <f t="shared" ref="AJ506" si="1458">AJ505</f>
        <v>0</v>
      </c>
      <c r="AK506" s="431">
        <f t="shared" ref="AK506" si="1459">AK505</f>
        <v>0</v>
      </c>
      <c r="AL506" s="431">
        <f t="shared" ref="AL506" si="1460">AL505</f>
        <v>0</v>
      </c>
      <c r="AM506" s="331"/>
    </row>
    <row r="507" spans="1:53" ht="15" hidden="1" outlineLevel="1">
      <c r="A507" s="560"/>
      <c r="B507" s="451"/>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53" ht="30" hidden="1" outlineLevel="1">
      <c r="A508" s="560">
        <v>30</v>
      </c>
      <c r="B508" s="448" t="s">
        <v>123</v>
      </c>
      <c r="C508" s="316" t="s">
        <v>25</v>
      </c>
      <c r="D508" s="320">
        <v>995880</v>
      </c>
      <c r="E508" s="320"/>
      <c r="F508" s="320"/>
      <c r="G508" s="320"/>
      <c r="H508" s="320"/>
      <c r="I508" s="320"/>
      <c r="J508" s="320"/>
      <c r="K508" s="320"/>
      <c r="L508" s="320"/>
      <c r="M508" s="320"/>
      <c r="N508" s="320">
        <v>12</v>
      </c>
      <c r="O508" s="320">
        <v>0</v>
      </c>
      <c r="P508" s="320"/>
      <c r="Q508" s="320"/>
      <c r="R508" s="320"/>
      <c r="S508" s="320"/>
      <c r="T508" s="320"/>
      <c r="U508" s="320"/>
      <c r="V508" s="320"/>
      <c r="W508" s="320"/>
      <c r="X508" s="320"/>
      <c r="Y508" s="446"/>
      <c r="Z508" s="430"/>
      <c r="AA508" s="430">
        <v>1</v>
      </c>
      <c r="AB508" s="430"/>
      <c r="AC508" s="430"/>
      <c r="AD508" s="430"/>
      <c r="AE508" s="430"/>
      <c r="AF508" s="435"/>
      <c r="AG508" s="435"/>
      <c r="AH508" s="435"/>
      <c r="AI508" s="435"/>
      <c r="AJ508" s="435"/>
      <c r="AK508" s="435"/>
      <c r="AL508" s="435"/>
      <c r="AM508" s="321">
        <f>SUM(Y508:AL508)</f>
        <v>1</v>
      </c>
    </row>
    <row r="509" spans="1:53" ht="15" hidden="1" outlineLevel="1">
      <c r="A509" s="560"/>
      <c r="B509" s="451" t="s">
        <v>311</v>
      </c>
      <c r="C509" s="316" t="s">
        <v>164</v>
      </c>
      <c r="D509" s="320"/>
      <c r="E509" s="320"/>
      <c r="F509" s="320"/>
      <c r="G509" s="320"/>
      <c r="H509" s="320"/>
      <c r="I509" s="320"/>
      <c r="J509" s="320"/>
      <c r="K509" s="320"/>
      <c r="L509" s="320"/>
      <c r="M509" s="320"/>
      <c r="N509" s="320">
        <f>N508</f>
        <v>12</v>
      </c>
      <c r="O509" s="320"/>
      <c r="P509" s="320"/>
      <c r="Q509" s="320"/>
      <c r="R509" s="320"/>
      <c r="S509" s="320"/>
      <c r="T509" s="320"/>
      <c r="U509" s="320"/>
      <c r="V509" s="320"/>
      <c r="W509" s="320"/>
      <c r="X509" s="320"/>
      <c r="Y509" s="431">
        <f>Y508</f>
        <v>0</v>
      </c>
      <c r="Z509" s="431">
        <f t="shared" ref="Z509" si="1461">Z508</f>
        <v>0</v>
      </c>
      <c r="AA509" s="431">
        <f t="shared" ref="AA509" si="1462">AA508</f>
        <v>1</v>
      </c>
      <c r="AB509" s="431">
        <f t="shared" ref="AB509" si="1463">AB508</f>
        <v>0</v>
      </c>
      <c r="AC509" s="431">
        <f t="shared" ref="AC509" si="1464">AC508</f>
        <v>0</v>
      </c>
      <c r="AD509" s="431">
        <f t="shared" ref="AD509" si="1465">AD508</f>
        <v>0</v>
      </c>
      <c r="AE509" s="431">
        <f t="shared" ref="AE509" si="1466">AE508</f>
        <v>0</v>
      </c>
      <c r="AF509" s="431">
        <f t="shared" ref="AF509" si="1467">AF508</f>
        <v>0</v>
      </c>
      <c r="AG509" s="431">
        <f t="shared" ref="AG509" si="1468">AG508</f>
        <v>0</v>
      </c>
      <c r="AH509" s="431">
        <f t="shared" ref="AH509" si="1469">AH508</f>
        <v>0</v>
      </c>
      <c r="AI509" s="431">
        <f t="shared" ref="AI509" si="1470">AI508</f>
        <v>0</v>
      </c>
      <c r="AJ509" s="431">
        <f t="shared" ref="AJ509" si="1471">AJ508</f>
        <v>0</v>
      </c>
      <c r="AK509" s="431">
        <f t="shared" ref="AK509" si="1472">AK508</f>
        <v>0</v>
      </c>
      <c r="AL509" s="431">
        <f t="shared" ref="AL509" si="1473">AL508</f>
        <v>0</v>
      </c>
      <c r="AM509" s="331"/>
    </row>
    <row r="510" spans="1:53" ht="15" hidden="1" outlineLevel="1">
      <c r="A510" s="560"/>
      <c r="B510" s="451"/>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432"/>
      <c r="Z510" s="445"/>
      <c r="AA510" s="445"/>
      <c r="AB510" s="445"/>
      <c r="AC510" s="445"/>
      <c r="AD510" s="445"/>
      <c r="AE510" s="445"/>
      <c r="AF510" s="445"/>
      <c r="AG510" s="445"/>
      <c r="AH510" s="445"/>
      <c r="AI510" s="445"/>
      <c r="AJ510" s="445"/>
      <c r="AK510" s="445"/>
      <c r="AL510" s="445"/>
      <c r="AM510" s="331"/>
    </row>
    <row r="511" spans="1:53" ht="30" hidden="1" outlineLevel="1">
      <c r="A511" s="560">
        <v>31</v>
      </c>
      <c r="B511" s="448" t="s">
        <v>124</v>
      </c>
      <c r="C511" s="316" t="s">
        <v>25</v>
      </c>
      <c r="D511" s="320">
        <v>0</v>
      </c>
      <c r="E511" s="320"/>
      <c r="F511" s="320"/>
      <c r="G511" s="320"/>
      <c r="H511" s="320"/>
      <c r="I511" s="320"/>
      <c r="J511" s="320"/>
      <c r="K511" s="320"/>
      <c r="L511" s="320"/>
      <c r="M511" s="320"/>
      <c r="N511" s="320">
        <v>12</v>
      </c>
      <c r="O511" s="320">
        <v>0</v>
      </c>
      <c r="P511" s="320"/>
      <c r="Q511" s="320"/>
      <c r="R511" s="320"/>
      <c r="S511" s="320"/>
      <c r="T511" s="320"/>
      <c r="U511" s="320"/>
      <c r="V511" s="320"/>
      <c r="W511" s="320"/>
      <c r="X511" s="320"/>
      <c r="Y511" s="446"/>
      <c r="Z511" s="430"/>
      <c r="AA511" s="430"/>
      <c r="AB511" s="430"/>
      <c r="AC511" s="430"/>
      <c r="AD511" s="430"/>
      <c r="AE511" s="430"/>
      <c r="AF511" s="435"/>
      <c r="AG511" s="435"/>
      <c r="AH511" s="435"/>
      <c r="AI511" s="435"/>
      <c r="AJ511" s="435"/>
      <c r="AK511" s="435"/>
      <c r="AL511" s="435"/>
      <c r="AM511" s="321">
        <f>SUM(Y511:AL511)</f>
        <v>0</v>
      </c>
    </row>
    <row r="512" spans="1:53" ht="15" hidden="1" outlineLevel="1">
      <c r="A512" s="560"/>
      <c r="B512" s="451" t="s">
        <v>311</v>
      </c>
      <c r="C512" s="316" t="s">
        <v>164</v>
      </c>
      <c r="D512" s="320"/>
      <c r="E512" s="320"/>
      <c r="F512" s="320"/>
      <c r="G512" s="320"/>
      <c r="H512" s="320"/>
      <c r="I512" s="320"/>
      <c r="J512" s="320"/>
      <c r="K512" s="320"/>
      <c r="L512" s="320"/>
      <c r="M512" s="320"/>
      <c r="N512" s="320">
        <f>N511</f>
        <v>12</v>
      </c>
      <c r="O512" s="320"/>
      <c r="P512" s="320"/>
      <c r="Q512" s="320"/>
      <c r="R512" s="320"/>
      <c r="S512" s="320"/>
      <c r="T512" s="320"/>
      <c r="U512" s="320"/>
      <c r="V512" s="320"/>
      <c r="W512" s="320"/>
      <c r="X512" s="320"/>
      <c r="Y512" s="431">
        <f>Y511</f>
        <v>0</v>
      </c>
      <c r="Z512" s="431">
        <f t="shared" ref="Z512" si="1474">Z511</f>
        <v>0</v>
      </c>
      <c r="AA512" s="431">
        <f t="shared" ref="AA512" si="1475">AA511</f>
        <v>0</v>
      </c>
      <c r="AB512" s="431">
        <f t="shared" ref="AB512" si="1476">AB511</f>
        <v>0</v>
      </c>
      <c r="AC512" s="431">
        <f t="shared" ref="AC512" si="1477">AC511</f>
        <v>0</v>
      </c>
      <c r="AD512" s="431">
        <f t="shared" ref="AD512" si="1478">AD511</f>
        <v>0</v>
      </c>
      <c r="AE512" s="431">
        <f t="shared" ref="AE512" si="1479">AE511</f>
        <v>0</v>
      </c>
      <c r="AF512" s="431">
        <f t="shared" ref="AF512" si="1480">AF511</f>
        <v>0</v>
      </c>
      <c r="AG512" s="431">
        <f t="shared" ref="AG512" si="1481">AG511</f>
        <v>0</v>
      </c>
      <c r="AH512" s="431">
        <f t="shared" ref="AH512" si="1482">AH511</f>
        <v>0</v>
      </c>
      <c r="AI512" s="431">
        <f t="shared" ref="AI512" si="1483">AI511</f>
        <v>0</v>
      </c>
      <c r="AJ512" s="431">
        <f t="shared" ref="AJ512" si="1484">AJ511</f>
        <v>0</v>
      </c>
      <c r="AK512" s="431">
        <f t="shared" ref="AK512" si="1485">AK511</f>
        <v>0</v>
      </c>
      <c r="AL512" s="431">
        <f t="shared" ref="AL512" si="1486">AL511</f>
        <v>0</v>
      </c>
      <c r="AM512" s="331"/>
    </row>
    <row r="513" spans="1:39" ht="15" hidden="1" outlineLevel="1">
      <c r="A513" s="560"/>
      <c r="B513" s="448"/>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432"/>
      <c r="Z513" s="445"/>
      <c r="AA513" s="445"/>
      <c r="AB513" s="445"/>
      <c r="AC513" s="445"/>
      <c r="AD513" s="445"/>
      <c r="AE513" s="445"/>
      <c r="AF513" s="445"/>
      <c r="AG513" s="445"/>
      <c r="AH513" s="445"/>
      <c r="AI513" s="445"/>
      <c r="AJ513" s="445"/>
      <c r="AK513" s="445"/>
      <c r="AL513" s="445"/>
      <c r="AM513" s="331"/>
    </row>
    <row r="514" spans="1:39" ht="15" hidden="1" outlineLevel="1">
      <c r="A514" s="560">
        <v>32</v>
      </c>
      <c r="B514" s="448" t="s">
        <v>125</v>
      </c>
      <c r="C514" s="316" t="s">
        <v>25</v>
      </c>
      <c r="D514" s="320">
        <v>0</v>
      </c>
      <c r="E514" s="320"/>
      <c r="F514" s="320"/>
      <c r="G514" s="320"/>
      <c r="H514" s="320"/>
      <c r="I514" s="320"/>
      <c r="J514" s="320"/>
      <c r="K514" s="320"/>
      <c r="L514" s="320"/>
      <c r="M514" s="320"/>
      <c r="N514" s="320">
        <v>12</v>
      </c>
      <c r="O514" s="320">
        <v>0</v>
      </c>
      <c r="P514" s="320"/>
      <c r="Q514" s="320"/>
      <c r="R514" s="320"/>
      <c r="S514" s="320"/>
      <c r="T514" s="320"/>
      <c r="U514" s="320"/>
      <c r="V514" s="320"/>
      <c r="W514" s="320"/>
      <c r="X514" s="320"/>
      <c r="Y514" s="446"/>
      <c r="Z514" s="430"/>
      <c r="AA514" s="430"/>
      <c r="AB514" s="430"/>
      <c r="AC514" s="430"/>
      <c r="AD514" s="430"/>
      <c r="AE514" s="430"/>
      <c r="AF514" s="435"/>
      <c r="AG514" s="435"/>
      <c r="AH514" s="435"/>
      <c r="AI514" s="435"/>
      <c r="AJ514" s="435"/>
      <c r="AK514" s="435"/>
      <c r="AL514" s="435"/>
      <c r="AM514" s="321">
        <f>SUM(Y514:AL514)</f>
        <v>0</v>
      </c>
    </row>
    <row r="515" spans="1:39" ht="15" hidden="1" outlineLevel="1">
      <c r="A515" s="560"/>
      <c r="B515" s="451" t="s">
        <v>311</v>
      </c>
      <c r="C515" s="316" t="s">
        <v>164</v>
      </c>
      <c r="D515" s="320"/>
      <c r="E515" s="320"/>
      <c r="F515" s="320"/>
      <c r="G515" s="320"/>
      <c r="H515" s="320"/>
      <c r="I515" s="320"/>
      <c r="J515" s="320"/>
      <c r="K515" s="320"/>
      <c r="L515" s="320"/>
      <c r="M515" s="320"/>
      <c r="N515" s="320">
        <f>N514</f>
        <v>12</v>
      </c>
      <c r="O515" s="320"/>
      <c r="P515" s="320"/>
      <c r="Q515" s="320"/>
      <c r="R515" s="320"/>
      <c r="S515" s="320"/>
      <c r="T515" s="320"/>
      <c r="U515" s="320"/>
      <c r="V515" s="320"/>
      <c r="W515" s="320"/>
      <c r="X515" s="320"/>
      <c r="Y515" s="431">
        <f>Y514</f>
        <v>0</v>
      </c>
      <c r="Z515" s="431">
        <f t="shared" ref="Z515" si="1487">Z514</f>
        <v>0</v>
      </c>
      <c r="AA515" s="431">
        <f t="shared" ref="AA515" si="1488">AA514</f>
        <v>0</v>
      </c>
      <c r="AB515" s="431">
        <f t="shared" ref="AB515" si="1489">AB514</f>
        <v>0</v>
      </c>
      <c r="AC515" s="431">
        <f t="shared" ref="AC515" si="1490">AC514</f>
        <v>0</v>
      </c>
      <c r="AD515" s="431">
        <f t="shared" ref="AD515" si="1491">AD514</f>
        <v>0</v>
      </c>
      <c r="AE515" s="431">
        <f t="shared" ref="AE515" si="1492">AE514</f>
        <v>0</v>
      </c>
      <c r="AF515" s="431">
        <f t="shared" ref="AF515" si="1493">AF514</f>
        <v>0</v>
      </c>
      <c r="AG515" s="431">
        <f t="shared" ref="AG515" si="1494">AG514</f>
        <v>0</v>
      </c>
      <c r="AH515" s="431">
        <f t="shared" ref="AH515" si="1495">AH514</f>
        <v>0</v>
      </c>
      <c r="AI515" s="431">
        <f t="shared" ref="AI515" si="1496">AI514</f>
        <v>0</v>
      </c>
      <c r="AJ515" s="431">
        <f t="shared" ref="AJ515" si="1497">AJ514</f>
        <v>0</v>
      </c>
      <c r="AK515" s="431">
        <f t="shared" ref="AK515" si="1498">AK514</f>
        <v>0</v>
      </c>
      <c r="AL515" s="431">
        <f t="shared" ref="AL515" si="1499">AL514</f>
        <v>0</v>
      </c>
      <c r="AM515" s="331"/>
    </row>
    <row r="516" spans="1:39" ht="15" hidden="1" outlineLevel="1">
      <c r="A516" s="560"/>
      <c r="B516" s="448"/>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432"/>
      <c r="Z516" s="445"/>
      <c r="AA516" s="445"/>
      <c r="AB516" s="445"/>
      <c r="AC516" s="445"/>
      <c r="AD516" s="445"/>
      <c r="AE516" s="445"/>
      <c r="AF516" s="445"/>
      <c r="AG516" s="445"/>
      <c r="AH516" s="445"/>
      <c r="AI516" s="445"/>
      <c r="AJ516" s="445"/>
      <c r="AK516" s="445"/>
      <c r="AL516" s="445"/>
      <c r="AM516" s="331"/>
    </row>
    <row r="517" spans="1:39" ht="15.6" hidden="1" outlineLevel="1">
      <c r="A517" s="560"/>
      <c r="B517" s="533" t="s">
        <v>515</v>
      </c>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t="15" hidden="1" outlineLevel="1">
      <c r="A518" s="560">
        <v>33</v>
      </c>
      <c r="B518" s="448" t="s">
        <v>126</v>
      </c>
      <c r="C518" s="316" t="s">
        <v>25</v>
      </c>
      <c r="D518" s="320">
        <v>1201238.1100000006</v>
      </c>
      <c r="E518" s="320"/>
      <c r="F518" s="320"/>
      <c r="G518" s="320"/>
      <c r="H518" s="320"/>
      <c r="I518" s="320"/>
      <c r="J518" s="320"/>
      <c r="K518" s="320"/>
      <c r="L518" s="320"/>
      <c r="M518" s="320"/>
      <c r="N518" s="320">
        <v>0</v>
      </c>
      <c r="O518" s="320">
        <v>165.01549999999992</v>
      </c>
      <c r="P518" s="320"/>
      <c r="Q518" s="320"/>
      <c r="R518" s="320"/>
      <c r="S518" s="320"/>
      <c r="T518" s="320"/>
      <c r="U518" s="320"/>
      <c r="V518" s="320"/>
      <c r="W518" s="320"/>
      <c r="X518" s="320"/>
      <c r="Y518" s="446"/>
      <c r="Z518" s="430">
        <v>0.85</v>
      </c>
      <c r="AA518" s="430">
        <v>0.15</v>
      </c>
      <c r="AB518" s="430"/>
      <c r="AC518" s="430"/>
      <c r="AD518" s="430"/>
      <c r="AE518" s="430"/>
      <c r="AF518" s="435"/>
      <c r="AG518" s="435"/>
      <c r="AH518" s="435"/>
      <c r="AI518" s="435"/>
      <c r="AJ518" s="435"/>
      <c r="AK518" s="435"/>
      <c r="AL518" s="435"/>
      <c r="AM518" s="321">
        <f>SUM(Y518:AL518)</f>
        <v>1</v>
      </c>
    </row>
    <row r="519" spans="1:39" ht="15" hidden="1" outlineLevel="1">
      <c r="A519" s="560"/>
      <c r="B519" s="451" t="s">
        <v>311</v>
      </c>
      <c r="C519" s="316" t="s">
        <v>164</v>
      </c>
      <c r="D519" s="320"/>
      <c r="E519" s="320"/>
      <c r="F519" s="320"/>
      <c r="G519" s="320"/>
      <c r="H519" s="320"/>
      <c r="I519" s="320"/>
      <c r="J519" s="320"/>
      <c r="K519" s="320"/>
      <c r="L519" s="320"/>
      <c r="M519" s="320"/>
      <c r="N519" s="320">
        <f>N518</f>
        <v>0</v>
      </c>
      <c r="O519" s="320"/>
      <c r="P519" s="320"/>
      <c r="Q519" s="320"/>
      <c r="R519" s="320"/>
      <c r="S519" s="320"/>
      <c r="T519" s="320"/>
      <c r="U519" s="320"/>
      <c r="V519" s="320"/>
      <c r="W519" s="320"/>
      <c r="X519" s="320"/>
      <c r="Y519" s="431">
        <f>Y518</f>
        <v>0</v>
      </c>
      <c r="Z519" s="431">
        <f t="shared" ref="Z519" si="1500">Z518</f>
        <v>0.85</v>
      </c>
      <c r="AA519" s="431">
        <f t="shared" ref="AA519" si="1501">AA518</f>
        <v>0.15</v>
      </c>
      <c r="AB519" s="431">
        <f t="shared" ref="AB519" si="1502">AB518</f>
        <v>0</v>
      </c>
      <c r="AC519" s="431">
        <f t="shared" ref="AC519" si="1503">AC518</f>
        <v>0</v>
      </c>
      <c r="AD519" s="431">
        <f t="shared" ref="AD519" si="1504">AD518</f>
        <v>0</v>
      </c>
      <c r="AE519" s="431">
        <f t="shared" ref="AE519" si="1505">AE518</f>
        <v>0</v>
      </c>
      <c r="AF519" s="431">
        <f t="shared" ref="AF519" si="1506">AF518</f>
        <v>0</v>
      </c>
      <c r="AG519" s="431">
        <f t="shared" ref="AG519" si="1507">AG518</f>
        <v>0</v>
      </c>
      <c r="AH519" s="431">
        <f t="shared" ref="AH519" si="1508">AH518</f>
        <v>0</v>
      </c>
      <c r="AI519" s="431">
        <f t="shared" ref="AI519" si="1509">AI518</f>
        <v>0</v>
      </c>
      <c r="AJ519" s="431">
        <f t="shared" ref="AJ519" si="1510">AJ518</f>
        <v>0</v>
      </c>
      <c r="AK519" s="431">
        <f t="shared" ref="AK519" si="1511">AK518</f>
        <v>0</v>
      </c>
      <c r="AL519" s="431">
        <f t="shared" ref="AL519" si="1512">AL518</f>
        <v>0</v>
      </c>
      <c r="AM519" s="331"/>
    </row>
    <row r="520" spans="1:39" ht="15" hidden="1" outlineLevel="1">
      <c r="A520" s="560"/>
      <c r="B520" s="448"/>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432"/>
      <c r="Z520" s="445"/>
      <c r="AA520" s="445"/>
      <c r="AB520" s="445"/>
      <c r="AC520" s="445"/>
      <c r="AD520" s="445"/>
      <c r="AE520" s="445"/>
      <c r="AF520" s="445"/>
      <c r="AG520" s="445"/>
      <c r="AH520" s="445"/>
      <c r="AI520" s="445"/>
      <c r="AJ520" s="445"/>
      <c r="AK520" s="445"/>
      <c r="AL520" s="445"/>
      <c r="AM520" s="331"/>
    </row>
    <row r="521" spans="1:39" ht="15" hidden="1" outlineLevel="1">
      <c r="A521" s="560">
        <v>34</v>
      </c>
      <c r="B521" s="448" t="s">
        <v>127</v>
      </c>
      <c r="C521" s="316" t="s">
        <v>25</v>
      </c>
      <c r="D521" s="320"/>
      <c r="E521" s="320"/>
      <c r="F521" s="320"/>
      <c r="G521" s="320"/>
      <c r="H521" s="320"/>
      <c r="I521" s="320"/>
      <c r="J521" s="320"/>
      <c r="K521" s="320"/>
      <c r="L521" s="320"/>
      <c r="M521" s="320"/>
      <c r="N521" s="320">
        <v>0</v>
      </c>
      <c r="O521" s="320"/>
      <c r="P521" s="320"/>
      <c r="Q521" s="320"/>
      <c r="R521" s="320"/>
      <c r="S521" s="320"/>
      <c r="T521" s="320"/>
      <c r="U521" s="320"/>
      <c r="V521" s="320"/>
      <c r="W521" s="320"/>
      <c r="X521" s="320"/>
      <c r="Y521" s="446"/>
      <c r="Z521" s="430"/>
      <c r="AA521" s="430"/>
      <c r="AB521" s="430"/>
      <c r="AC521" s="430"/>
      <c r="AD521" s="430"/>
      <c r="AE521" s="430"/>
      <c r="AF521" s="435"/>
      <c r="AG521" s="435"/>
      <c r="AH521" s="435"/>
      <c r="AI521" s="435"/>
      <c r="AJ521" s="435"/>
      <c r="AK521" s="435"/>
      <c r="AL521" s="435"/>
      <c r="AM521" s="321">
        <f>SUM(Y521:AL521)</f>
        <v>0</v>
      </c>
    </row>
    <row r="522" spans="1:39" ht="15" hidden="1" outlineLevel="1">
      <c r="A522" s="560"/>
      <c r="B522" s="451" t="s">
        <v>311</v>
      </c>
      <c r="C522" s="316" t="s">
        <v>164</v>
      </c>
      <c r="D522" s="320"/>
      <c r="E522" s="320"/>
      <c r="F522" s="320"/>
      <c r="G522" s="320"/>
      <c r="H522" s="320"/>
      <c r="I522" s="320"/>
      <c r="J522" s="320"/>
      <c r="K522" s="320"/>
      <c r="L522" s="320"/>
      <c r="M522" s="320"/>
      <c r="N522" s="320">
        <f>N521</f>
        <v>0</v>
      </c>
      <c r="O522" s="320"/>
      <c r="P522" s="320"/>
      <c r="Q522" s="320"/>
      <c r="R522" s="320"/>
      <c r="S522" s="320"/>
      <c r="T522" s="320"/>
      <c r="U522" s="320"/>
      <c r="V522" s="320"/>
      <c r="W522" s="320"/>
      <c r="X522" s="320"/>
      <c r="Y522" s="431">
        <f>Y521</f>
        <v>0</v>
      </c>
      <c r="Z522" s="431">
        <f t="shared" ref="Z522" si="1513">Z521</f>
        <v>0</v>
      </c>
      <c r="AA522" s="431">
        <f t="shared" ref="AA522" si="1514">AA521</f>
        <v>0</v>
      </c>
      <c r="AB522" s="431">
        <f t="shared" ref="AB522" si="1515">AB521</f>
        <v>0</v>
      </c>
      <c r="AC522" s="431">
        <f t="shared" ref="AC522" si="1516">AC521</f>
        <v>0</v>
      </c>
      <c r="AD522" s="431">
        <f t="shared" ref="AD522" si="1517">AD521</f>
        <v>0</v>
      </c>
      <c r="AE522" s="431">
        <f t="shared" ref="AE522" si="1518">AE521</f>
        <v>0</v>
      </c>
      <c r="AF522" s="431">
        <f t="shared" ref="AF522" si="1519">AF521</f>
        <v>0</v>
      </c>
      <c r="AG522" s="431">
        <f t="shared" ref="AG522" si="1520">AG521</f>
        <v>0</v>
      </c>
      <c r="AH522" s="431">
        <f t="shared" ref="AH522" si="1521">AH521</f>
        <v>0</v>
      </c>
      <c r="AI522" s="431">
        <f t="shared" ref="AI522" si="1522">AI521</f>
        <v>0</v>
      </c>
      <c r="AJ522" s="431">
        <f t="shared" ref="AJ522" si="1523">AJ521</f>
        <v>0</v>
      </c>
      <c r="AK522" s="431">
        <f t="shared" ref="AK522" si="1524">AK521</f>
        <v>0</v>
      </c>
      <c r="AL522" s="431">
        <f t="shared" ref="AL522" si="1525">AL521</f>
        <v>0</v>
      </c>
      <c r="AM522" s="331"/>
    </row>
    <row r="523" spans="1:39" ht="15" hidden="1" outlineLevel="1">
      <c r="A523" s="560"/>
      <c r="B523" s="448"/>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432"/>
      <c r="Z523" s="445"/>
      <c r="AA523" s="445"/>
      <c r="AB523" s="445"/>
      <c r="AC523" s="445"/>
      <c r="AD523" s="445"/>
      <c r="AE523" s="445"/>
      <c r="AF523" s="445"/>
      <c r="AG523" s="445"/>
      <c r="AH523" s="445"/>
      <c r="AI523" s="445"/>
      <c r="AJ523" s="445"/>
      <c r="AK523" s="445"/>
      <c r="AL523" s="445"/>
      <c r="AM523" s="331"/>
    </row>
    <row r="524" spans="1:39" ht="15" hidden="1" outlineLevel="1">
      <c r="A524" s="560">
        <v>35</v>
      </c>
      <c r="B524" s="448" t="s">
        <v>128</v>
      </c>
      <c r="C524" s="316" t="s">
        <v>25</v>
      </c>
      <c r="D524" s="320">
        <v>27723000</v>
      </c>
      <c r="E524" s="320"/>
      <c r="F524" s="320"/>
      <c r="G524" s="320"/>
      <c r="H524" s="320"/>
      <c r="I524" s="320"/>
      <c r="J524" s="320"/>
      <c r="K524" s="320"/>
      <c r="L524" s="320"/>
      <c r="M524" s="320"/>
      <c r="N524" s="320">
        <v>0</v>
      </c>
      <c r="O524" s="320">
        <v>0</v>
      </c>
      <c r="P524" s="320"/>
      <c r="Q524" s="320"/>
      <c r="R524" s="320"/>
      <c r="S524" s="320"/>
      <c r="T524" s="320"/>
      <c r="U524" s="320"/>
      <c r="V524" s="320"/>
      <c r="W524" s="320"/>
      <c r="X524" s="320"/>
      <c r="Y524" s="446">
        <v>1</v>
      </c>
      <c r="Z524" s="430"/>
      <c r="AA524" s="430"/>
      <c r="AB524" s="430"/>
      <c r="AC524" s="430"/>
      <c r="AD524" s="430"/>
      <c r="AE524" s="430"/>
      <c r="AF524" s="435"/>
      <c r="AG524" s="435"/>
      <c r="AH524" s="435"/>
      <c r="AI524" s="435"/>
      <c r="AJ524" s="435"/>
      <c r="AK524" s="435"/>
      <c r="AL524" s="435"/>
      <c r="AM524" s="321">
        <f>SUM(Y524:AL524)</f>
        <v>1</v>
      </c>
    </row>
    <row r="525" spans="1:39" ht="15" hidden="1" outlineLevel="1">
      <c r="A525" s="560"/>
      <c r="B525" s="451" t="s">
        <v>311</v>
      </c>
      <c r="C525" s="316" t="s">
        <v>164</v>
      </c>
      <c r="D525" s="320"/>
      <c r="E525" s="320"/>
      <c r="F525" s="320"/>
      <c r="G525" s="320"/>
      <c r="H525" s="320"/>
      <c r="I525" s="320"/>
      <c r="J525" s="320"/>
      <c r="K525" s="320"/>
      <c r="L525" s="320"/>
      <c r="M525" s="320"/>
      <c r="N525" s="320">
        <f>N524</f>
        <v>0</v>
      </c>
      <c r="O525" s="320"/>
      <c r="P525" s="320"/>
      <c r="Q525" s="320"/>
      <c r="R525" s="320"/>
      <c r="S525" s="320"/>
      <c r="T525" s="320"/>
      <c r="U525" s="320"/>
      <c r="V525" s="320"/>
      <c r="W525" s="320"/>
      <c r="X525" s="320"/>
      <c r="Y525" s="431">
        <f>Y524</f>
        <v>1</v>
      </c>
      <c r="Z525" s="431">
        <f t="shared" ref="Z525" si="1526">Z524</f>
        <v>0</v>
      </c>
      <c r="AA525" s="431">
        <f t="shared" ref="AA525" si="1527">AA524</f>
        <v>0</v>
      </c>
      <c r="AB525" s="431">
        <f t="shared" ref="AB525" si="1528">AB524</f>
        <v>0</v>
      </c>
      <c r="AC525" s="431">
        <f t="shared" ref="AC525" si="1529">AC524</f>
        <v>0</v>
      </c>
      <c r="AD525" s="431">
        <f t="shared" ref="AD525" si="1530">AD524</f>
        <v>0</v>
      </c>
      <c r="AE525" s="431">
        <f t="shared" ref="AE525" si="1531">AE524</f>
        <v>0</v>
      </c>
      <c r="AF525" s="431">
        <f t="shared" ref="AF525" si="1532">AF524</f>
        <v>0</v>
      </c>
      <c r="AG525" s="431">
        <f t="shared" ref="AG525" si="1533">AG524</f>
        <v>0</v>
      </c>
      <c r="AH525" s="431">
        <f t="shared" ref="AH525" si="1534">AH524</f>
        <v>0</v>
      </c>
      <c r="AI525" s="431">
        <f t="shared" ref="AI525" si="1535">AI524</f>
        <v>0</v>
      </c>
      <c r="AJ525" s="431">
        <f t="shared" ref="AJ525" si="1536">AJ524</f>
        <v>0</v>
      </c>
      <c r="AK525" s="431">
        <f t="shared" ref="AK525" si="1537">AK524</f>
        <v>0</v>
      </c>
      <c r="AL525" s="431">
        <f t="shared" ref="AL525" si="1538">AL524</f>
        <v>0</v>
      </c>
      <c r="AM525" s="331"/>
    </row>
    <row r="526" spans="1:39" ht="15" hidden="1" outlineLevel="1">
      <c r="A526" s="560"/>
      <c r="B526" s="451"/>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432"/>
      <c r="Z526" s="445"/>
      <c r="AA526" s="445"/>
      <c r="AB526" s="445"/>
      <c r="AC526" s="445"/>
      <c r="AD526" s="445"/>
      <c r="AE526" s="445"/>
      <c r="AF526" s="445"/>
      <c r="AG526" s="445"/>
      <c r="AH526" s="445"/>
      <c r="AI526" s="445"/>
      <c r="AJ526" s="445"/>
      <c r="AK526" s="445"/>
      <c r="AL526" s="445"/>
      <c r="AM526" s="331"/>
    </row>
    <row r="527" spans="1:39" ht="15.6" hidden="1" outlineLevel="1">
      <c r="A527" s="560"/>
      <c r="B527" s="533" t="s">
        <v>516</v>
      </c>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45" hidden="1" outlineLevel="1">
      <c r="A528" s="560">
        <v>36</v>
      </c>
      <c r="B528" s="448" t="s">
        <v>129</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t="15"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39">Z528</f>
        <v>0</v>
      </c>
      <c r="AA529" s="431">
        <f t="shared" ref="AA529" si="1540">AA528</f>
        <v>0</v>
      </c>
      <c r="AB529" s="431">
        <f t="shared" ref="AB529" si="1541">AB528</f>
        <v>0</v>
      </c>
      <c r="AC529" s="431">
        <f t="shared" ref="AC529" si="1542">AC528</f>
        <v>0</v>
      </c>
      <c r="AD529" s="431">
        <f t="shared" ref="AD529" si="1543">AD528</f>
        <v>0</v>
      </c>
      <c r="AE529" s="431">
        <f t="shared" ref="AE529" si="1544">AE528</f>
        <v>0</v>
      </c>
      <c r="AF529" s="431">
        <f t="shared" ref="AF529" si="1545">AF528</f>
        <v>0</v>
      </c>
      <c r="AG529" s="431">
        <f t="shared" ref="AG529" si="1546">AG528</f>
        <v>0</v>
      </c>
      <c r="AH529" s="431">
        <f t="shared" ref="AH529" si="1547">AH528</f>
        <v>0</v>
      </c>
      <c r="AI529" s="431">
        <f t="shared" ref="AI529" si="1548">AI528</f>
        <v>0</v>
      </c>
      <c r="AJ529" s="431">
        <f t="shared" ref="AJ529" si="1549">AJ528</f>
        <v>0</v>
      </c>
      <c r="AK529" s="431">
        <f t="shared" ref="AK529" si="1550">AK528</f>
        <v>0</v>
      </c>
      <c r="AL529" s="431">
        <f t="shared" ref="AL529" si="1551">AL528</f>
        <v>0</v>
      </c>
      <c r="AM529" s="331"/>
    </row>
    <row r="530" spans="1:39" ht="15"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37</v>
      </c>
      <c r="B531" s="448" t="s">
        <v>130</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t="15"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52">Z531</f>
        <v>0</v>
      </c>
      <c r="AA532" s="431">
        <f t="shared" ref="AA532" si="1553">AA531</f>
        <v>0</v>
      </c>
      <c r="AB532" s="431">
        <f t="shared" ref="AB532" si="1554">AB531</f>
        <v>0</v>
      </c>
      <c r="AC532" s="431">
        <f t="shared" ref="AC532" si="1555">AC531</f>
        <v>0</v>
      </c>
      <c r="AD532" s="431">
        <f t="shared" ref="AD532" si="1556">AD531</f>
        <v>0</v>
      </c>
      <c r="AE532" s="431">
        <f t="shared" ref="AE532" si="1557">AE531</f>
        <v>0</v>
      </c>
      <c r="AF532" s="431">
        <f t="shared" ref="AF532" si="1558">AF531</f>
        <v>0</v>
      </c>
      <c r="AG532" s="431">
        <f t="shared" ref="AG532" si="1559">AG531</f>
        <v>0</v>
      </c>
      <c r="AH532" s="431">
        <f t="shared" ref="AH532" si="1560">AH531</f>
        <v>0</v>
      </c>
      <c r="AI532" s="431">
        <f t="shared" ref="AI532" si="1561">AI531</f>
        <v>0</v>
      </c>
      <c r="AJ532" s="431">
        <f t="shared" ref="AJ532" si="1562">AJ531</f>
        <v>0</v>
      </c>
      <c r="AK532" s="431">
        <f t="shared" ref="AK532" si="1563">AK531</f>
        <v>0</v>
      </c>
      <c r="AL532" s="431">
        <f t="shared" ref="AL532" si="1564">AL531</f>
        <v>0</v>
      </c>
      <c r="AM532" s="331"/>
    </row>
    <row r="533" spans="1:39" ht="15"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t="15" hidden="1" outlineLevel="1">
      <c r="A534" s="560">
        <v>38</v>
      </c>
      <c r="B534" s="448" t="s">
        <v>131</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t="15"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565">Z534</f>
        <v>0</v>
      </c>
      <c r="AA535" s="431">
        <f t="shared" ref="AA535" si="1566">AA534</f>
        <v>0</v>
      </c>
      <c r="AB535" s="431">
        <f t="shared" ref="AB535" si="1567">AB534</f>
        <v>0</v>
      </c>
      <c r="AC535" s="431">
        <f t="shared" ref="AC535" si="1568">AC534</f>
        <v>0</v>
      </c>
      <c r="AD535" s="431">
        <f t="shared" ref="AD535" si="1569">AD534</f>
        <v>0</v>
      </c>
      <c r="AE535" s="431">
        <f t="shared" ref="AE535" si="1570">AE534</f>
        <v>0</v>
      </c>
      <c r="AF535" s="431">
        <f t="shared" ref="AF535" si="1571">AF534</f>
        <v>0</v>
      </c>
      <c r="AG535" s="431">
        <f t="shared" ref="AG535" si="1572">AG534</f>
        <v>0</v>
      </c>
      <c r="AH535" s="431">
        <f t="shared" ref="AH535" si="1573">AH534</f>
        <v>0</v>
      </c>
      <c r="AI535" s="431">
        <f t="shared" ref="AI535" si="1574">AI534</f>
        <v>0</v>
      </c>
      <c r="AJ535" s="431">
        <f t="shared" ref="AJ535" si="1575">AJ534</f>
        <v>0</v>
      </c>
      <c r="AK535" s="431">
        <f t="shared" ref="AK535" si="1576">AK534</f>
        <v>0</v>
      </c>
      <c r="AL535" s="431">
        <f t="shared" ref="AL535" si="1577">AL534</f>
        <v>0</v>
      </c>
      <c r="AM535" s="331"/>
    </row>
    <row r="536" spans="1:39" ht="15"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30" hidden="1" outlineLevel="1">
      <c r="A537" s="560">
        <v>39</v>
      </c>
      <c r="B537" s="448" t="s">
        <v>132</v>
      </c>
      <c r="C537" s="316" t="s">
        <v>25</v>
      </c>
      <c r="D537" s="320"/>
      <c r="E537" s="320"/>
      <c r="F537" s="320"/>
      <c r="G537" s="320"/>
      <c r="H537" s="320"/>
      <c r="I537" s="320"/>
      <c r="J537" s="320"/>
      <c r="K537" s="320"/>
      <c r="L537" s="320"/>
      <c r="M537" s="320"/>
      <c r="N537" s="320">
        <v>0</v>
      </c>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t="15" hidden="1" outlineLevel="1">
      <c r="A538" s="560"/>
      <c r="B538" s="451" t="s">
        <v>311</v>
      </c>
      <c r="C538" s="316" t="s">
        <v>164</v>
      </c>
      <c r="D538" s="320"/>
      <c r="E538" s="320"/>
      <c r="F538" s="320"/>
      <c r="G538" s="320"/>
      <c r="H538" s="320"/>
      <c r="I538" s="320"/>
      <c r="J538" s="320"/>
      <c r="K538" s="320"/>
      <c r="L538" s="320"/>
      <c r="M538" s="320"/>
      <c r="N538" s="320">
        <f>N537</f>
        <v>0</v>
      </c>
      <c r="O538" s="320"/>
      <c r="P538" s="320"/>
      <c r="Q538" s="320"/>
      <c r="R538" s="320"/>
      <c r="S538" s="320"/>
      <c r="T538" s="320"/>
      <c r="U538" s="320"/>
      <c r="V538" s="320"/>
      <c r="W538" s="320"/>
      <c r="X538" s="320"/>
      <c r="Y538" s="431">
        <f>Y537</f>
        <v>0</v>
      </c>
      <c r="Z538" s="431">
        <f t="shared" ref="Z538" si="1578">Z537</f>
        <v>0</v>
      </c>
      <c r="AA538" s="431">
        <f t="shared" ref="AA538" si="1579">AA537</f>
        <v>0</v>
      </c>
      <c r="AB538" s="431">
        <f t="shared" ref="AB538" si="1580">AB537</f>
        <v>0</v>
      </c>
      <c r="AC538" s="431">
        <f t="shared" ref="AC538" si="1581">AC537</f>
        <v>0</v>
      </c>
      <c r="AD538" s="431">
        <f t="shared" ref="AD538" si="1582">AD537</f>
        <v>0</v>
      </c>
      <c r="AE538" s="431">
        <f t="shared" ref="AE538" si="1583">AE537</f>
        <v>0</v>
      </c>
      <c r="AF538" s="431">
        <f t="shared" ref="AF538" si="1584">AF537</f>
        <v>0</v>
      </c>
      <c r="AG538" s="431">
        <f t="shared" ref="AG538" si="1585">AG537</f>
        <v>0</v>
      </c>
      <c r="AH538" s="431">
        <f t="shared" ref="AH538" si="1586">AH537</f>
        <v>0</v>
      </c>
      <c r="AI538" s="431">
        <f t="shared" ref="AI538" si="1587">AI537</f>
        <v>0</v>
      </c>
      <c r="AJ538" s="431">
        <f t="shared" ref="AJ538" si="1588">AJ537</f>
        <v>0</v>
      </c>
      <c r="AK538" s="431">
        <f t="shared" ref="AK538" si="1589">AK537</f>
        <v>0</v>
      </c>
      <c r="AL538" s="431">
        <f t="shared" ref="AL538" si="1590">AL537</f>
        <v>0</v>
      </c>
      <c r="AM538" s="331"/>
    </row>
    <row r="539" spans="1:39" ht="15"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30" hidden="1" outlineLevel="1">
      <c r="A540" s="560">
        <v>40</v>
      </c>
      <c r="B540" s="448" t="s">
        <v>133</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t="15"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591">Z540</f>
        <v>0</v>
      </c>
      <c r="AA541" s="431">
        <f t="shared" ref="AA541" si="1592">AA540</f>
        <v>0</v>
      </c>
      <c r="AB541" s="431">
        <f t="shared" ref="AB541" si="1593">AB540</f>
        <v>0</v>
      </c>
      <c r="AC541" s="431">
        <f t="shared" ref="AC541" si="1594">AC540</f>
        <v>0</v>
      </c>
      <c r="AD541" s="431">
        <f t="shared" ref="AD541" si="1595">AD540</f>
        <v>0</v>
      </c>
      <c r="AE541" s="431">
        <f t="shared" ref="AE541" si="1596">AE540</f>
        <v>0</v>
      </c>
      <c r="AF541" s="431">
        <f t="shared" ref="AF541" si="1597">AF540</f>
        <v>0</v>
      </c>
      <c r="AG541" s="431">
        <f t="shared" ref="AG541" si="1598">AG540</f>
        <v>0</v>
      </c>
      <c r="AH541" s="431">
        <f t="shared" ref="AH541" si="1599">AH540</f>
        <v>0</v>
      </c>
      <c r="AI541" s="431">
        <f t="shared" ref="AI541" si="1600">AI540</f>
        <v>0</v>
      </c>
      <c r="AJ541" s="431">
        <f t="shared" ref="AJ541" si="1601">AJ540</f>
        <v>0</v>
      </c>
      <c r="AK541" s="431">
        <f t="shared" ref="AK541" si="1602">AK540</f>
        <v>0</v>
      </c>
      <c r="AL541" s="431">
        <f t="shared" ref="AL541" si="1603">AL540</f>
        <v>0</v>
      </c>
      <c r="AM541" s="331"/>
    </row>
    <row r="542" spans="1:39" ht="15"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41</v>
      </c>
      <c r="B543" s="448" t="s">
        <v>134</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t="15"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04">Z543</f>
        <v>0</v>
      </c>
      <c r="AA544" s="431">
        <f t="shared" ref="AA544" si="1605">AA543</f>
        <v>0</v>
      </c>
      <c r="AB544" s="431">
        <f t="shared" ref="AB544" si="1606">AB543</f>
        <v>0</v>
      </c>
      <c r="AC544" s="431">
        <f t="shared" ref="AC544" si="1607">AC543</f>
        <v>0</v>
      </c>
      <c r="AD544" s="431">
        <f t="shared" ref="AD544" si="1608">AD543</f>
        <v>0</v>
      </c>
      <c r="AE544" s="431">
        <f t="shared" ref="AE544" si="1609">AE543</f>
        <v>0</v>
      </c>
      <c r="AF544" s="431">
        <f t="shared" ref="AF544" si="1610">AF543</f>
        <v>0</v>
      </c>
      <c r="AG544" s="431">
        <f t="shared" ref="AG544" si="1611">AG543</f>
        <v>0</v>
      </c>
      <c r="AH544" s="431">
        <f t="shared" ref="AH544" si="1612">AH543</f>
        <v>0</v>
      </c>
      <c r="AI544" s="431">
        <f t="shared" ref="AI544" si="1613">AI543</f>
        <v>0</v>
      </c>
      <c r="AJ544" s="431">
        <f t="shared" ref="AJ544" si="1614">AJ543</f>
        <v>0</v>
      </c>
      <c r="AK544" s="431">
        <f t="shared" ref="AK544" si="1615">AK543</f>
        <v>0</v>
      </c>
      <c r="AL544" s="431">
        <f t="shared" ref="AL544" si="1616">AL543</f>
        <v>0</v>
      </c>
      <c r="AM544" s="331"/>
    </row>
    <row r="545" spans="1:39" ht="15"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30" hidden="1" outlineLevel="1">
      <c r="A546" s="560">
        <v>42</v>
      </c>
      <c r="B546" s="448" t="s">
        <v>135</v>
      </c>
      <c r="C546" s="316" t="s">
        <v>25</v>
      </c>
      <c r="D546" s="320"/>
      <c r="E546" s="320"/>
      <c r="F546" s="320"/>
      <c r="G546" s="320"/>
      <c r="H546" s="320"/>
      <c r="I546" s="320"/>
      <c r="J546" s="320"/>
      <c r="K546" s="320"/>
      <c r="L546" s="320"/>
      <c r="M546" s="320"/>
      <c r="N546" s="316"/>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t="15" hidden="1" outlineLevel="1">
      <c r="A547" s="560"/>
      <c r="B547" s="451" t="s">
        <v>311</v>
      </c>
      <c r="C547" s="316" t="s">
        <v>164</v>
      </c>
      <c r="D547" s="320"/>
      <c r="E547" s="320"/>
      <c r="F547" s="320"/>
      <c r="G547" s="320"/>
      <c r="H547" s="320"/>
      <c r="I547" s="320"/>
      <c r="J547" s="320"/>
      <c r="K547" s="320"/>
      <c r="L547" s="320"/>
      <c r="M547" s="320"/>
      <c r="N547" s="488"/>
      <c r="O547" s="320"/>
      <c r="P547" s="320"/>
      <c r="Q547" s="320"/>
      <c r="R547" s="320"/>
      <c r="S547" s="320"/>
      <c r="T547" s="320"/>
      <c r="U547" s="320"/>
      <c r="V547" s="320"/>
      <c r="W547" s="320"/>
      <c r="X547" s="320"/>
      <c r="Y547" s="431">
        <f>Y546</f>
        <v>0</v>
      </c>
      <c r="Z547" s="431">
        <f t="shared" ref="Z547" si="1617">Z546</f>
        <v>0</v>
      </c>
      <c r="AA547" s="431">
        <f t="shared" ref="AA547" si="1618">AA546</f>
        <v>0</v>
      </c>
      <c r="AB547" s="431">
        <f t="shared" ref="AB547" si="1619">AB546</f>
        <v>0</v>
      </c>
      <c r="AC547" s="431">
        <f t="shared" ref="AC547" si="1620">AC546</f>
        <v>0</v>
      </c>
      <c r="AD547" s="431">
        <f t="shared" ref="AD547" si="1621">AD546</f>
        <v>0</v>
      </c>
      <c r="AE547" s="431">
        <f t="shared" ref="AE547" si="1622">AE546</f>
        <v>0</v>
      </c>
      <c r="AF547" s="431">
        <f t="shared" ref="AF547" si="1623">AF546</f>
        <v>0</v>
      </c>
      <c r="AG547" s="431">
        <f t="shared" ref="AG547" si="1624">AG546</f>
        <v>0</v>
      </c>
      <c r="AH547" s="431">
        <f t="shared" ref="AH547" si="1625">AH546</f>
        <v>0</v>
      </c>
      <c r="AI547" s="431">
        <f t="shared" ref="AI547" si="1626">AI546</f>
        <v>0</v>
      </c>
      <c r="AJ547" s="431">
        <f t="shared" ref="AJ547" si="1627">AJ546</f>
        <v>0</v>
      </c>
      <c r="AK547" s="431">
        <f t="shared" ref="AK547" si="1628">AK546</f>
        <v>0</v>
      </c>
      <c r="AL547" s="431">
        <f t="shared" ref="AL547" si="1629">AL546</f>
        <v>0</v>
      </c>
      <c r="AM547" s="331"/>
    </row>
    <row r="548" spans="1:39" ht="15"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15" hidden="1" outlineLevel="1">
      <c r="A549" s="560">
        <v>43</v>
      </c>
      <c r="B549" s="448" t="s">
        <v>136</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t="15"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30">Z549</f>
        <v>0</v>
      </c>
      <c r="AA550" s="431">
        <f t="shared" ref="AA550" si="1631">AA549</f>
        <v>0</v>
      </c>
      <c r="AB550" s="431">
        <f t="shared" ref="AB550" si="1632">AB549</f>
        <v>0</v>
      </c>
      <c r="AC550" s="431">
        <f t="shared" ref="AC550" si="1633">AC549</f>
        <v>0</v>
      </c>
      <c r="AD550" s="431">
        <f t="shared" ref="AD550" si="1634">AD549</f>
        <v>0</v>
      </c>
      <c r="AE550" s="431">
        <f t="shared" ref="AE550" si="1635">AE549</f>
        <v>0</v>
      </c>
      <c r="AF550" s="431">
        <f t="shared" ref="AF550" si="1636">AF549</f>
        <v>0</v>
      </c>
      <c r="AG550" s="431">
        <f t="shared" ref="AG550" si="1637">AG549</f>
        <v>0</v>
      </c>
      <c r="AH550" s="431">
        <f t="shared" ref="AH550" si="1638">AH549</f>
        <v>0</v>
      </c>
      <c r="AI550" s="431">
        <f t="shared" ref="AI550" si="1639">AI549</f>
        <v>0</v>
      </c>
      <c r="AJ550" s="431">
        <f t="shared" ref="AJ550" si="1640">AJ549</f>
        <v>0</v>
      </c>
      <c r="AK550" s="431">
        <f t="shared" ref="AK550" si="1641">AK549</f>
        <v>0</v>
      </c>
      <c r="AL550" s="431">
        <f t="shared" ref="AL550" si="1642">AL549</f>
        <v>0</v>
      </c>
      <c r="AM550" s="331"/>
    </row>
    <row r="551" spans="1:39" ht="15"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45" hidden="1" outlineLevel="1">
      <c r="A552" s="560">
        <v>44</v>
      </c>
      <c r="B552" s="448" t="s">
        <v>137</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t="15"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43">Z552</f>
        <v>0</v>
      </c>
      <c r="AA553" s="431">
        <f t="shared" ref="AA553" si="1644">AA552</f>
        <v>0</v>
      </c>
      <c r="AB553" s="431">
        <f t="shared" ref="AB553" si="1645">AB552</f>
        <v>0</v>
      </c>
      <c r="AC553" s="431">
        <f t="shared" ref="AC553" si="1646">AC552</f>
        <v>0</v>
      </c>
      <c r="AD553" s="431">
        <f t="shared" ref="AD553" si="1647">AD552</f>
        <v>0</v>
      </c>
      <c r="AE553" s="431">
        <f t="shared" ref="AE553" si="1648">AE552</f>
        <v>0</v>
      </c>
      <c r="AF553" s="431">
        <f t="shared" ref="AF553" si="1649">AF552</f>
        <v>0</v>
      </c>
      <c r="AG553" s="431">
        <f t="shared" ref="AG553" si="1650">AG552</f>
        <v>0</v>
      </c>
      <c r="AH553" s="431">
        <f t="shared" ref="AH553" si="1651">AH552</f>
        <v>0</v>
      </c>
      <c r="AI553" s="431">
        <f t="shared" ref="AI553" si="1652">AI552</f>
        <v>0</v>
      </c>
      <c r="AJ553" s="431">
        <f t="shared" ref="AJ553" si="1653">AJ552</f>
        <v>0</v>
      </c>
      <c r="AK553" s="431">
        <f t="shared" ref="AK553" si="1654">AK552</f>
        <v>0</v>
      </c>
      <c r="AL553" s="431">
        <f t="shared" ref="AL553" si="1655">AL552</f>
        <v>0</v>
      </c>
      <c r="AM553" s="331"/>
    </row>
    <row r="554" spans="1:39" ht="15"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30" hidden="1" outlineLevel="1">
      <c r="A555" s="560">
        <v>45</v>
      </c>
      <c r="B555" s="448" t="s">
        <v>138</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t="15"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56">Z555</f>
        <v>0</v>
      </c>
      <c r="AA556" s="431">
        <f t="shared" ref="AA556" si="1657">AA555</f>
        <v>0</v>
      </c>
      <c r="AB556" s="431">
        <f t="shared" ref="AB556" si="1658">AB555</f>
        <v>0</v>
      </c>
      <c r="AC556" s="431">
        <f t="shared" ref="AC556" si="1659">AC555</f>
        <v>0</v>
      </c>
      <c r="AD556" s="431">
        <f t="shared" ref="AD556" si="1660">AD555</f>
        <v>0</v>
      </c>
      <c r="AE556" s="431">
        <f t="shared" ref="AE556" si="1661">AE555</f>
        <v>0</v>
      </c>
      <c r="AF556" s="431">
        <f t="shared" ref="AF556" si="1662">AF555</f>
        <v>0</v>
      </c>
      <c r="AG556" s="431">
        <f t="shared" ref="AG556" si="1663">AG555</f>
        <v>0</v>
      </c>
      <c r="AH556" s="431">
        <f t="shared" ref="AH556" si="1664">AH555</f>
        <v>0</v>
      </c>
      <c r="AI556" s="431">
        <f t="shared" ref="AI556" si="1665">AI555</f>
        <v>0</v>
      </c>
      <c r="AJ556" s="431">
        <f t="shared" ref="AJ556" si="1666">AJ555</f>
        <v>0</v>
      </c>
      <c r="AK556" s="431">
        <f t="shared" ref="AK556" si="1667">AK555</f>
        <v>0</v>
      </c>
      <c r="AL556" s="431">
        <f t="shared" ref="AL556" si="1668">AL555</f>
        <v>0</v>
      </c>
      <c r="AM556" s="331"/>
    </row>
    <row r="557" spans="1:39" ht="15"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46</v>
      </c>
      <c r="B558" s="448" t="s">
        <v>139</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t="15"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669">Z558</f>
        <v>0</v>
      </c>
      <c r="AA559" s="431">
        <f t="shared" ref="AA559" si="1670">AA558</f>
        <v>0</v>
      </c>
      <c r="AB559" s="431">
        <f t="shared" ref="AB559" si="1671">AB558</f>
        <v>0</v>
      </c>
      <c r="AC559" s="431">
        <f t="shared" ref="AC559" si="1672">AC558</f>
        <v>0</v>
      </c>
      <c r="AD559" s="431">
        <f t="shared" ref="AD559" si="1673">AD558</f>
        <v>0</v>
      </c>
      <c r="AE559" s="431">
        <f t="shared" ref="AE559" si="1674">AE558</f>
        <v>0</v>
      </c>
      <c r="AF559" s="431">
        <f t="shared" ref="AF559" si="1675">AF558</f>
        <v>0</v>
      </c>
      <c r="AG559" s="431">
        <f t="shared" ref="AG559" si="1676">AG558</f>
        <v>0</v>
      </c>
      <c r="AH559" s="431">
        <f t="shared" ref="AH559" si="1677">AH558</f>
        <v>0</v>
      </c>
      <c r="AI559" s="431">
        <f t="shared" ref="AI559" si="1678">AI558</f>
        <v>0</v>
      </c>
      <c r="AJ559" s="431">
        <f t="shared" ref="AJ559" si="1679">AJ558</f>
        <v>0</v>
      </c>
      <c r="AK559" s="431">
        <f t="shared" ref="AK559" si="1680">AK558</f>
        <v>0</v>
      </c>
      <c r="AL559" s="431">
        <f t="shared" ref="AL559" si="1681">AL558</f>
        <v>0</v>
      </c>
      <c r="AM559" s="331"/>
    </row>
    <row r="560" spans="1:39" ht="15" hidden="1" outlineLevel="1">
      <c r="A560" s="560"/>
      <c r="B560" s="448"/>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432"/>
      <c r="Z560" s="445"/>
      <c r="AA560" s="445"/>
      <c r="AB560" s="445"/>
      <c r="AC560" s="445"/>
      <c r="AD560" s="445"/>
      <c r="AE560" s="445"/>
      <c r="AF560" s="445"/>
      <c r="AG560" s="445"/>
      <c r="AH560" s="445"/>
      <c r="AI560" s="445"/>
      <c r="AJ560" s="445"/>
      <c r="AK560" s="445"/>
      <c r="AL560" s="445"/>
      <c r="AM560" s="331"/>
    </row>
    <row r="561" spans="1:39" ht="30" hidden="1" outlineLevel="1">
      <c r="A561" s="560">
        <v>47</v>
      </c>
      <c r="B561" s="448" t="s">
        <v>140</v>
      </c>
      <c r="C561" s="316" t="s">
        <v>25</v>
      </c>
      <c r="D561" s="320"/>
      <c r="E561" s="320"/>
      <c r="F561" s="320"/>
      <c r="G561" s="320"/>
      <c r="H561" s="320"/>
      <c r="I561" s="320"/>
      <c r="J561" s="320"/>
      <c r="K561" s="320"/>
      <c r="L561" s="320"/>
      <c r="M561" s="320"/>
      <c r="N561" s="320">
        <v>0</v>
      </c>
      <c r="O561" s="320"/>
      <c r="P561" s="320"/>
      <c r="Q561" s="320"/>
      <c r="R561" s="320"/>
      <c r="S561" s="320"/>
      <c r="T561" s="320"/>
      <c r="U561" s="320"/>
      <c r="V561" s="320"/>
      <c r="W561" s="320"/>
      <c r="X561" s="320"/>
      <c r="Y561" s="446"/>
      <c r="Z561" s="430"/>
      <c r="AA561" s="430"/>
      <c r="AB561" s="430"/>
      <c r="AC561" s="430"/>
      <c r="AD561" s="430"/>
      <c r="AE561" s="430"/>
      <c r="AF561" s="435"/>
      <c r="AG561" s="435"/>
      <c r="AH561" s="435"/>
      <c r="AI561" s="435"/>
      <c r="AJ561" s="435"/>
      <c r="AK561" s="435"/>
      <c r="AL561" s="435"/>
      <c r="AM561" s="321">
        <f>SUM(Y561:AL561)</f>
        <v>0</v>
      </c>
    </row>
    <row r="562" spans="1:39" ht="15" hidden="1" outlineLevel="1">
      <c r="A562" s="560"/>
      <c r="B562" s="451" t="s">
        <v>311</v>
      </c>
      <c r="C562" s="316" t="s">
        <v>164</v>
      </c>
      <c r="D562" s="320"/>
      <c r="E562" s="320"/>
      <c r="F562" s="320"/>
      <c r="G562" s="320"/>
      <c r="H562" s="320"/>
      <c r="I562" s="320"/>
      <c r="J562" s="320"/>
      <c r="K562" s="320"/>
      <c r="L562" s="320"/>
      <c r="M562" s="320"/>
      <c r="N562" s="320">
        <f>N561</f>
        <v>0</v>
      </c>
      <c r="O562" s="320"/>
      <c r="P562" s="320"/>
      <c r="Q562" s="320"/>
      <c r="R562" s="320"/>
      <c r="S562" s="320"/>
      <c r="T562" s="320"/>
      <c r="U562" s="320"/>
      <c r="V562" s="320"/>
      <c r="W562" s="320"/>
      <c r="X562" s="320"/>
      <c r="Y562" s="431">
        <f>Y561</f>
        <v>0</v>
      </c>
      <c r="Z562" s="431">
        <f t="shared" ref="Z562" si="1682">Z561</f>
        <v>0</v>
      </c>
      <c r="AA562" s="431">
        <f t="shared" ref="AA562" si="1683">AA561</f>
        <v>0</v>
      </c>
      <c r="AB562" s="431">
        <f t="shared" ref="AB562" si="1684">AB561</f>
        <v>0</v>
      </c>
      <c r="AC562" s="431">
        <f t="shared" ref="AC562" si="1685">AC561</f>
        <v>0</v>
      </c>
      <c r="AD562" s="431">
        <f t="shared" ref="AD562" si="1686">AD561</f>
        <v>0</v>
      </c>
      <c r="AE562" s="431">
        <f t="shared" ref="AE562" si="1687">AE561</f>
        <v>0</v>
      </c>
      <c r="AF562" s="431">
        <f t="shared" ref="AF562" si="1688">AF561</f>
        <v>0</v>
      </c>
      <c r="AG562" s="431">
        <f t="shared" ref="AG562" si="1689">AG561</f>
        <v>0</v>
      </c>
      <c r="AH562" s="431">
        <f t="shared" ref="AH562" si="1690">AH561</f>
        <v>0</v>
      </c>
      <c r="AI562" s="431">
        <f t="shared" ref="AI562" si="1691">AI561</f>
        <v>0</v>
      </c>
      <c r="AJ562" s="431">
        <f t="shared" ref="AJ562" si="1692">AJ561</f>
        <v>0</v>
      </c>
      <c r="AK562" s="431">
        <f t="shared" ref="AK562" si="1693">AK561</f>
        <v>0</v>
      </c>
      <c r="AL562" s="431">
        <f t="shared" ref="AL562" si="1694">AL561</f>
        <v>0</v>
      </c>
      <c r="AM562" s="331"/>
    </row>
    <row r="563" spans="1:39" ht="15" hidden="1" outlineLevel="1">
      <c r="A563" s="560"/>
      <c r="B563" s="448"/>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432"/>
      <c r="Z563" s="445"/>
      <c r="AA563" s="445"/>
      <c r="AB563" s="445"/>
      <c r="AC563" s="445"/>
      <c r="AD563" s="445"/>
      <c r="AE563" s="445"/>
      <c r="AF563" s="445"/>
      <c r="AG563" s="445"/>
      <c r="AH563" s="445"/>
      <c r="AI563" s="445"/>
      <c r="AJ563" s="445"/>
      <c r="AK563" s="445"/>
      <c r="AL563" s="445"/>
      <c r="AM563" s="331"/>
    </row>
    <row r="564" spans="1:39" ht="30" hidden="1" outlineLevel="1">
      <c r="A564" s="560">
        <v>48</v>
      </c>
      <c r="B564" s="448" t="s">
        <v>141</v>
      </c>
      <c r="C564" s="316" t="s">
        <v>25</v>
      </c>
      <c r="D564" s="320"/>
      <c r="E564" s="320"/>
      <c r="F564" s="320"/>
      <c r="G564" s="320"/>
      <c r="H564" s="320"/>
      <c r="I564" s="320"/>
      <c r="J564" s="320"/>
      <c r="K564" s="320"/>
      <c r="L564" s="320"/>
      <c r="M564" s="320"/>
      <c r="N564" s="320">
        <v>0</v>
      </c>
      <c r="O564" s="320"/>
      <c r="P564" s="320"/>
      <c r="Q564" s="320"/>
      <c r="R564" s="320"/>
      <c r="S564" s="320"/>
      <c r="T564" s="320"/>
      <c r="U564" s="320"/>
      <c r="V564" s="320"/>
      <c r="W564" s="320"/>
      <c r="X564" s="320"/>
      <c r="Y564" s="446"/>
      <c r="Z564" s="430"/>
      <c r="AA564" s="430"/>
      <c r="AB564" s="430"/>
      <c r="AC564" s="430"/>
      <c r="AD564" s="430"/>
      <c r="AE564" s="430"/>
      <c r="AF564" s="435"/>
      <c r="AG564" s="435"/>
      <c r="AH564" s="435"/>
      <c r="AI564" s="435"/>
      <c r="AJ564" s="435"/>
      <c r="AK564" s="435"/>
      <c r="AL564" s="435"/>
      <c r="AM564" s="321">
        <f>SUM(Y564:AL564)</f>
        <v>0</v>
      </c>
    </row>
    <row r="565" spans="1:39" ht="15" hidden="1" outlineLevel="1">
      <c r="A565" s="560"/>
      <c r="B565" s="451" t="s">
        <v>311</v>
      </c>
      <c r="C565" s="316" t="s">
        <v>164</v>
      </c>
      <c r="D565" s="320"/>
      <c r="E565" s="320"/>
      <c r="F565" s="320"/>
      <c r="G565" s="320"/>
      <c r="H565" s="320"/>
      <c r="I565" s="320"/>
      <c r="J565" s="320"/>
      <c r="K565" s="320"/>
      <c r="L565" s="320"/>
      <c r="M565" s="320"/>
      <c r="N565" s="320">
        <f>N564</f>
        <v>0</v>
      </c>
      <c r="O565" s="320"/>
      <c r="P565" s="320"/>
      <c r="Q565" s="320"/>
      <c r="R565" s="320"/>
      <c r="S565" s="320"/>
      <c r="T565" s="320"/>
      <c r="U565" s="320"/>
      <c r="V565" s="320"/>
      <c r="W565" s="320"/>
      <c r="X565" s="320"/>
      <c r="Y565" s="431">
        <f>Y564</f>
        <v>0</v>
      </c>
      <c r="Z565" s="431">
        <f t="shared" ref="Z565" si="1695">Z564</f>
        <v>0</v>
      </c>
      <c r="AA565" s="431">
        <f t="shared" ref="AA565" si="1696">AA564</f>
        <v>0</v>
      </c>
      <c r="AB565" s="431">
        <f t="shared" ref="AB565" si="1697">AB564</f>
        <v>0</v>
      </c>
      <c r="AC565" s="431">
        <f t="shared" ref="AC565" si="1698">AC564</f>
        <v>0</v>
      </c>
      <c r="AD565" s="431">
        <f t="shared" ref="AD565" si="1699">AD564</f>
        <v>0</v>
      </c>
      <c r="AE565" s="431">
        <f t="shared" ref="AE565" si="1700">AE564</f>
        <v>0</v>
      </c>
      <c r="AF565" s="431">
        <f t="shared" ref="AF565" si="1701">AF564</f>
        <v>0</v>
      </c>
      <c r="AG565" s="431">
        <f t="shared" ref="AG565" si="1702">AG564</f>
        <v>0</v>
      </c>
      <c r="AH565" s="431">
        <f t="shared" ref="AH565" si="1703">AH564</f>
        <v>0</v>
      </c>
      <c r="AI565" s="431">
        <f t="shared" ref="AI565" si="1704">AI564</f>
        <v>0</v>
      </c>
      <c r="AJ565" s="431">
        <f t="shared" ref="AJ565" si="1705">AJ564</f>
        <v>0</v>
      </c>
      <c r="AK565" s="431">
        <f t="shared" ref="AK565" si="1706">AK564</f>
        <v>0</v>
      </c>
      <c r="AL565" s="431">
        <f t="shared" ref="AL565" si="1707">AL564</f>
        <v>0</v>
      </c>
      <c r="AM565" s="331"/>
    </row>
    <row r="566" spans="1:39" ht="15" hidden="1" outlineLevel="1">
      <c r="A566" s="560"/>
      <c r="B566" s="448"/>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432"/>
      <c r="Z566" s="445"/>
      <c r="AA566" s="445"/>
      <c r="AB566" s="445"/>
      <c r="AC566" s="445"/>
      <c r="AD566" s="445"/>
      <c r="AE566" s="445"/>
      <c r="AF566" s="445"/>
      <c r="AG566" s="445"/>
      <c r="AH566" s="445"/>
      <c r="AI566" s="445"/>
      <c r="AJ566" s="445"/>
      <c r="AK566" s="445"/>
      <c r="AL566" s="445"/>
      <c r="AM566" s="331"/>
    </row>
    <row r="567" spans="1:39" ht="30" hidden="1" outlineLevel="1">
      <c r="A567" s="560">
        <v>49</v>
      </c>
      <c r="B567" s="448" t="s">
        <v>142</v>
      </c>
      <c r="C567" s="316" t="s">
        <v>25</v>
      </c>
      <c r="D567" s="320"/>
      <c r="E567" s="320"/>
      <c r="F567" s="320"/>
      <c r="G567" s="320"/>
      <c r="H567" s="320"/>
      <c r="I567" s="320"/>
      <c r="J567" s="320"/>
      <c r="K567" s="320"/>
      <c r="L567" s="320"/>
      <c r="M567" s="320"/>
      <c r="N567" s="320">
        <v>0</v>
      </c>
      <c r="O567" s="320"/>
      <c r="P567" s="320"/>
      <c r="Q567" s="320"/>
      <c r="R567" s="320"/>
      <c r="S567" s="320"/>
      <c r="T567" s="320"/>
      <c r="U567" s="320"/>
      <c r="V567" s="320"/>
      <c r="W567" s="320"/>
      <c r="X567" s="320"/>
      <c r="Y567" s="446"/>
      <c r="Z567" s="430"/>
      <c r="AA567" s="430"/>
      <c r="AB567" s="430"/>
      <c r="AC567" s="430"/>
      <c r="AD567" s="430"/>
      <c r="AE567" s="430"/>
      <c r="AF567" s="435"/>
      <c r="AG567" s="435"/>
      <c r="AH567" s="435"/>
      <c r="AI567" s="435"/>
      <c r="AJ567" s="435"/>
      <c r="AK567" s="435"/>
      <c r="AL567" s="435"/>
      <c r="AM567" s="321">
        <f>SUM(Y567:AL567)</f>
        <v>0</v>
      </c>
    </row>
    <row r="568" spans="1:39" ht="15" hidden="1" outlineLevel="1">
      <c r="A568" s="560"/>
      <c r="B568" s="451" t="s">
        <v>311</v>
      </c>
      <c r="C568" s="316" t="s">
        <v>164</v>
      </c>
      <c r="D568" s="320"/>
      <c r="E568" s="320"/>
      <c r="F568" s="320"/>
      <c r="G568" s="320"/>
      <c r="H568" s="320"/>
      <c r="I568" s="320"/>
      <c r="J568" s="320"/>
      <c r="K568" s="320"/>
      <c r="L568" s="320"/>
      <c r="M568" s="320"/>
      <c r="N568" s="320">
        <f>N567</f>
        <v>0</v>
      </c>
      <c r="O568" s="320"/>
      <c r="P568" s="320"/>
      <c r="Q568" s="320"/>
      <c r="R568" s="320"/>
      <c r="S568" s="320"/>
      <c r="T568" s="320"/>
      <c r="U568" s="320"/>
      <c r="V568" s="320"/>
      <c r="W568" s="320"/>
      <c r="X568" s="320"/>
      <c r="Y568" s="431">
        <f>Y567</f>
        <v>0</v>
      </c>
      <c r="Z568" s="431">
        <f t="shared" ref="Z568" si="1708">Z567</f>
        <v>0</v>
      </c>
      <c r="AA568" s="431">
        <f t="shared" ref="AA568" si="1709">AA567</f>
        <v>0</v>
      </c>
      <c r="AB568" s="431">
        <f t="shared" ref="AB568" si="1710">AB567</f>
        <v>0</v>
      </c>
      <c r="AC568" s="431">
        <f t="shared" ref="AC568" si="1711">AC567</f>
        <v>0</v>
      </c>
      <c r="AD568" s="431">
        <f t="shared" ref="AD568" si="1712">AD567</f>
        <v>0</v>
      </c>
      <c r="AE568" s="431">
        <f t="shared" ref="AE568" si="1713">AE567</f>
        <v>0</v>
      </c>
      <c r="AF568" s="431">
        <f t="shared" ref="AF568" si="1714">AF567</f>
        <v>0</v>
      </c>
      <c r="AG568" s="431">
        <f t="shared" ref="AG568" si="1715">AG567</f>
        <v>0</v>
      </c>
      <c r="AH568" s="431">
        <f t="shared" ref="AH568" si="1716">AH567</f>
        <v>0</v>
      </c>
      <c r="AI568" s="431">
        <f t="shared" ref="AI568" si="1717">AI567</f>
        <v>0</v>
      </c>
      <c r="AJ568" s="431">
        <f t="shared" ref="AJ568" si="1718">AJ567</f>
        <v>0</v>
      </c>
      <c r="AK568" s="431">
        <f t="shared" ref="AK568" si="1719">AK567</f>
        <v>0</v>
      </c>
      <c r="AL568" s="431">
        <f t="shared" ref="AL568" si="1720">AL567</f>
        <v>0</v>
      </c>
      <c r="AM568" s="331"/>
    </row>
    <row r="569" spans="1:39" ht="15" hidden="1" outlineLevel="1">
      <c r="A569" s="560"/>
      <c r="B569" s="451"/>
      <c r="C569" s="330"/>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26"/>
      <c r="Z569" s="326"/>
      <c r="AA569" s="326"/>
      <c r="AB569" s="326"/>
      <c r="AC569" s="326"/>
      <c r="AD569" s="326"/>
      <c r="AE569" s="326"/>
      <c r="AF569" s="326"/>
      <c r="AG569" s="326"/>
      <c r="AH569" s="326"/>
      <c r="AI569" s="326"/>
      <c r="AJ569" s="326"/>
      <c r="AK569" s="326"/>
      <c r="AL569" s="326"/>
      <c r="AM569" s="331"/>
    </row>
    <row r="570" spans="1:39" ht="15.6" collapsed="1">
      <c r="B570" s="352" t="s">
        <v>295</v>
      </c>
      <c r="C570" s="354"/>
      <c r="D570" s="354">
        <f>SUM(D413:D568)</f>
        <v>143835306.3297025</v>
      </c>
      <c r="E570" s="354"/>
      <c r="F570" s="354"/>
      <c r="G570" s="354"/>
      <c r="H570" s="354"/>
      <c r="I570" s="354"/>
      <c r="J570" s="354"/>
      <c r="K570" s="354"/>
      <c r="L570" s="354"/>
      <c r="M570" s="354"/>
      <c r="N570" s="354"/>
      <c r="O570" s="354">
        <f>SUM(O413:X568)</f>
        <v>14163.396200937892</v>
      </c>
      <c r="P570" s="354"/>
      <c r="Q570" s="354"/>
      <c r="R570" s="354"/>
      <c r="S570" s="354"/>
      <c r="T570" s="354"/>
      <c r="U570" s="354"/>
      <c r="V570" s="354"/>
      <c r="W570" s="354"/>
      <c r="X570" s="354"/>
      <c r="Y570" s="354">
        <f>IF(Y411="kWh",SUMPRODUCT(D413:D568,Y413:Y568))</f>
        <v>57466997.958440274</v>
      </c>
      <c r="Z570" s="354">
        <f>IF(Z411="kWh",SUMPRODUCT(D413:D568,Z413:Z568))</f>
        <v>15303800.95295701</v>
      </c>
      <c r="AA570" s="354">
        <f>IF(AA411="kw",SUMPRODUCT(N413:N568,O413:O568,AA413:AA568),SUMPRODUCT(D413:D568,AA413:AA568))</f>
        <v>110525.14393449125</v>
      </c>
      <c r="AB570" s="354">
        <f>IF(AB411="kw",SUMPRODUCT(N413:N568,O413:O568,AB413:AB568),SUMPRODUCT(D413:D568,AB413:AB568))</f>
        <v>0</v>
      </c>
      <c r="AC570" s="354">
        <f>IF(AC411="kw",SUMPRODUCT(N413:N568,O413:O568,AC413:AC568),SUMPRODUCT(D413:D568,AC413:AC568))</f>
        <v>0</v>
      </c>
      <c r="AD570" s="354">
        <f>IF(AD411="kw",SUMPRODUCT(N413:N568,O413:O568,AD413:AD568),SUMPRODUCT(D413:D568,AD413:AD568))</f>
        <v>0</v>
      </c>
      <c r="AE570" s="354">
        <f>IF(AE411="kw",SUMPRODUCT(N413:N568,O413:O568,AE413:AE568),SUMPRODUCT(D413:D568,AE413:AE568))</f>
        <v>0</v>
      </c>
      <c r="AF570" s="354">
        <f>IF(AF411="kw",SUMPRODUCT(N413:N568,O413:O568,AF413:AF568),SUMPRODUCT(D413:D568,AF413:AF568))</f>
        <v>0</v>
      </c>
      <c r="AG570" s="354">
        <f>IF(AG411="kw",SUMPRODUCT(N413:N568,O413:O568,AG413:AG568),SUMPRODUCT(D413:D568,AG413:AG568))</f>
        <v>0</v>
      </c>
      <c r="AH570" s="354">
        <f>IF(AH411="kw",SUMPRODUCT(N413:N568,O413:O568,AH413:AH568),SUMPRODUCT(D413:D568,AH413:AH568))</f>
        <v>0</v>
      </c>
      <c r="AI570" s="354">
        <f>IF(AI411="kw",SUMPRODUCT(N413:N568,O413:O568,AI413:AI568),SUMPRODUCT(D413:D568,AI413:AI568))</f>
        <v>0</v>
      </c>
      <c r="AJ570" s="354">
        <f>IF(AJ411="kw",SUMPRODUCT(N413:N568,O413:O568,AJ413:AJ568),SUMPRODUCT(D413:D568,AJ413:AJ568))</f>
        <v>0</v>
      </c>
      <c r="AK570" s="354">
        <f>IF(AK411="kw",SUMPRODUCT(N413:N568,O413:O568,AK413:AK568),SUMPRODUCT(D413:D568,AK413:AK568))</f>
        <v>0</v>
      </c>
      <c r="AL570" s="354">
        <f>IF(AL411="kw",SUMPRODUCT(N413:N568,O413:O568,AL413:AL568),SUMPRODUCT(D413:D568,AL413:AL568))</f>
        <v>0</v>
      </c>
      <c r="AM570" s="355"/>
    </row>
    <row r="571" spans="1:39" ht="15.6">
      <c r="B571" s="415" t="s">
        <v>296</v>
      </c>
      <c r="C571" s="416"/>
      <c r="D571" s="416"/>
      <c r="E571" s="416"/>
      <c r="F571" s="416"/>
      <c r="G571" s="416"/>
      <c r="H571" s="416"/>
      <c r="I571" s="416"/>
      <c r="J571" s="416"/>
      <c r="K571" s="416"/>
      <c r="L571" s="416"/>
      <c r="M571" s="416"/>
      <c r="N571" s="416"/>
      <c r="O571" s="416"/>
      <c r="P571" s="416"/>
      <c r="Q571" s="416"/>
      <c r="R571" s="416"/>
      <c r="S571" s="416"/>
      <c r="T571" s="416"/>
      <c r="U571" s="416"/>
      <c r="V571" s="416"/>
      <c r="W571" s="416"/>
      <c r="X571" s="416"/>
      <c r="Y571" s="416">
        <f>HLOOKUP(Y218,'2. LRAMVA Threshold'!$B$42:$Q$53,9,FALSE)</f>
        <v>48703932</v>
      </c>
      <c r="Z571" s="416">
        <f>HLOOKUP(Z218,'2. LRAMVA Threshold'!$B$42:$Q$53,9,FALSE)</f>
        <v>32279911</v>
      </c>
      <c r="AA571" s="416">
        <f>HLOOKUP(AA218,'2. LRAMVA Threshold'!$B$42:$Q$53,9,FALSE)</f>
        <v>321969</v>
      </c>
      <c r="AB571" s="416">
        <f>HLOOKUP(AB218,'2. LRAMVA Threshold'!$B$42:$Q$53,9,FALSE)</f>
        <v>0</v>
      </c>
      <c r="AC571" s="416">
        <f>HLOOKUP(AC218,'2. LRAMVA Threshold'!$B$42:$Q$53,9,FALSE)</f>
        <v>0</v>
      </c>
      <c r="AD571" s="416">
        <f>HLOOKUP(AD218,'2. LRAMVA Threshold'!$B$42:$Q$53,9,FALSE)</f>
        <v>0</v>
      </c>
      <c r="AE571" s="416">
        <f>HLOOKUP(AE218,'2. LRAMVA Threshold'!$B$42:$Q$53,9,FALSE)</f>
        <v>0</v>
      </c>
      <c r="AF571" s="416">
        <f>HLOOKUP(AF218,'2. LRAMVA Threshold'!$B$42:$Q$53,9,FALSE)</f>
        <v>0</v>
      </c>
      <c r="AG571" s="416">
        <f>HLOOKUP(AG218,'2. LRAMVA Threshold'!$B$42:$Q$53,9,FALSE)</f>
        <v>0</v>
      </c>
      <c r="AH571" s="416">
        <f>HLOOKUP(AH218,'2. LRAMVA Threshold'!$B$42:$Q$53,9,FALSE)</f>
        <v>0</v>
      </c>
      <c r="AI571" s="416">
        <f>HLOOKUP(AI218,'2. LRAMVA Threshold'!$B$42:$Q$53,9,FALSE)</f>
        <v>0</v>
      </c>
      <c r="AJ571" s="416">
        <f>HLOOKUP(AJ218,'2. LRAMVA Threshold'!$B$42:$Q$53,9,FALSE)</f>
        <v>0</v>
      </c>
      <c r="AK571" s="416">
        <f>HLOOKUP(AK218,'2. LRAMVA Threshold'!$B$42:$Q$53,9,FALSE)</f>
        <v>0</v>
      </c>
      <c r="AL571" s="416">
        <f>HLOOKUP(AL218,'2. LRAMVA Threshold'!$B$42:$Q$53,9,FALSE)</f>
        <v>0</v>
      </c>
      <c r="AM571" s="417"/>
    </row>
    <row r="572" spans="1:39" ht="15">
      <c r="B572" s="418"/>
      <c r="C572" s="452"/>
      <c r="D572" s="453"/>
      <c r="E572" s="453"/>
      <c r="F572" s="453"/>
      <c r="G572" s="453"/>
      <c r="H572" s="453"/>
      <c r="I572" s="453"/>
      <c r="J572" s="453"/>
      <c r="K572" s="453"/>
      <c r="L572" s="453"/>
      <c r="M572" s="453"/>
      <c r="N572" s="453"/>
      <c r="O572" s="454"/>
      <c r="P572" s="453"/>
      <c r="Q572" s="453"/>
      <c r="R572" s="453"/>
      <c r="S572" s="455"/>
      <c r="T572" s="455"/>
      <c r="U572" s="455"/>
      <c r="V572" s="455"/>
      <c r="W572" s="453"/>
      <c r="X572" s="453"/>
      <c r="Y572" s="456"/>
      <c r="Z572" s="456"/>
      <c r="AA572" s="456"/>
      <c r="AB572" s="456"/>
      <c r="AC572" s="456"/>
      <c r="AD572" s="456"/>
      <c r="AE572" s="456"/>
      <c r="AF572" s="419"/>
      <c r="AG572" s="419"/>
      <c r="AH572" s="419"/>
      <c r="AI572" s="419"/>
      <c r="AJ572" s="419"/>
      <c r="AK572" s="419"/>
      <c r="AL572" s="419"/>
      <c r="AM572" s="420"/>
    </row>
    <row r="573" spans="1:39" ht="15">
      <c r="B573" s="349" t="s">
        <v>297</v>
      </c>
      <c r="C573" s="362"/>
      <c r="D573" s="362"/>
      <c r="E573" s="400"/>
      <c r="F573" s="400"/>
      <c r="G573" s="400"/>
      <c r="H573" s="400"/>
      <c r="I573" s="400"/>
      <c r="J573" s="400"/>
      <c r="K573" s="400"/>
      <c r="L573" s="400"/>
      <c r="M573" s="400"/>
      <c r="N573" s="400"/>
      <c r="O573" s="316"/>
      <c r="P573" s="364"/>
      <c r="Q573" s="364"/>
      <c r="R573" s="364"/>
      <c r="S573" s="363"/>
      <c r="T573" s="363"/>
      <c r="U573" s="363"/>
      <c r="V573" s="363"/>
      <c r="W573" s="364"/>
      <c r="X573" s="364"/>
      <c r="Y573" s="365">
        <f>HLOOKUP(Y$35,'3.  Distribution Rates'!$C$122:$P$133,9,FALSE)</f>
        <v>0</v>
      </c>
      <c r="Z573" s="365">
        <f>HLOOKUP(Z$35,'3.  Distribution Rates'!$C$122:$P$133,9,FALSE)</f>
        <v>0</v>
      </c>
      <c r="AA573" s="365">
        <f>HLOOKUP(AA$35,'3.  Distribution Rates'!$C$122:$P$133,9,FALSE)</f>
        <v>0</v>
      </c>
      <c r="AB573" s="365">
        <f>HLOOKUP(AB$35,'3.  Distribution Rates'!$C$122:$P$133,9,FALSE)</f>
        <v>0</v>
      </c>
      <c r="AC573" s="365">
        <f>HLOOKUP(AC$35,'3.  Distribution Rates'!$C$122:$P$133,9,FALSE)</f>
        <v>0</v>
      </c>
      <c r="AD573" s="365">
        <f>HLOOKUP(AD$35,'3.  Distribution Rates'!$C$122:$P$133,9,FALSE)</f>
        <v>0</v>
      </c>
      <c r="AE573" s="365">
        <f>HLOOKUP(AE$35,'3.  Distribution Rates'!$C$122:$P$133,9,FALSE)</f>
        <v>0</v>
      </c>
      <c r="AF573" s="365">
        <f>HLOOKUP(AF$35,'3.  Distribution Rates'!$C$122:$P$133,9,FALSE)</f>
        <v>0</v>
      </c>
      <c r="AG573" s="365">
        <f>HLOOKUP(AG$35,'3.  Distribution Rates'!$C$122:$P$133,9,FALSE)</f>
        <v>0</v>
      </c>
      <c r="AH573" s="365">
        <f>HLOOKUP(AH$35,'3.  Distribution Rates'!$C$122:$P$133,9,FALSE)</f>
        <v>0</v>
      </c>
      <c r="AI573" s="365">
        <f>HLOOKUP(AI$35,'3.  Distribution Rates'!$C$122:$P$133,9,FALSE)</f>
        <v>0</v>
      </c>
      <c r="AJ573" s="365">
        <f>HLOOKUP(AJ$35,'3.  Distribution Rates'!$C$122:$P$133,9,FALSE)</f>
        <v>0</v>
      </c>
      <c r="AK573" s="365">
        <f>HLOOKUP(AK$35,'3.  Distribution Rates'!$C$122:$P$133,9,FALSE)</f>
        <v>0</v>
      </c>
      <c r="AL573" s="365">
        <f>HLOOKUP(AL$35,'3.  Distribution Rates'!$C$122:$P$133,9,FALSE)</f>
        <v>0</v>
      </c>
      <c r="AM573" s="461"/>
    </row>
    <row r="574" spans="1:39" ht="15">
      <c r="B574" s="349" t="s">
        <v>298</v>
      </c>
      <c r="C574" s="369"/>
      <c r="D574" s="334"/>
      <c r="E574" s="304"/>
      <c r="F574" s="304"/>
      <c r="G574" s="304"/>
      <c r="H574" s="304"/>
      <c r="I574" s="304"/>
      <c r="J574" s="304"/>
      <c r="K574" s="304"/>
      <c r="L574" s="304"/>
      <c r="M574" s="304"/>
      <c r="N574" s="304"/>
      <c r="O574" s="316"/>
      <c r="P574" s="304"/>
      <c r="Q574" s="304"/>
      <c r="R574" s="304"/>
      <c r="S574" s="334"/>
      <c r="T574" s="334"/>
      <c r="U574" s="334"/>
      <c r="V574" s="334"/>
      <c r="W574" s="304"/>
      <c r="X574" s="304"/>
      <c r="Y574" s="896"/>
      <c r="Z574" s="896"/>
      <c r="AA574" s="896"/>
      <c r="AB574" s="896"/>
      <c r="AC574" s="896"/>
      <c r="AD574" s="896"/>
      <c r="AE574" s="896"/>
      <c r="AF574" s="896"/>
      <c r="AG574" s="896"/>
      <c r="AH574" s="896"/>
      <c r="AI574" s="896"/>
      <c r="AJ574" s="896"/>
      <c r="AK574" s="896"/>
      <c r="AL574" s="896"/>
      <c r="AM574" s="897">
        <f t="shared" ref="AM574:AM580" si="1721">SUM(Y574:AL574)</f>
        <v>0</v>
      </c>
    </row>
    <row r="575" spans="1:39" ht="15">
      <c r="B575" s="349" t="s">
        <v>299</v>
      </c>
      <c r="C575" s="369"/>
      <c r="D575" s="334"/>
      <c r="E575" s="304"/>
      <c r="F575" s="304"/>
      <c r="G575" s="304"/>
      <c r="H575" s="304"/>
      <c r="I575" s="304"/>
      <c r="J575" s="304"/>
      <c r="K575" s="304"/>
      <c r="L575" s="304"/>
      <c r="M575" s="304"/>
      <c r="N575" s="304"/>
      <c r="O575" s="316"/>
      <c r="P575" s="304"/>
      <c r="Q575" s="304"/>
      <c r="R575" s="304"/>
      <c r="S575" s="334"/>
      <c r="T575" s="334"/>
      <c r="U575" s="334"/>
      <c r="V575" s="334"/>
      <c r="W575" s="304"/>
      <c r="X575" s="304"/>
      <c r="Y575" s="896"/>
      <c r="Z575" s="896"/>
      <c r="AA575" s="896"/>
      <c r="AB575" s="896"/>
      <c r="AC575" s="896"/>
      <c r="AD575" s="896"/>
      <c r="AE575" s="896"/>
      <c r="AF575" s="896"/>
      <c r="AG575" s="896"/>
      <c r="AH575" s="896"/>
      <c r="AI575" s="896"/>
      <c r="AJ575" s="896"/>
      <c r="AK575" s="896"/>
      <c r="AL575" s="896"/>
      <c r="AM575" s="897">
        <f t="shared" si="1721"/>
        <v>0</v>
      </c>
    </row>
    <row r="576" spans="1:39" ht="15">
      <c r="B576" s="349" t="s">
        <v>300</v>
      </c>
      <c r="C576" s="369"/>
      <c r="D576" s="334"/>
      <c r="E576" s="304"/>
      <c r="F576" s="304"/>
      <c r="G576" s="304"/>
      <c r="H576" s="304"/>
      <c r="I576" s="304"/>
      <c r="J576" s="304"/>
      <c r="K576" s="304"/>
      <c r="L576" s="304"/>
      <c r="M576" s="304"/>
      <c r="N576" s="304"/>
      <c r="O576" s="316"/>
      <c r="P576" s="304"/>
      <c r="Q576" s="304"/>
      <c r="R576" s="304"/>
      <c r="S576" s="334"/>
      <c r="T576" s="334"/>
      <c r="U576" s="334"/>
      <c r="V576" s="334"/>
      <c r="W576" s="304"/>
      <c r="X576" s="304"/>
      <c r="Y576" s="896"/>
      <c r="Z576" s="896"/>
      <c r="AA576" s="896"/>
      <c r="AB576" s="896"/>
      <c r="AC576" s="896"/>
      <c r="AD576" s="896"/>
      <c r="AE576" s="896"/>
      <c r="AF576" s="896"/>
      <c r="AG576" s="896"/>
      <c r="AH576" s="896"/>
      <c r="AI576" s="896"/>
      <c r="AJ576" s="896"/>
      <c r="AK576" s="896"/>
      <c r="AL576" s="896"/>
      <c r="AM576" s="897">
        <f t="shared" si="1721"/>
        <v>0</v>
      </c>
    </row>
    <row r="577" spans="2:39" ht="15">
      <c r="B577" s="349" t="s">
        <v>301</v>
      </c>
      <c r="C577" s="369"/>
      <c r="D577" s="334"/>
      <c r="E577" s="304"/>
      <c r="F577" s="304"/>
      <c r="G577" s="304"/>
      <c r="H577" s="304"/>
      <c r="I577" s="304"/>
      <c r="J577" s="304"/>
      <c r="K577" s="304"/>
      <c r="L577" s="304"/>
      <c r="M577" s="304"/>
      <c r="N577" s="304"/>
      <c r="O577" s="316"/>
      <c r="P577" s="304"/>
      <c r="Q577" s="304"/>
      <c r="R577" s="304"/>
      <c r="S577" s="334"/>
      <c r="T577" s="334"/>
      <c r="U577" s="334"/>
      <c r="V577" s="334"/>
      <c r="W577" s="304"/>
      <c r="X577" s="304"/>
      <c r="Y577" s="896"/>
      <c r="Z577" s="896"/>
      <c r="AA577" s="896"/>
      <c r="AB577" s="896"/>
      <c r="AC577" s="896"/>
      <c r="AD577" s="896"/>
      <c r="AE577" s="896"/>
      <c r="AF577" s="896"/>
      <c r="AG577" s="896"/>
      <c r="AH577" s="896"/>
      <c r="AI577" s="896"/>
      <c r="AJ577" s="896"/>
      <c r="AK577" s="896"/>
      <c r="AL577" s="896"/>
      <c r="AM577" s="897">
        <f t="shared" si="1721"/>
        <v>0</v>
      </c>
    </row>
    <row r="578" spans="2:39" ht="15">
      <c r="B578" s="349" t="s">
        <v>302</v>
      </c>
      <c r="C578" s="369"/>
      <c r="D578" s="334"/>
      <c r="E578" s="304"/>
      <c r="F578" s="304"/>
      <c r="G578" s="304"/>
      <c r="H578" s="304"/>
      <c r="I578" s="304"/>
      <c r="J578" s="304"/>
      <c r="K578" s="304"/>
      <c r="L578" s="304"/>
      <c r="M578" s="304"/>
      <c r="N578" s="304"/>
      <c r="O578" s="316"/>
      <c r="P578" s="304"/>
      <c r="Q578" s="304"/>
      <c r="R578" s="304"/>
      <c r="S578" s="334"/>
      <c r="T578" s="334"/>
      <c r="U578" s="334"/>
      <c r="V578" s="334"/>
      <c r="W578" s="304"/>
      <c r="X578" s="304"/>
      <c r="Y578" s="402">
        <f t="shared" ref="Y578:AL578" si="1722">Y209*Y573</f>
        <v>0</v>
      </c>
      <c r="Z578" s="402">
        <f t="shared" si="1722"/>
        <v>0</v>
      </c>
      <c r="AA578" s="402">
        <f t="shared" si="1722"/>
        <v>0</v>
      </c>
      <c r="AB578" s="402">
        <f t="shared" si="1722"/>
        <v>0</v>
      </c>
      <c r="AC578" s="402">
        <f t="shared" si="1722"/>
        <v>0</v>
      </c>
      <c r="AD578" s="402">
        <f t="shared" si="1722"/>
        <v>0</v>
      </c>
      <c r="AE578" s="402">
        <f t="shared" si="1722"/>
        <v>0</v>
      </c>
      <c r="AF578" s="402">
        <f t="shared" si="1722"/>
        <v>0</v>
      </c>
      <c r="AG578" s="402">
        <f t="shared" si="1722"/>
        <v>0</v>
      </c>
      <c r="AH578" s="402">
        <f t="shared" si="1722"/>
        <v>0</v>
      </c>
      <c r="AI578" s="402">
        <f t="shared" si="1722"/>
        <v>0</v>
      </c>
      <c r="AJ578" s="402">
        <f t="shared" si="1722"/>
        <v>0</v>
      </c>
      <c r="AK578" s="402">
        <f t="shared" si="1722"/>
        <v>0</v>
      </c>
      <c r="AL578" s="402">
        <f t="shared" si="1722"/>
        <v>0</v>
      </c>
      <c r="AM578" s="401">
        <f t="shared" si="1721"/>
        <v>0</v>
      </c>
    </row>
    <row r="579" spans="2:39" ht="15">
      <c r="B579" s="349" t="s">
        <v>303</v>
      </c>
      <c r="C579" s="369"/>
      <c r="D579" s="334"/>
      <c r="E579" s="304"/>
      <c r="F579" s="304"/>
      <c r="G579" s="304"/>
      <c r="H579" s="304"/>
      <c r="I579" s="304"/>
      <c r="J579" s="304"/>
      <c r="K579" s="304"/>
      <c r="L579" s="304"/>
      <c r="M579" s="304"/>
      <c r="N579" s="304"/>
      <c r="O579" s="316"/>
      <c r="P579" s="304"/>
      <c r="Q579" s="304"/>
      <c r="R579" s="304"/>
      <c r="S579" s="334"/>
      <c r="T579" s="334"/>
      <c r="U579" s="334"/>
      <c r="V579" s="334"/>
      <c r="W579" s="304"/>
      <c r="X579" s="304"/>
      <c r="Y579" s="402">
        <f t="shared" ref="Y579:AL579" si="1723">Y401*Y573</f>
        <v>0</v>
      </c>
      <c r="Z579" s="402">
        <f t="shared" si="1723"/>
        <v>0</v>
      </c>
      <c r="AA579" s="402">
        <f t="shared" si="1723"/>
        <v>0</v>
      </c>
      <c r="AB579" s="402">
        <f t="shared" si="1723"/>
        <v>0</v>
      </c>
      <c r="AC579" s="402">
        <f t="shared" si="1723"/>
        <v>0</v>
      </c>
      <c r="AD579" s="402">
        <f t="shared" si="1723"/>
        <v>0</v>
      </c>
      <c r="AE579" s="402">
        <f t="shared" si="1723"/>
        <v>0</v>
      </c>
      <c r="AF579" s="402">
        <f t="shared" si="1723"/>
        <v>0</v>
      </c>
      <c r="AG579" s="402">
        <f t="shared" si="1723"/>
        <v>0</v>
      </c>
      <c r="AH579" s="402">
        <f t="shared" si="1723"/>
        <v>0</v>
      </c>
      <c r="AI579" s="402">
        <f t="shared" si="1723"/>
        <v>0</v>
      </c>
      <c r="AJ579" s="402">
        <f t="shared" si="1723"/>
        <v>0</v>
      </c>
      <c r="AK579" s="402">
        <f t="shared" si="1723"/>
        <v>0</v>
      </c>
      <c r="AL579" s="402">
        <f t="shared" si="1723"/>
        <v>0</v>
      </c>
      <c r="AM579" s="401">
        <f t="shared" si="1721"/>
        <v>0</v>
      </c>
    </row>
    <row r="580" spans="2:39" ht="15">
      <c r="B580" s="349" t="s">
        <v>304</v>
      </c>
      <c r="C580" s="369"/>
      <c r="D580" s="334"/>
      <c r="E580" s="304"/>
      <c r="F580" s="304"/>
      <c r="G580" s="304"/>
      <c r="H580" s="304"/>
      <c r="I580" s="304"/>
      <c r="J580" s="304"/>
      <c r="K580" s="304"/>
      <c r="L580" s="304"/>
      <c r="M580" s="304"/>
      <c r="N580" s="304"/>
      <c r="O580" s="316"/>
      <c r="P580" s="304"/>
      <c r="Q580" s="304"/>
      <c r="R580" s="304"/>
      <c r="S580" s="334"/>
      <c r="T580" s="334"/>
      <c r="U580" s="334"/>
      <c r="V580" s="334"/>
      <c r="W580" s="304"/>
      <c r="X580" s="304"/>
      <c r="Y580" s="402">
        <f>Y570*Y573</f>
        <v>0</v>
      </c>
      <c r="Z580" s="402">
        <f t="shared" ref="Z580:AL580" si="1724">Z570*Z573</f>
        <v>0</v>
      </c>
      <c r="AA580" s="402">
        <f t="shared" si="1724"/>
        <v>0</v>
      </c>
      <c r="AB580" s="402">
        <f t="shared" si="1724"/>
        <v>0</v>
      </c>
      <c r="AC580" s="402">
        <f t="shared" si="1724"/>
        <v>0</v>
      </c>
      <c r="AD580" s="402">
        <f t="shared" si="1724"/>
        <v>0</v>
      </c>
      <c r="AE580" s="402">
        <f t="shared" si="1724"/>
        <v>0</v>
      </c>
      <c r="AF580" s="402">
        <f t="shared" si="1724"/>
        <v>0</v>
      </c>
      <c r="AG580" s="402">
        <f t="shared" si="1724"/>
        <v>0</v>
      </c>
      <c r="AH580" s="402">
        <f t="shared" si="1724"/>
        <v>0</v>
      </c>
      <c r="AI580" s="402">
        <f t="shared" si="1724"/>
        <v>0</v>
      </c>
      <c r="AJ580" s="402">
        <f t="shared" si="1724"/>
        <v>0</v>
      </c>
      <c r="AK580" s="402">
        <f t="shared" si="1724"/>
        <v>0</v>
      </c>
      <c r="AL580" s="402">
        <f t="shared" si="1724"/>
        <v>0</v>
      </c>
      <c r="AM580" s="401">
        <f t="shared" si="1721"/>
        <v>0</v>
      </c>
    </row>
    <row r="581" spans="2:39" ht="15.6">
      <c r="B581" s="373" t="s">
        <v>305</v>
      </c>
      <c r="C581" s="369"/>
      <c r="D581" s="360"/>
      <c r="E581" s="358"/>
      <c r="F581" s="358"/>
      <c r="G581" s="358"/>
      <c r="H581" s="358"/>
      <c r="I581" s="358"/>
      <c r="J581" s="358"/>
      <c r="K581" s="358"/>
      <c r="L581" s="358"/>
      <c r="M581" s="358"/>
      <c r="N581" s="358"/>
      <c r="O581" s="325"/>
      <c r="P581" s="358"/>
      <c r="Q581" s="358"/>
      <c r="R581" s="358"/>
      <c r="S581" s="360"/>
      <c r="T581" s="360"/>
      <c r="U581" s="360"/>
      <c r="V581" s="360"/>
      <c r="W581" s="358"/>
      <c r="X581" s="358"/>
      <c r="Y581" s="370">
        <f>SUM(Y574:Y580)</f>
        <v>0</v>
      </c>
      <c r="Z581" s="370">
        <f>SUM(Z574:Z580)</f>
        <v>0</v>
      </c>
      <c r="AA581" s="370">
        <f t="shared" ref="AA581:AE581" si="1725">SUM(AA574:AA580)</f>
        <v>0</v>
      </c>
      <c r="AB581" s="370">
        <f t="shared" si="1725"/>
        <v>0</v>
      </c>
      <c r="AC581" s="370">
        <f t="shared" si="1725"/>
        <v>0</v>
      </c>
      <c r="AD581" s="370">
        <f t="shared" si="1725"/>
        <v>0</v>
      </c>
      <c r="AE581" s="370">
        <f t="shared" si="1725"/>
        <v>0</v>
      </c>
      <c r="AF581" s="370">
        <f>SUM(AF574:AF580)</f>
        <v>0</v>
      </c>
      <c r="AG581" s="370">
        <f>SUM(AG574:AG580)</f>
        <v>0</v>
      </c>
      <c r="AH581" s="370">
        <f t="shared" ref="AH581:AL581" si="1726">SUM(AH574:AH580)</f>
        <v>0</v>
      </c>
      <c r="AI581" s="370">
        <f t="shared" si="1726"/>
        <v>0</v>
      </c>
      <c r="AJ581" s="370">
        <f t="shared" si="1726"/>
        <v>0</v>
      </c>
      <c r="AK581" s="370">
        <f t="shared" si="1726"/>
        <v>0</v>
      </c>
      <c r="AL581" s="370">
        <f t="shared" si="1726"/>
        <v>0</v>
      </c>
      <c r="AM581" s="372">
        <f>SUM(AM574:AM580)</f>
        <v>0</v>
      </c>
    </row>
    <row r="582" spans="2:39" ht="15.6">
      <c r="B582" s="373" t="s">
        <v>306</v>
      </c>
      <c r="C582" s="369"/>
      <c r="D582" s="374"/>
      <c r="E582" s="358"/>
      <c r="F582" s="358"/>
      <c r="G582" s="358"/>
      <c r="H582" s="358"/>
      <c r="I582" s="358"/>
      <c r="J582" s="358"/>
      <c r="K582" s="358"/>
      <c r="L582" s="358"/>
      <c r="M582" s="358"/>
      <c r="N582" s="358"/>
      <c r="O582" s="325"/>
      <c r="P582" s="358"/>
      <c r="Q582" s="358"/>
      <c r="R582" s="358"/>
      <c r="S582" s="360"/>
      <c r="T582" s="360"/>
      <c r="U582" s="360"/>
      <c r="V582" s="360"/>
      <c r="W582" s="358"/>
      <c r="X582" s="358"/>
      <c r="Y582" s="371">
        <f>Y571*Y573</f>
        <v>0</v>
      </c>
      <c r="Z582" s="371">
        <f t="shared" ref="Z582:AE582" si="1727">Z571*Z573</f>
        <v>0</v>
      </c>
      <c r="AA582" s="371">
        <f t="shared" si="1727"/>
        <v>0</v>
      </c>
      <c r="AB582" s="371">
        <f t="shared" si="1727"/>
        <v>0</v>
      </c>
      <c r="AC582" s="371">
        <f t="shared" si="1727"/>
        <v>0</v>
      </c>
      <c r="AD582" s="371">
        <f t="shared" si="1727"/>
        <v>0</v>
      </c>
      <c r="AE582" s="371">
        <f t="shared" si="1727"/>
        <v>0</v>
      </c>
      <c r="AF582" s="371">
        <f>AF571*AF573</f>
        <v>0</v>
      </c>
      <c r="AG582" s="371">
        <f t="shared" ref="AG582:AL582" si="1728">AG571*AG573</f>
        <v>0</v>
      </c>
      <c r="AH582" s="371">
        <f t="shared" si="1728"/>
        <v>0</v>
      </c>
      <c r="AI582" s="371">
        <f t="shared" si="1728"/>
        <v>0</v>
      </c>
      <c r="AJ582" s="371">
        <f t="shared" si="1728"/>
        <v>0</v>
      </c>
      <c r="AK582" s="371">
        <f t="shared" si="1728"/>
        <v>0</v>
      </c>
      <c r="AL582" s="371">
        <f t="shared" si="1728"/>
        <v>0</v>
      </c>
      <c r="AM582" s="372">
        <f>SUM(Y582:AL582)</f>
        <v>0</v>
      </c>
    </row>
    <row r="583" spans="2:39" ht="15.6">
      <c r="B583" s="373" t="s">
        <v>307</v>
      </c>
      <c r="C583" s="369"/>
      <c r="D583" s="374"/>
      <c r="E583" s="358"/>
      <c r="F583" s="358"/>
      <c r="G583" s="358"/>
      <c r="H583" s="358"/>
      <c r="I583" s="358"/>
      <c r="J583" s="358"/>
      <c r="K583" s="358"/>
      <c r="L583" s="358"/>
      <c r="M583" s="358"/>
      <c r="N583" s="358"/>
      <c r="O583" s="325"/>
      <c r="P583" s="358"/>
      <c r="Q583" s="358"/>
      <c r="R583" s="358"/>
      <c r="S583" s="374"/>
      <c r="T583" s="374"/>
      <c r="U583" s="374"/>
      <c r="V583" s="374"/>
      <c r="W583" s="358"/>
      <c r="X583" s="358"/>
      <c r="Y583" s="375"/>
      <c r="Z583" s="375"/>
      <c r="AA583" s="375"/>
      <c r="AB583" s="375"/>
      <c r="AC583" s="375"/>
      <c r="AD583" s="375"/>
      <c r="AE583" s="375"/>
      <c r="AF583" s="375"/>
      <c r="AG583" s="375"/>
      <c r="AH583" s="375"/>
      <c r="AI583" s="375"/>
      <c r="AJ583" s="375"/>
      <c r="AK583" s="375"/>
      <c r="AL583" s="375"/>
      <c r="AM583" s="372">
        <f>AM581-AM582</f>
        <v>0</v>
      </c>
    </row>
    <row r="584" spans="2:39" ht="15">
      <c r="B584" s="349"/>
      <c r="C584" s="374"/>
      <c r="D584" s="374"/>
      <c r="E584" s="358"/>
      <c r="F584" s="358"/>
      <c r="G584" s="358"/>
      <c r="H584" s="358"/>
      <c r="I584" s="358"/>
      <c r="J584" s="358"/>
      <c r="K584" s="358"/>
      <c r="L584" s="358"/>
      <c r="M584" s="358"/>
      <c r="N584" s="358"/>
      <c r="O584" s="325"/>
      <c r="P584" s="358"/>
      <c r="Q584" s="358"/>
      <c r="R584" s="358"/>
      <c r="S584" s="374"/>
      <c r="T584" s="369"/>
      <c r="U584" s="374"/>
      <c r="V584" s="374"/>
      <c r="W584" s="358"/>
      <c r="X584" s="358"/>
      <c r="Y584" s="376"/>
      <c r="Z584" s="376"/>
      <c r="AA584" s="376"/>
      <c r="AB584" s="376"/>
      <c r="AC584" s="376"/>
      <c r="AD584" s="376"/>
      <c r="AE584" s="376"/>
      <c r="AF584" s="376"/>
      <c r="AG584" s="376"/>
      <c r="AH584" s="376"/>
      <c r="AI584" s="376"/>
      <c r="AJ584" s="376"/>
      <c r="AK584" s="376"/>
      <c r="AL584" s="376"/>
      <c r="AM584" s="372"/>
    </row>
    <row r="585" spans="2:39" ht="15">
      <c r="B585" s="459" t="s">
        <v>308</v>
      </c>
      <c r="C585" s="329"/>
      <c r="D585" s="304"/>
      <c r="E585" s="304"/>
      <c r="F585" s="304"/>
      <c r="G585" s="304"/>
      <c r="H585" s="304"/>
      <c r="I585" s="304"/>
      <c r="J585" s="304"/>
      <c r="K585" s="304"/>
      <c r="L585" s="304"/>
      <c r="M585" s="304"/>
      <c r="N585" s="304"/>
      <c r="O585" s="381"/>
      <c r="P585" s="304"/>
      <c r="Q585" s="304"/>
      <c r="R585" s="304"/>
      <c r="S585" s="329"/>
      <c r="T585" s="334"/>
      <c r="U585" s="334"/>
      <c r="V585" s="304"/>
      <c r="W585" s="304"/>
      <c r="X585" s="334"/>
      <c r="Y585" s="316">
        <f>SUMPRODUCT(E413:E568,Y413:Y568)</f>
        <v>0</v>
      </c>
      <c r="Z585" s="316">
        <f>SUMPRODUCT(E413:E568,Z413:Z568)</f>
        <v>0</v>
      </c>
      <c r="AA585" s="316">
        <f t="shared" ref="AA585:AL585" si="1729">IF(AA411="kw",SUMPRODUCT($N$413:$N$568,$P$413:$P$568,AA413:AA568),SUMPRODUCT($E$413:$E$568,AA413:AA568))</f>
        <v>0</v>
      </c>
      <c r="AB585" s="316">
        <f t="shared" si="1729"/>
        <v>0</v>
      </c>
      <c r="AC585" s="316">
        <f t="shared" si="1729"/>
        <v>0</v>
      </c>
      <c r="AD585" s="316">
        <f t="shared" si="1729"/>
        <v>0</v>
      </c>
      <c r="AE585" s="316">
        <f t="shared" si="1729"/>
        <v>0</v>
      </c>
      <c r="AF585" s="316">
        <f t="shared" si="1729"/>
        <v>0</v>
      </c>
      <c r="AG585" s="316">
        <f t="shared" si="1729"/>
        <v>0</v>
      </c>
      <c r="AH585" s="316">
        <f t="shared" si="1729"/>
        <v>0</v>
      </c>
      <c r="AI585" s="316">
        <f t="shared" si="1729"/>
        <v>0</v>
      </c>
      <c r="AJ585" s="316">
        <f t="shared" si="1729"/>
        <v>0</v>
      </c>
      <c r="AK585" s="316">
        <f t="shared" si="1729"/>
        <v>0</v>
      </c>
      <c r="AL585" s="316">
        <f t="shared" si="1729"/>
        <v>0</v>
      </c>
      <c r="AM585" s="361"/>
    </row>
    <row r="586" spans="2:39" ht="15">
      <c r="B586" s="459" t="s">
        <v>309</v>
      </c>
      <c r="C586" s="329"/>
      <c r="D586" s="304"/>
      <c r="E586" s="304"/>
      <c r="F586" s="304"/>
      <c r="G586" s="304"/>
      <c r="H586" s="304"/>
      <c r="I586" s="304"/>
      <c r="J586" s="304"/>
      <c r="K586" s="304"/>
      <c r="L586" s="304"/>
      <c r="M586" s="304"/>
      <c r="N586" s="304"/>
      <c r="O586" s="381"/>
      <c r="P586" s="304"/>
      <c r="Q586" s="304"/>
      <c r="R586" s="304"/>
      <c r="S586" s="329"/>
      <c r="T586" s="334"/>
      <c r="U586" s="334"/>
      <c r="V586" s="304"/>
      <c r="W586" s="304"/>
      <c r="X586" s="334"/>
      <c r="Y586" s="316">
        <f>SUMPRODUCT(F413:F568,Y413:Y568)</f>
        <v>0</v>
      </c>
      <c r="Z586" s="316">
        <f>SUMPRODUCT(F413:F568,Z413:Z568)</f>
        <v>0</v>
      </c>
      <c r="AA586" s="316">
        <f t="shared" ref="AA586:AL586" si="1730">IF(AA411="kw",SUMPRODUCT($N$413:$N$568,$Q$413:$Q$568,AA413:AA568),SUMPRODUCT($F$413:$F$568,AA413:AA568))</f>
        <v>0</v>
      </c>
      <c r="AB586" s="316">
        <f t="shared" si="1730"/>
        <v>0</v>
      </c>
      <c r="AC586" s="316">
        <f t="shared" si="1730"/>
        <v>0</v>
      </c>
      <c r="AD586" s="316">
        <f t="shared" si="1730"/>
        <v>0</v>
      </c>
      <c r="AE586" s="316">
        <f t="shared" si="1730"/>
        <v>0</v>
      </c>
      <c r="AF586" s="316">
        <f t="shared" si="1730"/>
        <v>0</v>
      </c>
      <c r="AG586" s="316">
        <f t="shared" si="1730"/>
        <v>0</v>
      </c>
      <c r="AH586" s="316">
        <f t="shared" si="1730"/>
        <v>0</v>
      </c>
      <c r="AI586" s="316">
        <f t="shared" si="1730"/>
        <v>0</v>
      </c>
      <c r="AJ586" s="316">
        <f t="shared" si="1730"/>
        <v>0</v>
      </c>
      <c r="AK586" s="316">
        <f t="shared" si="1730"/>
        <v>0</v>
      </c>
      <c r="AL586" s="316">
        <f t="shared" si="1730"/>
        <v>0</v>
      </c>
      <c r="AM586" s="361"/>
    </row>
    <row r="587" spans="2:39" ht="15">
      <c r="B587" s="460" t="s">
        <v>310</v>
      </c>
      <c r="C587" s="388"/>
      <c r="D587" s="408"/>
      <c r="E587" s="408"/>
      <c r="F587" s="408"/>
      <c r="G587" s="408"/>
      <c r="H587" s="408"/>
      <c r="I587" s="408"/>
      <c r="J587" s="408"/>
      <c r="K587" s="408"/>
      <c r="L587" s="408"/>
      <c r="M587" s="408"/>
      <c r="N587" s="408"/>
      <c r="O587" s="407"/>
      <c r="P587" s="408"/>
      <c r="Q587" s="408"/>
      <c r="R587" s="408"/>
      <c r="S587" s="388"/>
      <c r="T587" s="409"/>
      <c r="U587" s="409"/>
      <c r="V587" s="408"/>
      <c r="W587" s="408"/>
      <c r="X587" s="409"/>
      <c r="Y587" s="351">
        <f>SUMPRODUCT(G413:G568,Y413:Y568)</f>
        <v>0</v>
      </c>
      <c r="Z587" s="351">
        <f>SUMPRODUCT(G413:G568,Z413:Z568)</f>
        <v>0</v>
      </c>
      <c r="AA587" s="351">
        <f t="shared" ref="AA587:AL587" si="1731">IF(AA411="kw",SUMPRODUCT($N$413:$N$568,$R$413:$R$568,AA413:AA568),SUMPRODUCT($G$413:$G$568,AA413:AA568))</f>
        <v>0</v>
      </c>
      <c r="AB587" s="351">
        <f t="shared" si="1731"/>
        <v>0</v>
      </c>
      <c r="AC587" s="351">
        <f t="shared" si="1731"/>
        <v>0</v>
      </c>
      <c r="AD587" s="351">
        <f t="shared" si="1731"/>
        <v>0</v>
      </c>
      <c r="AE587" s="351">
        <f t="shared" si="1731"/>
        <v>0</v>
      </c>
      <c r="AF587" s="351">
        <f t="shared" si="1731"/>
        <v>0</v>
      </c>
      <c r="AG587" s="351">
        <f t="shared" si="1731"/>
        <v>0</v>
      </c>
      <c r="AH587" s="351">
        <f t="shared" si="1731"/>
        <v>0</v>
      </c>
      <c r="AI587" s="351">
        <f t="shared" si="1731"/>
        <v>0</v>
      </c>
      <c r="AJ587" s="351">
        <f t="shared" si="1731"/>
        <v>0</v>
      </c>
      <c r="AK587" s="351">
        <f t="shared" si="1731"/>
        <v>0</v>
      </c>
      <c r="AL587" s="351">
        <f t="shared" si="1731"/>
        <v>0</v>
      </c>
      <c r="AM587" s="410"/>
    </row>
    <row r="588" spans="2:39" ht="22.5" customHeight="1">
      <c r="B588" s="392" t="s">
        <v>226</v>
      </c>
      <c r="C588" s="411"/>
      <c r="D588" s="412"/>
      <c r="E588" s="412"/>
      <c r="F588" s="412"/>
      <c r="G588" s="412"/>
      <c r="H588" s="412"/>
      <c r="I588" s="412"/>
      <c r="J588" s="412"/>
      <c r="K588" s="412"/>
      <c r="L588" s="412"/>
      <c r="M588" s="412"/>
      <c r="N588" s="412"/>
      <c r="O588" s="412"/>
      <c r="P588" s="412"/>
      <c r="Q588" s="412"/>
      <c r="R588" s="412"/>
      <c r="S588" s="395"/>
      <c r="T588" s="396"/>
      <c r="U588" s="412"/>
      <c r="V588" s="412"/>
      <c r="W588" s="412"/>
      <c r="X588" s="412"/>
      <c r="Y588" s="429"/>
      <c r="Z588" s="429"/>
      <c r="AA588" s="429"/>
      <c r="AB588" s="429"/>
      <c r="AC588" s="429"/>
      <c r="AD588" s="429"/>
      <c r="AE588" s="429"/>
      <c r="AF588" s="429"/>
      <c r="AG588" s="429"/>
      <c r="AH588" s="429"/>
      <c r="AI588" s="429"/>
      <c r="AJ588" s="429"/>
      <c r="AK588" s="429"/>
      <c r="AL588" s="429"/>
      <c r="AM588" s="413"/>
    </row>
    <row r="591" spans="2:39" ht="15.6">
      <c r="B591" s="305" t="s">
        <v>312</v>
      </c>
      <c r="C591" s="306"/>
      <c r="D591" s="619" t="s">
        <v>588</v>
      </c>
      <c r="E591" s="278"/>
      <c r="F591" s="619" t="s">
        <v>599</v>
      </c>
      <c r="G591" s="278"/>
      <c r="H591" s="278"/>
      <c r="I591" s="278"/>
      <c r="J591" s="278"/>
      <c r="K591" s="278"/>
      <c r="L591" s="278"/>
      <c r="M591" s="278"/>
      <c r="N591" s="278"/>
      <c r="O591" s="306"/>
      <c r="P591" s="278"/>
      <c r="Q591" s="278"/>
      <c r="R591" s="278"/>
      <c r="S591" s="278"/>
      <c r="T591" s="278"/>
      <c r="U591" s="278"/>
      <c r="V591" s="278"/>
      <c r="W591" s="278"/>
      <c r="X591" s="278"/>
      <c r="Y591" s="295"/>
      <c r="Z591" s="292"/>
      <c r="AA591" s="292"/>
      <c r="AB591" s="292"/>
      <c r="AC591" s="292"/>
      <c r="AD591" s="292"/>
      <c r="AE591" s="292"/>
      <c r="AF591" s="292"/>
      <c r="AG591" s="292"/>
      <c r="AH591" s="292"/>
      <c r="AI591" s="292"/>
      <c r="AJ591" s="292"/>
      <c r="AK591" s="292"/>
      <c r="AL591" s="292"/>
    </row>
    <row r="592" spans="2:39" ht="33.75" customHeight="1">
      <c r="B592" s="1220" t="s">
        <v>213</v>
      </c>
      <c r="C592" s="1222" t="s">
        <v>33</v>
      </c>
      <c r="D592" s="309" t="s">
        <v>427</v>
      </c>
      <c r="E592" s="1224" t="s">
        <v>211</v>
      </c>
      <c r="F592" s="1225"/>
      <c r="G592" s="1225"/>
      <c r="H592" s="1225"/>
      <c r="I592" s="1225"/>
      <c r="J592" s="1225"/>
      <c r="K592" s="1225"/>
      <c r="L592" s="1225"/>
      <c r="M592" s="1226"/>
      <c r="N592" s="1227" t="s">
        <v>215</v>
      </c>
      <c r="O592" s="309" t="s">
        <v>428</v>
      </c>
      <c r="P592" s="1224" t="s">
        <v>214</v>
      </c>
      <c r="Q592" s="1225"/>
      <c r="R592" s="1225"/>
      <c r="S592" s="1225"/>
      <c r="T592" s="1225"/>
      <c r="U592" s="1225"/>
      <c r="V592" s="1225"/>
      <c r="W592" s="1225"/>
      <c r="X592" s="1226"/>
      <c r="Y592" s="1217" t="s">
        <v>246</v>
      </c>
      <c r="Z592" s="1218"/>
      <c r="AA592" s="1218"/>
      <c r="AB592" s="1218"/>
      <c r="AC592" s="1218"/>
      <c r="AD592" s="1218"/>
      <c r="AE592" s="1218"/>
      <c r="AF592" s="1218"/>
      <c r="AG592" s="1218"/>
      <c r="AH592" s="1218"/>
      <c r="AI592" s="1218"/>
      <c r="AJ592" s="1218"/>
      <c r="AK592" s="1218"/>
      <c r="AL592" s="1218"/>
      <c r="AM592" s="1219"/>
    </row>
    <row r="593" spans="1:39" ht="68.25" customHeight="1">
      <c r="B593" s="1221"/>
      <c r="C593" s="1223"/>
      <c r="D593" s="310">
        <v>2018</v>
      </c>
      <c r="E593" s="310">
        <v>2019</v>
      </c>
      <c r="F593" s="310">
        <v>2020</v>
      </c>
      <c r="G593" s="310">
        <v>2021</v>
      </c>
      <c r="H593" s="310">
        <v>2022</v>
      </c>
      <c r="I593" s="310">
        <v>2023</v>
      </c>
      <c r="J593" s="310">
        <v>2024</v>
      </c>
      <c r="K593" s="310">
        <v>2025</v>
      </c>
      <c r="L593" s="310">
        <v>2026</v>
      </c>
      <c r="M593" s="310">
        <v>2027</v>
      </c>
      <c r="N593" s="1228"/>
      <c r="O593" s="310">
        <v>2018</v>
      </c>
      <c r="P593" s="310">
        <v>2019</v>
      </c>
      <c r="Q593" s="310">
        <v>2020</v>
      </c>
      <c r="R593" s="310">
        <v>2021</v>
      </c>
      <c r="S593" s="310">
        <v>2022</v>
      </c>
      <c r="T593" s="310">
        <v>2023</v>
      </c>
      <c r="U593" s="310">
        <v>2024</v>
      </c>
      <c r="V593" s="310">
        <v>2025</v>
      </c>
      <c r="W593" s="310">
        <v>2026</v>
      </c>
      <c r="X593" s="310">
        <v>2027</v>
      </c>
      <c r="Y593" s="310" t="str">
        <f>'1.  LRAMVA Summary'!D51</f>
        <v>Residential</v>
      </c>
      <c r="Z593" s="310" t="str">
        <f>'1.  LRAMVA Summary'!E51</f>
        <v>GS&lt;50 kW</v>
      </c>
      <c r="AA593" s="310" t="str">
        <f>'1.  LRAMVA Summary'!F51</f>
        <v>GS&gt;50 kW</v>
      </c>
      <c r="AB593" s="310" t="str">
        <f>'1.  LRAMVA Summary'!G51</f>
        <v>Large Use</v>
      </c>
      <c r="AC593" s="310" t="str">
        <f>'1.  LRAMVA Summary'!H51</f>
        <v>Unmetered Scattered Load</v>
      </c>
      <c r="AD593" s="310" t="str">
        <f>'1.  LRAMVA Summary'!I51</f>
        <v>Sentinel Lighting</v>
      </c>
      <c r="AE593" s="310" t="str">
        <f>'1.  LRAMVA Summary'!J51</f>
        <v>Street Lighting</v>
      </c>
      <c r="AF593" s="310" t="str">
        <f>'1.  LRAMVA Summary'!K51</f>
        <v/>
      </c>
      <c r="AG593" s="310" t="str">
        <f>'1.  LRAMVA Summary'!L51</f>
        <v/>
      </c>
      <c r="AH593" s="310" t="str">
        <f>'1.  LRAMVA Summary'!M51</f>
        <v/>
      </c>
      <c r="AI593" s="310" t="str">
        <f>'1.  LRAMVA Summary'!N51</f>
        <v/>
      </c>
      <c r="AJ593" s="310" t="str">
        <f>'1.  LRAMVA Summary'!O51</f>
        <v/>
      </c>
      <c r="AK593" s="310" t="str">
        <f>'1.  LRAMVA Summary'!P51</f>
        <v/>
      </c>
      <c r="AL593" s="310" t="str">
        <f>'1.  LRAMVA Summary'!Q51</f>
        <v/>
      </c>
      <c r="AM593" s="312" t="str">
        <f>'1.  LRAMVA Summary'!R51</f>
        <v>Total</v>
      </c>
    </row>
    <row r="594" spans="1:39" ht="15.75" customHeight="1">
      <c r="A594" s="560"/>
      <c r="B594" s="547" t="s">
        <v>518</v>
      </c>
      <c r="C594" s="314"/>
      <c r="D594" s="314"/>
      <c r="E594" s="314"/>
      <c r="F594" s="314"/>
      <c r="G594" s="314"/>
      <c r="H594" s="314"/>
      <c r="I594" s="314"/>
      <c r="J594" s="314"/>
      <c r="K594" s="314"/>
      <c r="L594" s="314"/>
      <c r="M594" s="314"/>
      <c r="N594" s="315"/>
      <c r="O594" s="314"/>
      <c r="P594" s="314"/>
      <c r="Q594" s="314"/>
      <c r="R594" s="314"/>
      <c r="S594" s="314"/>
      <c r="T594" s="314"/>
      <c r="U594" s="314"/>
      <c r="V594" s="314"/>
      <c r="W594" s="314"/>
      <c r="X594" s="314"/>
      <c r="Y594" s="316" t="str">
        <f>'1.  LRAMVA Summary'!D52</f>
        <v>kWh</v>
      </c>
      <c r="Z594" s="316" t="str">
        <f>'1.  LRAMVA Summary'!E52</f>
        <v>kWh</v>
      </c>
      <c r="AA594" s="316" t="str">
        <f>'1.  LRAMVA Summary'!F52</f>
        <v>kW</v>
      </c>
      <c r="AB594" s="316" t="str">
        <f>'1.  LRAMVA Summary'!G52</f>
        <v>kW</v>
      </c>
      <c r="AC594" s="316" t="str">
        <f>'1.  LRAMVA Summary'!H52</f>
        <v>kWh</v>
      </c>
      <c r="AD594" s="316" t="str">
        <f>'1.  LRAMVA Summary'!I52</f>
        <v>kW</v>
      </c>
      <c r="AE594" s="316" t="str">
        <f>'1.  LRAMVA Summary'!J52</f>
        <v>kW</v>
      </c>
      <c r="AF594" s="316" t="str">
        <f>'1.  LRAMVA Summary'!K52</f>
        <v/>
      </c>
      <c r="AG594" s="316" t="str">
        <f>'1.  LRAMVA Summary'!L52</f>
        <v/>
      </c>
      <c r="AH594" s="316" t="str">
        <f>'1.  LRAMVA Summary'!M52</f>
        <v/>
      </c>
      <c r="AI594" s="316" t="str">
        <f>'1.  LRAMVA Summary'!N52</f>
        <v/>
      </c>
      <c r="AJ594" s="316" t="str">
        <f>'1.  LRAMVA Summary'!O52</f>
        <v/>
      </c>
      <c r="AK594" s="316" t="str">
        <f>'1.  LRAMVA Summary'!P52</f>
        <v/>
      </c>
      <c r="AL594" s="316" t="str">
        <f>'1.  LRAMVA Summary'!Q52</f>
        <v/>
      </c>
      <c r="AM594" s="317"/>
    </row>
    <row r="595" spans="1:39" ht="15.6" hidden="1" outlineLevel="1">
      <c r="A595" s="560"/>
      <c r="B595" s="533" t="s">
        <v>511</v>
      </c>
      <c r="C595" s="314"/>
      <c r="D595" s="314"/>
      <c r="E595" s="314"/>
      <c r="F595" s="314"/>
      <c r="G595" s="314"/>
      <c r="H595" s="314"/>
      <c r="I595" s="314"/>
      <c r="J595" s="314"/>
      <c r="K595" s="314"/>
      <c r="L595" s="314"/>
      <c r="M595" s="314"/>
      <c r="N595" s="315"/>
      <c r="O595" s="314"/>
      <c r="P595" s="314"/>
      <c r="Q595" s="314"/>
      <c r="R595" s="314"/>
      <c r="S595" s="314"/>
      <c r="T595" s="314"/>
      <c r="U595" s="314"/>
      <c r="V595" s="314"/>
      <c r="W595" s="314"/>
      <c r="X595" s="314"/>
      <c r="Y595" s="316"/>
      <c r="Z595" s="316"/>
      <c r="AA595" s="316"/>
      <c r="AB595" s="316"/>
      <c r="AC595" s="316"/>
      <c r="AD595" s="316"/>
      <c r="AE595" s="316"/>
      <c r="AF595" s="316"/>
      <c r="AG595" s="316"/>
      <c r="AH595" s="316"/>
      <c r="AI595" s="316"/>
      <c r="AJ595" s="316"/>
      <c r="AK595" s="316"/>
      <c r="AL595" s="316"/>
      <c r="AM595" s="317"/>
    </row>
    <row r="596" spans="1:39" ht="15" hidden="1" outlineLevel="1">
      <c r="A596" s="560">
        <v>1</v>
      </c>
      <c r="B596" s="448" t="s">
        <v>95</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t="15"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32">Z596</f>
        <v>0</v>
      </c>
      <c r="AA597" s="431">
        <f t="shared" ref="AA597" si="1733">AA596</f>
        <v>0</v>
      </c>
      <c r="AB597" s="431">
        <f t="shared" ref="AB597" si="1734">AB596</f>
        <v>0</v>
      </c>
      <c r="AC597" s="431">
        <f t="shared" ref="AC597" si="1735">AC596</f>
        <v>0</v>
      </c>
      <c r="AD597" s="431">
        <f t="shared" ref="AD597" si="1736">AD596</f>
        <v>0</v>
      </c>
      <c r="AE597" s="431">
        <f t="shared" ref="AE597" si="1737">AE596</f>
        <v>0</v>
      </c>
      <c r="AF597" s="431">
        <f t="shared" ref="AF597" si="1738">AF596</f>
        <v>0</v>
      </c>
      <c r="AG597" s="431">
        <f t="shared" ref="AG597" si="1739">AG596</f>
        <v>0</v>
      </c>
      <c r="AH597" s="431">
        <f t="shared" ref="AH597" si="1740">AH596</f>
        <v>0</v>
      </c>
      <c r="AI597" s="431">
        <f t="shared" ref="AI597" si="1741">AI596</f>
        <v>0</v>
      </c>
      <c r="AJ597" s="431">
        <f t="shared" ref="AJ597" si="1742">AJ596</f>
        <v>0</v>
      </c>
      <c r="AK597" s="431">
        <f t="shared" ref="AK597" si="1743">AK596</f>
        <v>0</v>
      </c>
      <c r="AL597" s="431">
        <f t="shared" ref="AL597" si="1744">AL596</f>
        <v>0</v>
      </c>
      <c r="AM597" s="322"/>
    </row>
    <row r="598" spans="1:39" ht="15.6" hidden="1" outlineLevel="1">
      <c r="A598" s="560"/>
      <c r="B598" s="323"/>
      <c r="C598" s="324"/>
      <c r="D598" s="324"/>
      <c r="E598" s="324"/>
      <c r="F598" s="324"/>
      <c r="G598" s="324"/>
      <c r="H598" s="324"/>
      <c r="I598" s="324"/>
      <c r="J598" s="324"/>
      <c r="K598" s="324"/>
      <c r="L598" s="324"/>
      <c r="M598" s="324"/>
      <c r="N598" s="325"/>
      <c r="O598" s="324"/>
      <c r="P598" s="324"/>
      <c r="Q598" s="324"/>
      <c r="R598" s="324"/>
      <c r="S598" s="324"/>
      <c r="T598" s="324"/>
      <c r="U598" s="324"/>
      <c r="V598" s="324"/>
      <c r="W598" s="324"/>
      <c r="X598" s="324"/>
      <c r="Y598" s="432"/>
      <c r="Z598" s="433"/>
      <c r="AA598" s="433"/>
      <c r="AB598" s="433"/>
      <c r="AC598" s="433"/>
      <c r="AD598" s="433"/>
      <c r="AE598" s="433"/>
      <c r="AF598" s="433"/>
      <c r="AG598" s="433"/>
      <c r="AH598" s="433"/>
      <c r="AI598" s="433"/>
      <c r="AJ598" s="433"/>
      <c r="AK598" s="433"/>
      <c r="AL598" s="433"/>
      <c r="AM598" s="327"/>
    </row>
    <row r="599" spans="1:39" ht="15" hidden="1" outlineLevel="1">
      <c r="A599" s="560">
        <v>2</v>
      </c>
      <c r="B599" s="448" t="s">
        <v>96</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t="15"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45">Z599</f>
        <v>0</v>
      </c>
      <c r="AA600" s="431">
        <f t="shared" ref="AA600" si="1746">AA599</f>
        <v>0</v>
      </c>
      <c r="AB600" s="431">
        <f t="shared" ref="AB600" si="1747">AB599</f>
        <v>0</v>
      </c>
      <c r="AC600" s="431">
        <f t="shared" ref="AC600" si="1748">AC599</f>
        <v>0</v>
      </c>
      <c r="AD600" s="431">
        <f t="shared" ref="AD600" si="1749">AD599</f>
        <v>0</v>
      </c>
      <c r="AE600" s="431">
        <f t="shared" ref="AE600" si="1750">AE599</f>
        <v>0</v>
      </c>
      <c r="AF600" s="431">
        <f t="shared" ref="AF600" si="1751">AF599</f>
        <v>0</v>
      </c>
      <c r="AG600" s="431">
        <f t="shared" ref="AG600" si="1752">AG599</f>
        <v>0</v>
      </c>
      <c r="AH600" s="431">
        <f t="shared" ref="AH600" si="1753">AH599</f>
        <v>0</v>
      </c>
      <c r="AI600" s="431">
        <f t="shared" ref="AI600" si="1754">AI599</f>
        <v>0</v>
      </c>
      <c r="AJ600" s="431">
        <f t="shared" ref="AJ600" si="1755">AJ599</f>
        <v>0</v>
      </c>
      <c r="AK600" s="431">
        <f t="shared" ref="AK600" si="1756">AK599</f>
        <v>0</v>
      </c>
      <c r="AL600" s="431">
        <f t="shared" ref="AL600" si="1757">AL599</f>
        <v>0</v>
      </c>
      <c r="AM600" s="322"/>
    </row>
    <row r="601" spans="1:39" ht="15.6" hidden="1" outlineLevel="1">
      <c r="A601" s="560"/>
      <c r="B601" s="323"/>
      <c r="C601" s="324"/>
      <c r="D601" s="329"/>
      <c r="E601" s="329"/>
      <c r="F601" s="329"/>
      <c r="G601" s="329"/>
      <c r="H601" s="329"/>
      <c r="I601" s="329"/>
      <c r="J601" s="329"/>
      <c r="K601" s="329"/>
      <c r="L601" s="329"/>
      <c r="M601" s="329"/>
      <c r="N601" s="325"/>
      <c r="O601" s="329"/>
      <c r="P601" s="329"/>
      <c r="Q601" s="329"/>
      <c r="R601" s="329"/>
      <c r="S601" s="329"/>
      <c r="T601" s="329"/>
      <c r="U601" s="329"/>
      <c r="V601" s="329"/>
      <c r="W601" s="329"/>
      <c r="X601" s="329"/>
      <c r="Y601" s="432"/>
      <c r="Z601" s="433"/>
      <c r="AA601" s="433"/>
      <c r="AB601" s="433"/>
      <c r="AC601" s="433"/>
      <c r="AD601" s="433"/>
      <c r="AE601" s="433"/>
      <c r="AF601" s="433"/>
      <c r="AG601" s="433"/>
      <c r="AH601" s="433"/>
      <c r="AI601" s="433"/>
      <c r="AJ601" s="433"/>
      <c r="AK601" s="433"/>
      <c r="AL601" s="433"/>
      <c r="AM601" s="327"/>
    </row>
    <row r="602" spans="1:39" ht="15" hidden="1" outlineLevel="1">
      <c r="A602" s="560">
        <v>3</v>
      </c>
      <c r="B602" s="448" t="s">
        <v>97</v>
      </c>
      <c r="C602" s="316" t="s">
        <v>25</v>
      </c>
      <c r="D602" s="320"/>
      <c r="E602" s="320"/>
      <c r="F602" s="320"/>
      <c r="G602" s="320"/>
      <c r="H602" s="320"/>
      <c r="I602" s="320"/>
      <c r="J602" s="320"/>
      <c r="K602" s="320"/>
      <c r="L602" s="320"/>
      <c r="M602" s="320"/>
      <c r="N602" s="316"/>
      <c r="O602" s="320"/>
      <c r="P602" s="320"/>
      <c r="Q602" s="320"/>
      <c r="R602" s="320"/>
      <c r="S602" s="320"/>
      <c r="T602" s="320"/>
      <c r="U602" s="320"/>
      <c r="V602" s="320"/>
      <c r="W602" s="320"/>
      <c r="X602" s="320"/>
      <c r="Y602" s="430"/>
      <c r="Z602" s="430"/>
      <c r="AA602" s="430"/>
      <c r="AB602" s="430"/>
      <c r="AC602" s="430"/>
      <c r="AD602" s="430"/>
      <c r="AE602" s="430"/>
      <c r="AF602" s="430"/>
      <c r="AG602" s="430"/>
      <c r="AH602" s="430"/>
      <c r="AI602" s="430"/>
      <c r="AJ602" s="430"/>
      <c r="AK602" s="430"/>
      <c r="AL602" s="430"/>
      <c r="AM602" s="321">
        <f>SUM(Y602:AL602)</f>
        <v>0</v>
      </c>
    </row>
    <row r="603" spans="1:39" ht="15" hidden="1" outlineLevel="1">
      <c r="A603" s="560"/>
      <c r="B603" s="319" t="s">
        <v>313</v>
      </c>
      <c r="C603" s="316" t="s">
        <v>164</v>
      </c>
      <c r="D603" s="320"/>
      <c r="E603" s="320"/>
      <c r="F603" s="320"/>
      <c r="G603" s="320"/>
      <c r="H603" s="320"/>
      <c r="I603" s="320"/>
      <c r="J603" s="320"/>
      <c r="K603" s="320"/>
      <c r="L603" s="320"/>
      <c r="M603" s="320"/>
      <c r="N603" s="488"/>
      <c r="O603" s="320"/>
      <c r="P603" s="320"/>
      <c r="Q603" s="320"/>
      <c r="R603" s="320"/>
      <c r="S603" s="320"/>
      <c r="T603" s="320"/>
      <c r="U603" s="320"/>
      <c r="V603" s="320"/>
      <c r="W603" s="320"/>
      <c r="X603" s="320"/>
      <c r="Y603" s="431">
        <f>Y602</f>
        <v>0</v>
      </c>
      <c r="Z603" s="431">
        <f t="shared" ref="Z603" si="1758">Z602</f>
        <v>0</v>
      </c>
      <c r="AA603" s="431">
        <f t="shared" ref="AA603" si="1759">AA602</f>
        <v>0</v>
      </c>
      <c r="AB603" s="431">
        <f t="shared" ref="AB603" si="1760">AB602</f>
        <v>0</v>
      </c>
      <c r="AC603" s="431">
        <f t="shared" ref="AC603" si="1761">AC602</f>
        <v>0</v>
      </c>
      <c r="AD603" s="431">
        <f t="shared" ref="AD603" si="1762">AD602</f>
        <v>0</v>
      </c>
      <c r="AE603" s="431">
        <f t="shared" ref="AE603" si="1763">AE602</f>
        <v>0</v>
      </c>
      <c r="AF603" s="431">
        <f t="shared" ref="AF603" si="1764">AF602</f>
        <v>0</v>
      </c>
      <c r="AG603" s="431">
        <f t="shared" ref="AG603" si="1765">AG602</f>
        <v>0</v>
      </c>
      <c r="AH603" s="431">
        <f t="shared" ref="AH603" si="1766">AH602</f>
        <v>0</v>
      </c>
      <c r="AI603" s="431">
        <f t="shared" ref="AI603" si="1767">AI602</f>
        <v>0</v>
      </c>
      <c r="AJ603" s="431">
        <f t="shared" ref="AJ603" si="1768">AJ602</f>
        <v>0</v>
      </c>
      <c r="AK603" s="431">
        <f t="shared" ref="AK603" si="1769">AK602</f>
        <v>0</v>
      </c>
      <c r="AL603" s="431">
        <f t="shared" ref="AL603" si="1770">AL602</f>
        <v>0</v>
      </c>
      <c r="AM603" s="322"/>
    </row>
    <row r="604" spans="1:39" ht="15" hidden="1" outlineLevel="1">
      <c r="A604" s="560"/>
      <c r="B604" s="319"/>
      <c r="C604" s="330"/>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432"/>
      <c r="Z604" s="432"/>
      <c r="AA604" s="432"/>
      <c r="AB604" s="432"/>
      <c r="AC604" s="432"/>
      <c r="AD604" s="432"/>
      <c r="AE604" s="432"/>
      <c r="AF604" s="432"/>
      <c r="AG604" s="432"/>
      <c r="AH604" s="432"/>
      <c r="AI604" s="432"/>
      <c r="AJ604" s="432"/>
      <c r="AK604" s="432"/>
      <c r="AL604" s="432"/>
      <c r="AM604" s="331"/>
    </row>
    <row r="605" spans="1:39" ht="15" hidden="1" outlineLevel="1">
      <c r="A605" s="560">
        <v>4</v>
      </c>
      <c r="B605" s="448" t="s">
        <v>98</v>
      </c>
      <c r="C605" s="316" t="s">
        <v>25</v>
      </c>
      <c r="D605" s="320"/>
      <c r="E605" s="320"/>
      <c r="F605" s="320"/>
      <c r="G605" s="320"/>
      <c r="H605" s="320"/>
      <c r="I605" s="320"/>
      <c r="J605" s="320"/>
      <c r="K605" s="320"/>
      <c r="L605" s="320"/>
      <c r="M605" s="320"/>
      <c r="N605" s="316"/>
      <c r="O605" s="320"/>
      <c r="P605" s="320"/>
      <c r="Q605" s="320"/>
      <c r="R605" s="320"/>
      <c r="S605" s="320"/>
      <c r="T605" s="320"/>
      <c r="U605" s="320"/>
      <c r="V605" s="320"/>
      <c r="W605" s="320"/>
      <c r="X605" s="320"/>
      <c r="Y605" s="430"/>
      <c r="Z605" s="430"/>
      <c r="AA605" s="430"/>
      <c r="AB605" s="430"/>
      <c r="AC605" s="430"/>
      <c r="AD605" s="430"/>
      <c r="AE605" s="430"/>
      <c r="AF605" s="430"/>
      <c r="AG605" s="430"/>
      <c r="AH605" s="430"/>
      <c r="AI605" s="430"/>
      <c r="AJ605" s="430"/>
      <c r="AK605" s="430"/>
      <c r="AL605" s="430"/>
      <c r="AM605" s="321">
        <f>SUM(Y605:AL605)</f>
        <v>0</v>
      </c>
    </row>
    <row r="606" spans="1:39" ht="15" hidden="1" outlineLevel="1">
      <c r="A606" s="560"/>
      <c r="B606" s="319" t="s">
        <v>313</v>
      </c>
      <c r="C606" s="316" t="s">
        <v>164</v>
      </c>
      <c r="D606" s="320"/>
      <c r="E606" s="320"/>
      <c r="F606" s="320"/>
      <c r="G606" s="320"/>
      <c r="H606" s="320"/>
      <c r="I606" s="320"/>
      <c r="J606" s="320"/>
      <c r="K606" s="320"/>
      <c r="L606" s="320"/>
      <c r="M606" s="320"/>
      <c r="N606" s="488"/>
      <c r="O606" s="320"/>
      <c r="P606" s="320"/>
      <c r="Q606" s="320"/>
      <c r="R606" s="320"/>
      <c r="S606" s="320"/>
      <c r="T606" s="320"/>
      <c r="U606" s="320"/>
      <c r="V606" s="320"/>
      <c r="W606" s="320"/>
      <c r="X606" s="320"/>
      <c r="Y606" s="431">
        <f>Y605</f>
        <v>0</v>
      </c>
      <c r="Z606" s="431">
        <f t="shared" ref="Z606" si="1771">Z605</f>
        <v>0</v>
      </c>
      <c r="AA606" s="431">
        <f t="shared" ref="AA606" si="1772">AA605</f>
        <v>0</v>
      </c>
      <c r="AB606" s="431">
        <f t="shared" ref="AB606" si="1773">AB605</f>
        <v>0</v>
      </c>
      <c r="AC606" s="431">
        <f t="shared" ref="AC606" si="1774">AC605</f>
        <v>0</v>
      </c>
      <c r="AD606" s="431">
        <f t="shared" ref="AD606" si="1775">AD605</f>
        <v>0</v>
      </c>
      <c r="AE606" s="431">
        <f t="shared" ref="AE606" si="1776">AE605</f>
        <v>0</v>
      </c>
      <c r="AF606" s="431">
        <f t="shared" ref="AF606" si="1777">AF605</f>
        <v>0</v>
      </c>
      <c r="AG606" s="431">
        <f t="shared" ref="AG606" si="1778">AG605</f>
        <v>0</v>
      </c>
      <c r="AH606" s="431">
        <f t="shared" ref="AH606" si="1779">AH605</f>
        <v>0</v>
      </c>
      <c r="AI606" s="431">
        <f t="shared" ref="AI606" si="1780">AI605</f>
        <v>0</v>
      </c>
      <c r="AJ606" s="431">
        <f t="shared" ref="AJ606" si="1781">AJ605</f>
        <v>0</v>
      </c>
      <c r="AK606" s="431">
        <f t="shared" ref="AK606" si="1782">AK605</f>
        <v>0</v>
      </c>
      <c r="AL606" s="431">
        <f t="shared" ref="AL606" si="1783">AL605</f>
        <v>0</v>
      </c>
      <c r="AM606" s="322"/>
    </row>
    <row r="607" spans="1:39" ht="15" hidden="1" outlineLevel="1">
      <c r="A607" s="560"/>
      <c r="B607" s="319"/>
      <c r="C607" s="330"/>
      <c r="D607" s="329"/>
      <c r="E607" s="329"/>
      <c r="F607" s="329"/>
      <c r="G607" s="329"/>
      <c r="H607" s="329"/>
      <c r="I607" s="329"/>
      <c r="J607" s="329"/>
      <c r="K607" s="329"/>
      <c r="L607" s="329"/>
      <c r="M607" s="329"/>
      <c r="N607" s="316"/>
      <c r="O607" s="329"/>
      <c r="P607" s="329"/>
      <c r="Q607" s="329"/>
      <c r="R607" s="329"/>
      <c r="S607" s="329"/>
      <c r="T607" s="329"/>
      <c r="U607" s="329"/>
      <c r="V607" s="329"/>
      <c r="W607" s="329"/>
      <c r="X607" s="329"/>
      <c r="Y607" s="432"/>
      <c r="Z607" s="432"/>
      <c r="AA607" s="432"/>
      <c r="AB607" s="432"/>
      <c r="AC607" s="432"/>
      <c r="AD607" s="432"/>
      <c r="AE607" s="432"/>
      <c r="AF607" s="432"/>
      <c r="AG607" s="432"/>
      <c r="AH607" s="432"/>
      <c r="AI607" s="432"/>
      <c r="AJ607" s="432"/>
      <c r="AK607" s="432"/>
      <c r="AL607" s="432"/>
      <c r="AM607" s="331"/>
    </row>
    <row r="608" spans="1:39" ht="15.75" hidden="1" customHeight="1" outlineLevel="1">
      <c r="A608" s="560">
        <v>5</v>
      </c>
      <c r="B608" s="448" t="s">
        <v>99</v>
      </c>
      <c r="C608" s="316" t="s">
        <v>25</v>
      </c>
      <c r="D608" s="320"/>
      <c r="E608" s="320"/>
      <c r="F608" s="320"/>
      <c r="G608" s="320"/>
      <c r="H608" s="320"/>
      <c r="I608" s="320"/>
      <c r="J608" s="320"/>
      <c r="K608" s="320"/>
      <c r="L608" s="320"/>
      <c r="M608" s="320"/>
      <c r="N608" s="316"/>
      <c r="O608" s="320"/>
      <c r="P608" s="320"/>
      <c r="Q608" s="320"/>
      <c r="R608" s="320"/>
      <c r="S608" s="320"/>
      <c r="T608" s="320"/>
      <c r="U608" s="320"/>
      <c r="V608" s="320"/>
      <c r="W608" s="320"/>
      <c r="X608" s="320"/>
      <c r="Y608" s="430"/>
      <c r="Z608" s="430"/>
      <c r="AA608" s="430"/>
      <c r="AB608" s="430"/>
      <c r="AC608" s="430"/>
      <c r="AD608" s="430"/>
      <c r="AE608" s="430"/>
      <c r="AF608" s="430"/>
      <c r="AG608" s="430"/>
      <c r="AH608" s="430"/>
      <c r="AI608" s="430"/>
      <c r="AJ608" s="430"/>
      <c r="AK608" s="430"/>
      <c r="AL608" s="430"/>
      <c r="AM608" s="321">
        <f>SUM(Y608:AL608)</f>
        <v>0</v>
      </c>
    </row>
    <row r="609" spans="1:39" ht="15" hidden="1" outlineLevel="1">
      <c r="A609" s="560"/>
      <c r="B609" s="319" t="s">
        <v>313</v>
      </c>
      <c r="C609" s="316" t="s">
        <v>164</v>
      </c>
      <c r="D609" s="320"/>
      <c r="E609" s="320"/>
      <c r="F609" s="320"/>
      <c r="G609" s="320"/>
      <c r="H609" s="320"/>
      <c r="I609" s="320"/>
      <c r="J609" s="320"/>
      <c r="K609" s="320"/>
      <c r="L609" s="320"/>
      <c r="M609" s="320"/>
      <c r="N609" s="488"/>
      <c r="O609" s="320"/>
      <c r="P609" s="320"/>
      <c r="Q609" s="320"/>
      <c r="R609" s="320"/>
      <c r="S609" s="320"/>
      <c r="T609" s="320"/>
      <c r="U609" s="320"/>
      <c r="V609" s="320"/>
      <c r="W609" s="320"/>
      <c r="X609" s="320"/>
      <c r="Y609" s="431">
        <f>Y608</f>
        <v>0</v>
      </c>
      <c r="Z609" s="431">
        <f t="shared" ref="Z609" si="1784">Z608</f>
        <v>0</v>
      </c>
      <c r="AA609" s="431">
        <f t="shared" ref="AA609" si="1785">AA608</f>
        <v>0</v>
      </c>
      <c r="AB609" s="431">
        <f t="shared" ref="AB609" si="1786">AB608</f>
        <v>0</v>
      </c>
      <c r="AC609" s="431">
        <f t="shared" ref="AC609" si="1787">AC608</f>
        <v>0</v>
      </c>
      <c r="AD609" s="431">
        <f t="shared" ref="AD609" si="1788">AD608</f>
        <v>0</v>
      </c>
      <c r="AE609" s="431">
        <f t="shared" ref="AE609" si="1789">AE608</f>
        <v>0</v>
      </c>
      <c r="AF609" s="431">
        <f t="shared" ref="AF609" si="1790">AF608</f>
        <v>0</v>
      </c>
      <c r="AG609" s="431">
        <f t="shared" ref="AG609" si="1791">AG608</f>
        <v>0</v>
      </c>
      <c r="AH609" s="431">
        <f t="shared" ref="AH609" si="1792">AH608</f>
        <v>0</v>
      </c>
      <c r="AI609" s="431">
        <f t="shared" ref="AI609" si="1793">AI608</f>
        <v>0</v>
      </c>
      <c r="AJ609" s="431">
        <f t="shared" ref="AJ609" si="1794">AJ608</f>
        <v>0</v>
      </c>
      <c r="AK609" s="431">
        <f t="shared" ref="AK609" si="1795">AK608</f>
        <v>0</v>
      </c>
      <c r="AL609" s="431">
        <f t="shared" ref="AL609" si="1796">AL608</f>
        <v>0</v>
      </c>
      <c r="AM609" s="322"/>
    </row>
    <row r="610" spans="1:39" ht="15" hidden="1" outlineLevel="1">
      <c r="A610" s="560"/>
      <c r="B610" s="319"/>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442"/>
      <c r="Z610" s="443"/>
      <c r="AA610" s="443"/>
      <c r="AB610" s="443"/>
      <c r="AC610" s="443"/>
      <c r="AD610" s="443"/>
      <c r="AE610" s="443"/>
      <c r="AF610" s="443"/>
      <c r="AG610" s="443"/>
      <c r="AH610" s="443"/>
      <c r="AI610" s="443"/>
      <c r="AJ610" s="443"/>
      <c r="AK610" s="443"/>
      <c r="AL610" s="443"/>
      <c r="AM610" s="322"/>
    </row>
    <row r="611" spans="1:39" ht="15.6" hidden="1" outlineLevel="1">
      <c r="A611" s="560"/>
      <c r="B611" s="344" t="s">
        <v>512</v>
      </c>
      <c r="C611" s="314"/>
      <c r="D611" s="314"/>
      <c r="E611" s="314"/>
      <c r="F611" s="314"/>
      <c r="G611" s="314"/>
      <c r="H611" s="314"/>
      <c r="I611" s="314"/>
      <c r="J611" s="314"/>
      <c r="K611" s="314"/>
      <c r="L611" s="314"/>
      <c r="M611" s="314"/>
      <c r="N611" s="315"/>
      <c r="O611" s="314"/>
      <c r="P611" s="314"/>
      <c r="Q611" s="314"/>
      <c r="R611" s="314"/>
      <c r="S611" s="314"/>
      <c r="T611" s="314"/>
      <c r="U611" s="314"/>
      <c r="V611" s="314"/>
      <c r="W611" s="314"/>
      <c r="X611" s="314"/>
      <c r="Y611" s="434"/>
      <c r="Z611" s="434"/>
      <c r="AA611" s="434"/>
      <c r="AB611" s="434"/>
      <c r="AC611" s="434"/>
      <c r="AD611" s="434"/>
      <c r="AE611" s="434"/>
      <c r="AF611" s="434"/>
      <c r="AG611" s="434"/>
      <c r="AH611" s="434"/>
      <c r="AI611" s="434"/>
      <c r="AJ611" s="434"/>
      <c r="AK611" s="434"/>
      <c r="AL611" s="434"/>
      <c r="AM611" s="317"/>
    </row>
    <row r="612" spans="1:39" ht="15" hidden="1" outlineLevel="1">
      <c r="A612" s="560">
        <v>6</v>
      </c>
      <c r="B612" s="448" t="s">
        <v>100</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t="15"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797">Z612</f>
        <v>0</v>
      </c>
      <c r="AA613" s="431">
        <f t="shared" ref="AA613" si="1798">AA612</f>
        <v>0</v>
      </c>
      <c r="AB613" s="431">
        <f t="shared" ref="AB613" si="1799">AB612</f>
        <v>0</v>
      </c>
      <c r="AC613" s="431">
        <f t="shared" ref="AC613" si="1800">AC612</f>
        <v>0</v>
      </c>
      <c r="AD613" s="431">
        <f t="shared" ref="AD613" si="1801">AD612</f>
        <v>0</v>
      </c>
      <c r="AE613" s="431">
        <f t="shared" ref="AE613" si="1802">AE612</f>
        <v>0</v>
      </c>
      <c r="AF613" s="431">
        <f t="shared" ref="AF613" si="1803">AF612</f>
        <v>0</v>
      </c>
      <c r="AG613" s="431">
        <f t="shared" ref="AG613" si="1804">AG612</f>
        <v>0</v>
      </c>
      <c r="AH613" s="431">
        <f t="shared" ref="AH613" si="1805">AH612</f>
        <v>0</v>
      </c>
      <c r="AI613" s="431">
        <f t="shared" ref="AI613" si="1806">AI612</f>
        <v>0</v>
      </c>
      <c r="AJ613" s="431">
        <f t="shared" ref="AJ613" si="1807">AJ612</f>
        <v>0</v>
      </c>
      <c r="AK613" s="431">
        <f t="shared" ref="AK613" si="1808">AK612</f>
        <v>0</v>
      </c>
      <c r="AL613" s="431">
        <f t="shared" ref="AL613" si="1809">AL612</f>
        <v>0</v>
      </c>
      <c r="AM613" s="336"/>
    </row>
    <row r="614" spans="1:39" ht="15" hidden="1" outlineLevel="1">
      <c r="A614" s="560"/>
      <c r="B614" s="335"/>
      <c r="C614" s="337"/>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436"/>
      <c r="Z614" s="436"/>
      <c r="AA614" s="436"/>
      <c r="AB614" s="436"/>
      <c r="AC614" s="436"/>
      <c r="AD614" s="436"/>
      <c r="AE614" s="436"/>
      <c r="AF614" s="436"/>
      <c r="AG614" s="436"/>
      <c r="AH614" s="436"/>
      <c r="AI614" s="436"/>
      <c r="AJ614" s="436"/>
      <c r="AK614" s="436"/>
      <c r="AL614" s="436"/>
      <c r="AM614" s="338"/>
    </row>
    <row r="615" spans="1:39" ht="30" hidden="1" outlineLevel="1">
      <c r="A615" s="560">
        <v>7</v>
      </c>
      <c r="B615" s="448" t="s">
        <v>101</v>
      </c>
      <c r="C615" s="316" t="s">
        <v>25</v>
      </c>
      <c r="D615" s="320"/>
      <c r="E615" s="320"/>
      <c r="F615" s="320"/>
      <c r="G615" s="320"/>
      <c r="H615" s="320"/>
      <c r="I615" s="320"/>
      <c r="J615" s="320"/>
      <c r="K615" s="320"/>
      <c r="L615" s="320"/>
      <c r="M615" s="320"/>
      <c r="N615" s="320">
        <v>12</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t="15" hidden="1" outlineLevel="1">
      <c r="A616" s="560"/>
      <c r="B616" s="319" t="s">
        <v>313</v>
      </c>
      <c r="C616" s="316" t="s">
        <v>164</v>
      </c>
      <c r="D616" s="320"/>
      <c r="E616" s="320"/>
      <c r="F616" s="320"/>
      <c r="G616" s="320"/>
      <c r="H616" s="320"/>
      <c r="I616" s="320"/>
      <c r="J616" s="320"/>
      <c r="K616" s="320"/>
      <c r="L616" s="320"/>
      <c r="M616" s="320"/>
      <c r="N616" s="320">
        <f>N615</f>
        <v>12</v>
      </c>
      <c r="O616" s="320"/>
      <c r="P616" s="320"/>
      <c r="Q616" s="320"/>
      <c r="R616" s="320"/>
      <c r="S616" s="320"/>
      <c r="T616" s="320"/>
      <c r="U616" s="320"/>
      <c r="V616" s="320"/>
      <c r="W616" s="320"/>
      <c r="X616" s="320"/>
      <c r="Y616" s="431">
        <f>Y615</f>
        <v>0</v>
      </c>
      <c r="Z616" s="431">
        <f t="shared" ref="Z616" si="1810">Z615</f>
        <v>0</v>
      </c>
      <c r="AA616" s="431">
        <f t="shared" ref="AA616" si="1811">AA615</f>
        <v>0</v>
      </c>
      <c r="AB616" s="431">
        <f t="shared" ref="AB616" si="1812">AB615</f>
        <v>0</v>
      </c>
      <c r="AC616" s="431">
        <f t="shared" ref="AC616" si="1813">AC615</f>
        <v>0</v>
      </c>
      <c r="AD616" s="431">
        <f t="shared" ref="AD616" si="1814">AD615</f>
        <v>0</v>
      </c>
      <c r="AE616" s="431">
        <f t="shared" ref="AE616" si="1815">AE615</f>
        <v>0</v>
      </c>
      <c r="AF616" s="431">
        <f t="shared" ref="AF616" si="1816">AF615</f>
        <v>0</v>
      </c>
      <c r="AG616" s="431">
        <f t="shared" ref="AG616" si="1817">AG615</f>
        <v>0</v>
      </c>
      <c r="AH616" s="431">
        <f t="shared" ref="AH616" si="1818">AH615</f>
        <v>0</v>
      </c>
      <c r="AI616" s="431">
        <f t="shared" ref="AI616" si="1819">AI615</f>
        <v>0</v>
      </c>
      <c r="AJ616" s="431">
        <f t="shared" ref="AJ616" si="1820">AJ615</f>
        <v>0</v>
      </c>
      <c r="AK616" s="431">
        <f t="shared" ref="AK616" si="1821">AK615</f>
        <v>0</v>
      </c>
      <c r="AL616" s="431">
        <f t="shared" ref="AL616" si="1822">AL615</f>
        <v>0</v>
      </c>
      <c r="AM616" s="336"/>
    </row>
    <row r="617" spans="1:39" ht="15" hidden="1" outlineLevel="1">
      <c r="A617" s="560"/>
      <c r="B617" s="339"/>
      <c r="C617" s="337"/>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436"/>
      <c r="Z617" s="437"/>
      <c r="AA617" s="436"/>
      <c r="AB617" s="436"/>
      <c r="AC617" s="436"/>
      <c r="AD617" s="436"/>
      <c r="AE617" s="436"/>
      <c r="AF617" s="436"/>
      <c r="AG617" s="436"/>
      <c r="AH617" s="436"/>
      <c r="AI617" s="436"/>
      <c r="AJ617" s="436"/>
      <c r="AK617" s="436"/>
      <c r="AL617" s="436"/>
      <c r="AM617" s="338"/>
    </row>
    <row r="618" spans="1:39" ht="30" hidden="1" outlineLevel="1">
      <c r="A618" s="560">
        <v>8</v>
      </c>
      <c r="B618" s="448" t="s">
        <v>102</v>
      </c>
      <c r="C618" s="316" t="s">
        <v>25</v>
      </c>
      <c r="D618" s="320"/>
      <c r="E618" s="320"/>
      <c r="F618" s="320"/>
      <c r="G618" s="320"/>
      <c r="H618" s="320"/>
      <c r="I618" s="320"/>
      <c r="J618" s="320"/>
      <c r="K618" s="320"/>
      <c r="L618" s="320"/>
      <c r="M618" s="320"/>
      <c r="N618" s="320">
        <v>12</v>
      </c>
      <c r="O618" s="320"/>
      <c r="P618" s="320"/>
      <c r="Q618" s="320"/>
      <c r="R618" s="320"/>
      <c r="S618" s="320"/>
      <c r="T618" s="320"/>
      <c r="U618" s="320"/>
      <c r="V618" s="320"/>
      <c r="W618" s="320"/>
      <c r="X618" s="320"/>
      <c r="Y618" s="435"/>
      <c r="Z618" s="430"/>
      <c r="AA618" s="430"/>
      <c r="AB618" s="430"/>
      <c r="AC618" s="430"/>
      <c r="AD618" s="430"/>
      <c r="AE618" s="430"/>
      <c r="AF618" s="435"/>
      <c r="AG618" s="435"/>
      <c r="AH618" s="435"/>
      <c r="AI618" s="435"/>
      <c r="AJ618" s="435"/>
      <c r="AK618" s="435"/>
      <c r="AL618" s="435"/>
      <c r="AM618" s="321">
        <f>SUM(Y618:AL618)</f>
        <v>0</v>
      </c>
    </row>
    <row r="619" spans="1:39" ht="15" hidden="1" outlineLevel="1">
      <c r="A619" s="560"/>
      <c r="B619" s="319" t="s">
        <v>313</v>
      </c>
      <c r="C619" s="316" t="s">
        <v>164</v>
      </c>
      <c r="D619" s="320"/>
      <c r="E619" s="320"/>
      <c r="F619" s="320"/>
      <c r="G619" s="320"/>
      <c r="H619" s="320"/>
      <c r="I619" s="320"/>
      <c r="J619" s="320"/>
      <c r="K619" s="320"/>
      <c r="L619" s="320"/>
      <c r="M619" s="320"/>
      <c r="N619" s="320">
        <f>N618</f>
        <v>12</v>
      </c>
      <c r="O619" s="320"/>
      <c r="P619" s="320"/>
      <c r="Q619" s="320"/>
      <c r="R619" s="320"/>
      <c r="S619" s="320"/>
      <c r="T619" s="320"/>
      <c r="U619" s="320"/>
      <c r="V619" s="320"/>
      <c r="W619" s="320"/>
      <c r="X619" s="320"/>
      <c r="Y619" s="431">
        <f>Y618</f>
        <v>0</v>
      </c>
      <c r="Z619" s="431">
        <f t="shared" ref="Z619" si="1823">Z618</f>
        <v>0</v>
      </c>
      <c r="AA619" s="431">
        <f t="shared" ref="AA619" si="1824">AA618</f>
        <v>0</v>
      </c>
      <c r="AB619" s="431">
        <f t="shared" ref="AB619" si="1825">AB618</f>
        <v>0</v>
      </c>
      <c r="AC619" s="431">
        <f t="shared" ref="AC619" si="1826">AC618</f>
        <v>0</v>
      </c>
      <c r="AD619" s="431">
        <f t="shared" ref="AD619" si="1827">AD618</f>
        <v>0</v>
      </c>
      <c r="AE619" s="431">
        <f t="shared" ref="AE619" si="1828">AE618</f>
        <v>0</v>
      </c>
      <c r="AF619" s="431">
        <f t="shared" ref="AF619" si="1829">AF618</f>
        <v>0</v>
      </c>
      <c r="AG619" s="431">
        <f t="shared" ref="AG619" si="1830">AG618</f>
        <v>0</v>
      </c>
      <c r="AH619" s="431">
        <f t="shared" ref="AH619" si="1831">AH618</f>
        <v>0</v>
      </c>
      <c r="AI619" s="431">
        <f t="shared" ref="AI619" si="1832">AI618</f>
        <v>0</v>
      </c>
      <c r="AJ619" s="431">
        <f t="shared" ref="AJ619" si="1833">AJ618</f>
        <v>0</v>
      </c>
      <c r="AK619" s="431">
        <f t="shared" ref="AK619" si="1834">AK618</f>
        <v>0</v>
      </c>
      <c r="AL619" s="431">
        <f t="shared" ref="AL619" si="1835">AL618</f>
        <v>0</v>
      </c>
      <c r="AM619" s="336"/>
    </row>
    <row r="620" spans="1:39" ht="15" hidden="1" outlineLevel="1">
      <c r="A620" s="560"/>
      <c r="B620" s="339"/>
      <c r="C620" s="337"/>
      <c r="D620" s="341"/>
      <c r="E620" s="341"/>
      <c r="F620" s="341"/>
      <c r="G620" s="341"/>
      <c r="H620" s="341"/>
      <c r="I620" s="341"/>
      <c r="J620" s="341"/>
      <c r="K620" s="341"/>
      <c r="L620" s="341"/>
      <c r="M620" s="341"/>
      <c r="N620" s="316"/>
      <c r="O620" s="341"/>
      <c r="P620" s="341"/>
      <c r="Q620" s="341"/>
      <c r="R620" s="341"/>
      <c r="S620" s="341"/>
      <c r="T620" s="341"/>
      <c r="U620" s="341"/>
      <c r="V620" s="341"/>
      <c r="W620" s="341"/>
      <c r="X620" s="341"/>
      <c r="Y620" s="436"/>
      <c r="Z620" s="437"/>
      <c r="AA620" s="436"/>
      <c r="AB620" s="436"/>
      <c r="AC620" s="436"/>
      <c r="AD620" s="436"/>
      <c r="AE620" s="436"/>
      <c r="AF620" s="436"/>
      <c r="AG620" s="436"/>
      <c r="AH620" s="436"/>
      <c r="AI620" s="436"/>
      <c r="AJ620" s="436"/>
      <c r="AK620" s="436"/>
      <c r="AL620" s="436"/>
      <c r="AM620" s="338"/>
    </row>
    <row r="621" spans="1:39" ht="30" hidden="1" outlineLevel="1">
      <c r="A621" s="560">
        <v>9</v>
      </c>
      <c r="B621" s="448" t="s">
        <v>103</v>
      </c>
      <c r="C621" s="316" t="s">
        <v>25</v>
      </c>
      <c r="D621" s="320"/>
      <c r="E621" s="320"/>
      <c r="F621" s="320"/>
      <c r="G621" s="320"/>
      <c r="H621" s="320"/>
      <c r="I621" s="320"/>
      <c r="J621" s="320"/>
      <c r="K621" s="320"/>
      <c r="L621" s="320"/>
      <c r="M621" s="320"/>
      <c r="N621" s="320">
        <v>12</v>
      </c>
      <c r="O621" s="320"/>
      <c r="P621" s="320"/>
      <c r="Q621" s="320"/>
      <c r="R621" s="320"/>
      <c r="S621" s="320"/>
      <c r="T621" s="320"/>
      <c r="U621" s="320"/>
      <c r="V621" s="320"/>
      <c r="W621" s="320"/>
      <c r="X621" s="320"/>
      <c r="Y621" s="435"/>
      <c r="Z621" s="430"/>
      <c r="AA621" s="430"/>
      <c r="AB621" s="430"/>
      <c r="AC621" s="430"/>
      <c r="AD621" s="430"/>
      <c r="AE621" s="430"/>
      <c r="AF621" s="435"/>
      <c r="AG621" s="435"/>
      <c r="AH621" s="435"/>
      <c r="AI621" s="435"/>
      <c r="AJ621" s="435"/>
      <c r="AK621" s="435"/>
      <c r="AL621" s="435"/>
      <c r="AM621" s="321">
        <f>SUM(Y621:AL621)</f>
        <v>0</v>
      </c>
    </row>
    <row r="622" spans="1:39" ht="15" hidden="1" outlineLevel="1">
      <c r="A622" s="560"/>
      <c r="B622" s="319" t="s">
        <v>313</v>
      </c>
      <c r="C622" s="316" t="s">
        <v>164</v>
      </c>
      <c r="D622" s="320"/>
      <c r="E622" s="320"/>
      <c r="F622" s="320"/>
      <c r="G622" s="320"/>
      <c r="H622" s="320"/>
      <c r="I622" s="320"/>
      <c r="J622" s="320"/>
      <c r="K622" s="320"/>
      <c r="L622" s="320"/>
      <c r="M622" s="320"/>
      <c r="N622" s="320">
        <f>N621</f>
        <v>12</v>
      </c>
      <c r="O622" s="320"/>
      <c r="P622" s="320"/>
      <c r="Q622" s="320"/>
      <c r="R622" s="320"/>
      <c r="S622" s="320"/>
      <c r="T622" s="320"/>
      <c r="U622" s="320"/>
      <c r="V622" s="320"/>
      <c r="W622" s="320"/>
      <c r="X622" s="320"/>
      <c r="Y622" s="431">
        <f>Y621</f>
        <v>0</v>
      </c>
      <c r="Z622" s="431">
        <f t="shared" ref="Z622" si="1836">Z621</f>
        <v>0</v>
      </c>
      <c r="AA622" s="431">
        <f t="shared" ref="AA622" si="1837">AA621</f>
        <v>0</v>
      </c>
      <c r="AB622" s="431">
        <f t="shared" ref="AB622" si="1838">AB621</f>
        <v>0</v>
      </c>
      <c r="AC622" s="431">
        <f t="shared" ref="AC622" si="1839">AC621</f>
        <v>0</v>
      </c>
      <c r="AD622" s="431">
        <f t="shared" ref="AD622" si="1840">AD621</f>
        <v>0</v>
      </c>
      <c r="AE622" s="431">
        <f t="shared" ref="AE622" si="1841">AE621</f>
        <v>0</v>
      </c>
      <c r="AF622" s="431">
        <f t="shared" ref="AF622" si="1842">AF621</f>
        <v>0</v>
      </c>
      <c r="AG622" s="431">
        <f t="shared" ref="AG622" si="1843">AG621</f>
        <v>0</v>
      </c>
      <c r="AH622" s="431">
        <f t="shared" ref="AH622" si="1844">AH621</f>
        <v>0</v>
      </c>
      <c r="AI622" s="431">
        <f t="shared" ref="AI622" si="1845">AI621</f>
        <v>0</v>
      </c>
      <c r="AJ622" s="431">
        <f t="shared" ref="AJ622" si="1846">AJ621</f>
        <v>0</v>
      </c>
      <c r="AK622" s="431">
        <f t="shared" ref="AK622" si="1847">AK621</f>
        <v>0</v>
      </c>
      <c r="AL622" s="431">
        <f t="shared" ref="AL622" si="1848">AL621</f>
        <v>0</v>
      </c>
      <c r="AM622" s="336"/>
    </row>
    <row r="623" spans="1:39" ht="15" hidden="1" outlineLevel="1">
      <c r="A623" s="560"/>
      <c r="B623" s="339"/>
      <c r="C623" s="337"/>
      <c r="D623" s="341"/>
      <c r="E623" s="341"/>
      <c r="F623" s="341"/>
      <c r="G623" s="341"/>
      <c r="H623" s="341"/>
      <c r="I623" s="341"/>
      <c r="J623" s="341"/>
      <c r="K623" s="341"/>
      <c r="L623" s="341"/>
      <c r="M623" s="341"/>
      <c r="N623" s="316"/>
      <c r="O623" s="341"/>
      <c r="P623" s="341"/>
      <c r="Q623" s="341"/>
      <c r="R623" s="341"/>
      <c r="S623" s="341"/>
      <c r="T623" s="341"/>
      <c r="U623" s="341"/>
      <c r="V623" s="341"/>
      <c r="W623" s="341"/>
      <c r="X623" s="341"/>
      <c r="Y623" s="436"/>
      <c r="Z623" s="436"/>
      <c r="AA623" s="436"/>
      <c r="AB623" s="436"/>
      <c r="AC623" s="436"/>
      <c r="AD623" s="436"/>
      <c r="AE623" s="436"/>
      <c r="AF623" s="436"/>
      <c r="AG623" s="436"/>
      <c r="AH623" s="436"/>
      <c r="AI623" s="436"/>
      <c r="AJ623" s="436"/>
      <c r="AK623" s="436"/>
      <c r="AL623" s="436"/>
      <c r="AM623" s="338"/>
    </row>
    <row r="624" spans="1:39" ht="30" hidden="1" outlineLevel="1">
      <c r="A624" s="560">
        <v>10</v>
      </c>
      <c r="B624" s="448" t="s">
        <v>104</v>
      </c>
      <c r="C624" s="316" t="s">
        <v>25</v>
      </c>
      <c r="D624" s="320"/>
      <c r="E624" s="320"/>
      <c r="F624" s="320"/>
      <c r="G624" s="320"/>
      <c r="H624" s="320"/>
      <c r="I624" s="320"/>
      <c r="J624" s="320"/>
      <c r="K624" s="320"/>
      <c r="L624" s="320"/>
      <c r="M624" s="320"/>
      <c r="N624" s="320">
        <v>3</v>
      </c>
      <c r="O624" s="320"/>
      <c r="P624" s="320"/>
      <c r="Q624" s="320"/>
      <c r="R624" s="320"/>
      <c r="S624" s="320"/>
      <c r="T624" s="320"/>
      <c r="U624" s="320"/>
      <c r="V624" s="320"/>
      <c r="W624" s="320"/>
      <c r="X624" s="320"/>
      <c r="Y624" s="435"/>
      <c r="Z624" s="430"/>
      <c r="AA624" s="430"/>
      <c r="AB624" s="430"/>
      <c r="AC624" s="430"/>
      <c r="AD624" s="430"/>
      <c r="AE624" s="430"/>
      <c r="AF624" s="435"/>
      <c r="AG624" s="435"/>
      <c r="AH624" s="435"/>
      <c r="AI624" s="435"/>
      <c r="AJ624" s="435"/>
      <c r="AK624" s="435"/>
      <c r="AL624" s="435"/>
      <c r="AM624" s="321">
        <f>SUM(Y624:AL624)</f>
        <v>0</v>
      </c>
    </row>
    <row r="625" spans="1:39" ht="15" hidden="1" outlineLevel="1">
      <c r="A625" s="560"/>
      <c r="B625" s="319" t="s">
        <v>313</v>
      </c>
      <c r="C625" s="316" t="s">
        <v>164</v>
      </c>
      <c r="D625" s="320"/>
      <c r="E625" s="320"/>
      <c r="F625" s="320"/>
      <c r="G625" s="320"/>
      <c r="H625" s="320"/>
      <c r="I625" s="320"/>
      <c r="J625" s="320"/>
      <c r="K625" s="320"/>
      <c r="L625" s="320"/>
      <c r="M625" s="320"/>
      <c r="N625" s="320">
        <f>N624</f>
        <v>3</v>
      </c>
      <c r="O625" s="320"/>
      <c r="P625" s="320"/>
      <c r="Q625" s="320"/>
      <c r="R625" s="320"/>
      <c r="S625" s="320"/>
      <c r="T625" s="320"/>
      <c r="U625" s="320"/>
      <c r="V625" s="320"/>
      <c r="W625" s="320"/>
      <c r="X625" s="320"/>
      <c r="Y625" s="431">
        <f>Y624</f>
        <v>0</v>
      </c>
      <c r="Z625" s="431">
        <f t="shared" ref="Z625" si="1849">Z624</f>
        <v>0</v>
      </c>
      <c r="AA625" s="431">
        <f t="shared" ref="AA625" si="1850">AA624</f>
        <v>0</v>
      </c>
      <c r="AB625" s="431">
        <f t="shared" ref="AB625" si="1851">AB624</f>
        <v>0</v>
      </c>
      <c r="AC625" s="431">
        <f t="shared" ref="AC625" si="1852">AC624</f>
        <v>0</v>
      </c>
      <c r="AD625" s="431">
        <f t="shared" ref="AD625" si="1853">AD624</f>
        <v>0</v>
      </c>
      <c r="AE625" s="431">
        <f t="shared" ref="AE625" si="1854">AE624</f>
        <v>0</v>
      </c>
      <c r="AF625" s="431">
        <f t="shared" ref="AF625" si="1855">AF624</f>
        <v>0</v>
      </c>
      <c r="AG625" s="431">
        <f t="shared" ref="AG625" si="1856">AG624</f>
        <v>0</v>
      </c>
      <c r="AH625" s="431">
        <f t="shared" ref="AH625" si="1857">AH624</f>
        <v>0</v>
      </c>
      <c r="AI625" s="431">
        <f t="shared" ref="AI625" si="1858">AI624</f>
        <v>0</v>
      </c>
      <c r="AJ625" s="431">
        <f t="shared" ref="AJ625" si="1859">AJ624</f>
        <v>0</v>
      </c>
      <c r="AK625" s="431">
        <f t="shared" ref="AK625" si="1860">AK624</f>
        <v>0</v>
      </c>
      <c r="AL625" s="431">
        <f t="shared" ref="AL625" si="1861">AL624</f>
        <v>0</v>
      </c>
      <c r="AM625" s="336"/>
    </row>
    <row r="626" spans="1:39" ht="15" hidden="1" outlineLevel="1">
      <c r="A626" s="560"/>
      <c r="B626" s="339"/>
      <c r="C626" s="337"/>
      <c r="D626" s="341"/>
      <c r="E626" s="341"/>
      <c r="F626" s="341"/>
      <c r="G626" s="341"/>
      <c r="H626" s="341"/>
      <c r="I626" s="341"/>
      <c r="J626" s="341"/>
      <c r="K626" s="341"/>
      <c r="L626" s="341"/>
      <c r="M626" s="341"/>
      <c r="N626" s="316"/>
      <c r="O626" s="341"/>
      <c r="P626" s="341"/>
      <c r="Q626" s="341"/>
      <c r="R626" s="341"/>
      <c r="S626" s="341"/>
      <c r="T626" s="341"/>
      <c r="U626" s="341"/>
      <c r="V626" s="341"/>
      <c r="W626" s="341"/>
      <c r="X626" s="341"/>
      <c r="Y626" s="436"/>
      <c r="Z626" s="437"/>
      <c r="AA626" s="436"/>
      <c r="AB626" s="436"/>
      <c r="AC626" s="436"/>
      <c r="AD626" s="436"/>
      <c r="AE626" s="436"/>
      <c r="AF626" s="436"/>
      <c r="AG626" s="436"/>
      <c r="AH626" s="436"/>
      <c r="AI626" s="436"/>
      <c r="AJ626" s="436"/>
      <c r="AK626" s="436"/>
      <c r="AL626" s="436"/>
      <c r="AM626" s="338"/>
    </row>
    <row r="627" spans="1:39" ht="15.6" hidden="1" outlineLevel="1">
      <c r="A627" s="560"/>
      <c r="B627" s="313" t="s">
        <v>10</v>
      </c>
      <c r="C627" s="314"/>
      <c r="D627" s="314"/>
      <c r="E627" s="314"/>
      <c r="F627" s="314"/>
      <c r="G627" s="314"/>
      <c r="H627" s="314"/>
      <c r="I627" s="314"/>
      <c r="J627" s="314"/>
      <c r="K627" s="314"/>
      <c r="L627" s="314"/>
      <c r="M627" s="314"/>
      <c r="N627" s="315"/>
      <c r="O627" s="314"/>
      <c r="P627" s="314"/>
      <c r="Q627" s="314"/>
      <c r="R627" s="314"/>
      <c r="S627" s="314"/>
      <c r="T627" s="314"/>
      <c r="U627" s="314"/>
      <c r="V627" s="314"/>
      <c r="W627" s="314"/>
      <c r="X627" s="314"/>
      <c r="Y627" s="434"/>
      <c r="Z627" s="434"/>
      <c r="AA627" s="434"/>
      <c r="AB627" s="434"/>
      <c r="AC627" s="434"/>
      <c r="AD627" s="434"/>
      <c r="AE627" s="434"/>
      <c r="AF627" s="434"/>
      <c r="AG627" s="434"/>
      <c r="AH627" s="434"/>
      <c r="AI627" s="434"/>
      <c r="AJ627" s="434"/>
      <c r="AK627" s="434"/>
      <c r="AL627" s="434"/>
      <c r="AM627" s="317"/>
    </row>
    <row r="628" spans="1:39" ht="30" hidden="1" outlineLevel="1">
      <c r="A628" s="560">
        <v>11</v>
      </c>
      <c r="B628" s="448" t="s">
        <v>105</v>
      </c>
      <c r="C628" s="316" t="s">
        <v>25</v>
      </c>
      <c r="D628" s="320"/>
      <c r="E628" s="320"/>
      <c r="F628" s="320"/>
      <c r="G628" s="320"/>
      <c r="H628" s="320"/>
      <c r="I628" s="320"/>
      <c r="J628" s="320"/>
      <c r="K628" s="320"/>
      <c r="L628" s="320"/>
      <c r="M628" s="320"/>
      <c r="N628" s="320">
        <v>12</v>
      </c>
      <c r="O628" s="320"/>
      <c r="P628" s="320"/>
      <c r="Q628" s="320"/>
      <c r="R628" s="320"/>
      <c r="S628" s="320"/>
      <c r="T628" s="320"/>
      <c r="U628" s="320"/>
      <c r="V628" s="320"/>
      <c r="W628" s="320"/>
      <c r="X628" s="320"/>
      <c r="Y628" s="446"/>
      <c r="Z628" s="430"/>
      <c r="AA628" s="430"/>
      <c r="AB628" s="430"/>
      <c r="AC628" s="430"/>
      <c r="AD628" s="430"/>
      <c r="AE628" s="430"/>
      <c r="AF628" s="435"/>
      <c r="AG628" s="435"/>
      <c r="AH628" s="435"/>
      <c r="AI628" s="435"/>
      <c r="AJ628" s="435"/>
      <c r="AK628" s="435"/>
      <c r="AL628" s="435"/>
      <c r="AM628" s="321">
        <f>SUM(Y628:AL628)</f>
        <v>0</v>
      </c>
    </row>
    <row r="629" spans="1:39" ht="15" hidden="1" outlineLevel="1">
      <c r="A629" s="560"/>
      <c r="B629" s="319" t="s">
        <v>313</v>
      </c>
      <c r="C629" s="316" t="s">
        <v>164</v>
      </c>
      <c r="D629" s="320"/>
      <c r="E629" s="320"/>
      <c r="F629" s="320"/>
      <c r="G629" s="320"/>
      <c r="H629" s="320"/>
      <c r="I629" s="320"/>
      <c r="J629" s="320"/>
      <c r="K629" s="320"/>
      <c r="L629" s="320"/>
      <c r="M629" s="320"/>
      <c r="N629" s="320">
        <f>N628</f>
        <v>12</v>
      </c>
      <c r="O629" s="320"/>
      <c r="P629" s="320"/>
      <c r="Q629" s="320"/>
      <c r="R629" s="320"/>
      <c r="S629" s="320"/>
      <c r="T629" s="320"/>
      <c r="U629" s="320"/>
      <c r="V629" s="320"/>
      <c r="W629" s="320"/>
      <c r="X629" s="320"/>
      <c r="Y629" s="431">
        <f>Y628</f>
        <v>0</v>
      </c>
      <c r="Z629" s="431">
        <f t="shared" ref="Z629" si="1862">Z628</f>
        <v>0</v>
      </c>
      <c r="AA629" s="431">
        <f t="shared" ref="AA629" si="1863">AA628</f>
        <v>0</v>
      </c>
      <c r="AB629" s="431">
        <f t="shared" ref="AB629" si="1864">AB628</f>
        <v>0</v>
      </c>
      <c r="AC629" s="431">
        <f t="shared" ref="AC629" si="1865">AC628</f>
        <v>0</v>
      </c>
      <c r="AD629" s="431">
        <f t="shared" ref="AD629" si="1866">AD628</f>
        <v>0</v>
      </c>
      <c r="AE629" s="431">
        <f t="shared" ref="AE629" si="1867">AE628</f>
        <v>0</v>
      </c>
      <c r="AF629" s="431">
        <f t="shared" ref="AF629" si="1868">AF628</f>
        <v>0</v>
      </c>
      <c r="AG629" s="431">
        <f t="shared" ref="AG629" si="1869">AG628</f>
        <v>0</v>
      </c>
      <c r="AH629" s="431">
        <f t="shared" ref="AH629" si="1870">AH628</f>
        <v>0</v>
      </c>
      <c r="AI629" s="431">
        <f t="shared" ref="AI629" si="1871">AI628</f>
        <v>0</v>
      </c>
      <c r="AJ629" s="431">
        <f t="shared" ref="AJ629" si="1872">AJ628</f>
        <v>0</v>
      </c>
      <c r="AK629" s="431">
        <f t="shared" ref="AK629" si="1873">AK628</f>
        <v>0</v>
      </c>
      <c r="AL629" s="431">
        <f t="shared" ref="AL629" si="1874">AL628</f>
        <v>0</v>
      </c>
      <c r="AM629" s="322"/>
    </row>
    <row r="630" spans="1:39" ht="15" hidden="1" outlineLevel="1">
      <c r="A630" s="560"/>
      <c r="B630" s="340"/>
      <c r="C630" s="330"/>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432"/>
      <c r="Z630" s="441"/>
      <c r="AA630" s="441"/>
      <c r="AB630" s="441"/>
      <c r="AC630" s="441"/>
      <c r="AD630" s="441"/>
      <c r="AE630" s="441"/>
      <c r="AF630" s="441"/>
      <c r="AG630" s="441"/>
      <c r="AH630" s="441"/>
      <c r="AI630" s="441"/>
      <c r="AJ630" s="441"/>
      <c r="AK630" s="441"/>
      <c r="AL630" s="441"/>
      <c r="AM630" s="331"/>
    </row>
    <row r="631" spans="1:39" ht="30" hidden="1" outlineLevel="1">
      <c r="A631" s="560">
        <v>12</v>
      </c>
      <c r="B631" s="448" t="s">
        <v>106</v>
      </c>
      <c r="C631" s="316" t="s">
        <v>25</v>
      </c>
      <c r="D631" s="320"/>
      <c r="E631" s="320"/>
      <c r="F631" s="320"/>
      <c r="G631" s="320"/>
      <c r="H631" s="320"/>
      <c r="I631" s="320"/>
      <c r="J631" s="320"/>
      <c r="K631" s="320"/>
      <c r="L631" s="320"/>
      <c r="M631" s="320"/>
      <c r="N631" s="320">
        <v>12</v>
      </c>
      <c r="O631" s="320"/>
      <c r="P631" s="320"/>
      <c r="Q631" s="320"/>
      <c r="R631" s="320"/>
      <c r="S631" s="320"/>
      <c r="T631" s="320"/>
      <c r="U631" s="320"/>
      <c r="V631" s="320"/>
      <c r="W631" s="320"/>
      <c r="X631" s="320"/>
      <c r="Y631" s="430"/>
      <c r="Z631" s="430"/>
      <c r="AA631" s="430"/>
      <c r="AB631" s="430"/>
      <c r="AC631" s="430"/>
      <c r="AD631" s="430"/>
      <c r="AE631" s="430"/>
      <c r="AF631" s="435"/>
      <c r="AG631" s="435"/>
      <c r="AH631" s="435"/>
      <c r="AI631" s="435"/>
      <c r="AJ631" s="435"/>
      <c r="AK631" s="435"/>
      <c r="AL631" s="435"/>
      <c r="AM631" s="321">
        <f>SUM(Y631:AL631)</f>
        <v>0</v>
      </c>
    </row>
    <row r="632" spans="1:39" ht="15" hidden="1" outlineLevel="1">
      <c r="A632" s="560"/>
      <c r="B632" s="319" t="s">
        <v>313</v>
      </c>
      <c r="C632" s="316" t="s">
        <v>164</v>
      </c>
      <c r="D632" s="320"/>
      <c r="E632" s="320"/>
      <c r="F632" s="320"/>
      <c r="G632" s="320"/>
      <c r="H632" s="320"/>
      <c r="I632" s="320"/>
      <c r="J632" s="320"/>
      <c r="K632" s="320"/>
      <c r="L632" s="320"/>
      <c r="M632" s="320"/>
      <c r="N632" s="320">
        <f>N631</f>
        <v>12</v>
      </c>
      <c r="O632" s="320"/>
      <c r="P632" s="320"/>
      <c r="Q632" s="320"/>
      <c r="R632" s="320"/>
      <c r="S632" s="320"/>
      <c r="T632" s="320"/>
      <c r="U632" s="320"/>
      <c r="V632" s="320"/>
      <c r="W632" s="320"/>
      <c r="X632" s="320"/>
      <c r="Y632" s="431">
        <f>Y631</f>
        <v>0</v>
      </c>
      <c r="Z632" s="431">
        <f t="shared" ref="Z632" si="1875">Z631</f>
        <v>0</v>
      </c>
      <c r="AA632" s="431">
        <f t="shared" ref="AA632" si="1876">AA631</f>
        <v>0</v>
      </c>
      <c r="AB632" s="431">
        <f t="shared" ref="AB632" si="1877">AB631</f>
        <v>0</v>
      </c>
      <c r="AC632" s="431">
        <f t="shared" ref="AC632" si="1878">AC631</f>
        <v>0</v>
      </c>
      <c r="AD632" s="431">
        <f t="shared" ref="AD632" si="1879">AD631</f>
        <v>0</v>
      </c>
      <c r="AE632" s="431">
        <f t="shared" ref="AE632" si="1880">AE631</f>
        <v>0</v>
      </c>
      <c r="AF632" s="431">
        <f t="shared" ref="AF632" si="1881">AF631</f>
        <v>0</v>
      </c>
      <c r="AG632" s="431">
        <f t="shared" ref="AG632" si="1882">AG631</f>
        <v>0</v>
      </c>
      <c r="AH632" s="431">
        <f t="shared" ref="AH632" si="1883">AH631</f>
        <v>0</v>
      </c>
      <c r="AI632" s="431">
        <f t="shared" ref="AI632" si="1884">AI631</f>
        <v>0</v>
      </c>
      <c r="AJ632" s="431">
        <f t="shared" ref="AJ632" si="1885">AJ631</f>
        <v>0</v>
      </c>
      <c r="AK632" s="431">
        <f t="shared" ref="AK632" si="1886">AK631</f>
        <v>0</v>
      </c>
      <c r="AL632" s="431">
        <f t="shared" ref="AL632" si="1887">AL631</f>
        <v>0</v>
      </c>
      <c r="AM632" s="322"/>
    </row>
    <row r="633" spans="1:39" ht="15" hidden="1" outlineLevel="1">
      <c r="A633" s="560"/>
      <c r="B633" s="340"/>
      <c r="C633" s="330"/>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442"/>
      <c r="Z633" s="442"/>
      <c r="AA633" s="432"/>
      <c r="AB633" s="432"/>
      <c r="AC633" s="432"/>
      <c r="AD633" s="432"/>
      <c r="AE633" s="432"/>
      <c r="AF633" s="432"/>
      <c r="AG633" s="432"/>
      <c r="AH633" s="432"/>
      <c r="AI633" s="432"/>
      <c r="AJ633" s="432"/>
      <c r="AK633" s="432"/>
      <c r="AL633" s="432"/>
      <c r="AM633" s="331"/>
    </row>
    <row r="634" spans="1:39" ht="30" hidden="1" outlineLevel="1">
      <c r="A634" s="560">
        <v>13</v>
      </c>
      <c r="B634" s="448" t="s">
        <v>107</v>
      </c>
      <c r="C634" s="316" t="s">
        <v>25</v>
      </c>
      <c r="D634" s="320"/>
      <c r="E634" s="320"/>
      <c r="F634" s="320"/>
      <c r="G634" s="320"/>
      <c r="H634" s="320"/>
      <c r="I634" s="320"/>
      <c r="J634" s="320"/>
      <c r="K634" s="320"/>
      <c r="L634" s="320"/>
      <c r="M634" s="320"/>
      <c r="N634" s="320">
        <v>12</v>
      </c>
      <c r="O634" s="320"/>
      <c r="P634" s="320"/>
      <c r="Q634" s="320"/>
      <c r="R634" s="320"/>
      <c r="S634" s="320"/>
      <c r="T634" s="320"/>
      <c r="U634" s="320"/>
      <c r="V634" s="320"/>
      <c r="W634" s="320"/>
      <c r="X634" s="320"/>
      <c r="Y634" s="430"/>
      <c r="Z634" s="430"/>
      <c r="AA634" s="430"/>
      <c r="AB634" s="430"/>
      <c r="AC634" s="430"/>
      <c r="AD634" s="430"/>
      <c r="AE634" s="430"/>
      <c r="AF634" s="435"/>
      <c r="AG634" s="435"/>
      <c r="AH634" s="435"/>
      <c r="AI634" s="435"/>
      <c r="AJ634" s="435"/>
      <c r="AK634" s="435"/>
      <c r="AL634" s="435"/>
      <c r="AM634" s="321">
        <f>SUM(Y634:AL634)</f>
        <v>0</v>
      </c>
    </row>
    <row r="635" spans="1:39" ht="15" hidden="1" outlineLevel="1">
      <c r="A635" s="560"/>
      <c r="B635" s="319" t="s">
        <v>313</v>
      </c>
      <c r="C635" s="316" t="s">
        <v>164</v>
      </c>
      <c r="D635" s="320"/>
      <c r="E635" s="320"/>
      <c r="F635" s="320"/>
      <c r="G635" s="320"/>
      <c r="H635" s="320"/>
      <c r="I635" s="320"/>
      <c r="J635" s="320"/>
      <c r="K635" s="320"/>
      <c r="L635" s="320"/>
      <c r="M635" s="320"/>
      <c r="N635" s="320">
        <f>N634</f>
        <v>12</v>
      </c>
      <c r="O635" s="320"/>
      <c r="P635" s="320"/>
      <c r="Q635" s="320"/>
      <c r="R635" s="320"/>
      <c r="S635" s="320"/>
      <c r="T635" s="320"/>
      <c r="U635" s="320"/>
      <c r="V635" s="320"/>
      <c r="W635" s="320"/>
      <c r="X635" s="320"/>
      <c r="Y635" s="431">
        <f>Y634</f>
        <v>0</v>
      </c>
      <c r="Z635" s="431">
        <f t="shared" ref="Z635" si="1888">Z634</f>
        <v>0</v>
      </c>
      <c r="AA635" s="431">
        <f t="shared" ref="AA635" si="1889">AA634</f>
        <v>0</v>
      </c>
      <c r="AB635" s="431">
        <f t="shared" ref="AB635" si="1890">AB634</f>
        <v>0</v>
      </c>
      <c r="AC635" s="431">
        <f t="shared" ref="AC635" si="1891">AC634</f>
        <v>0</v>
      </c>
      <c r="AD635" s="431">
        <f t="shared" ref="AD635" si="1892">AD634</f>
        <v>0</v>
      </c>
      <c r="AE635" s="431">
        <f t="shared" ref="AE635" si="1893">AE634</f>
        <v>0</v>
      </c>
      <c r="AF635" s="431">
        <f t="shared" ref="AF635" si="1894">AF634</f>
        <v>0</v>
      </c>
      <c r="AG635" s="431">
        <f t="shared" ref="AG635" si="1895">AG634</f>
        <v>0</v>
      </c>
      <c r="AH635" s="431">
        <f t="shared" ref="AH635" si="1896">AH634</f>
        <v>0</v>
      </c>
      <c r="AI635" s="431">
        <f t="shared" ref="AI635" si="1897">AI634</f>
        <v>0</v>
      </c>
      <c r="AJ635" s="431">
        <f t="shared" ref="AJ635" si="1898">AJ634</f>
        <v>0</v>
      </c>
      <c r="AK635" s="431">
        <f t="shared" ref="AK635" si="1899">AK634</f>
        <v>0</v>
      </c>
      <c r="AL635" s="431">
        <f t="shared" ref="AL635" si="1900">AL634</f>
        <v>0</v>
      </c>
      <c r="AM635" s="331"/>
    </row>
    <row r="636" spans="1:39" ht="15" hidden="1" outlineLevel="1">
      <c r="A636" s="560"/>
      <c r="B636" s="340"/>
      <c r="C636" s="330"/>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432"/>
      <c r="Z636" s="432"/>
      <c r="AA636" s="432"/>
      <c r="AB636" s="432"/>
      <c r="AC636" s="432"/>
      <c r="AD636" s="432"/>
      <c r="AE636" s="432"/>
      <c r="AF636" s="432"/>
      <c r="AG636" s="432"/>
      <c r="AH636" s="432"/>
      <c r="AI636" s="432"/>
      <c r="AJ636" s="432"/>
      <c r="AK636" s="432"/>
      <c r="AL636" s="432"/>
      <c r="AM636" s="331"/>
    </row>
    <row r="637" spans="1:39" ht="15.6" hidden="1" outlineLevel="1">
      <c r="A637" s="560"/>
      <c r="B637" s="313" t="s">
        <v>108</v>
      </c>
      <c r="C637" s="314"/>
      <c r="D637" s="315"/>
      <c r="E637" s="315"/>
      <c r="F637" s="315"/>
      <c r="G637" s="315"/>
      <c r="H637" s="315"/>
      <c r="I637" s="315"/>
      <c r="J637" s="315"/>
      <c r="K637" s="315"/>
      <c r="L637" s="315"/>
      <c r="M637" s="315"/>
      <c r="N637" s="315"/>
      <c r="O637" s="315"/>
      <c r="P637" s="314"/>
      <c r="Q637" s="314"/>
      <c r="R637" s="314"/>
      <c r="S637" s="314"/>
      <c r="T637" s="314"/>
      <c r="U637" s="314"/>
      <c r="V637" s="314"/>
      <c r="W637" s="314"/>
      <c r="X637" s="314"/>
      <c r="Y637" s="434"/>
      <c r="Z637" s="434"/>
      <c r="AA637" s="434"/>
      <c r="AB637" s="434"/>
      <c r="AC637" s="434"/>
      <c r="AD637" s="434"/>
      <c r="AE637" s="434"/>
      <c r="AF637" s="434"/>
      <c r="AG637" s="434"/>
      <c r="AH637" s="434"/>
      <c r="AI637" s="434"/>
      <c r="AJ637" s="434"/>
      <c r="AK637" s="434"/>
      <c r="AL637" s="434"/>
      <c r="AM637" s="317"/>
    </row>
    <row r="638" spans="1:39" ht="15" hidden="1" outlineLevel="1">
      <c r="A638" s="560">
        <v>14</v>
      </c>
      <c r="B638" s="340" t="s">
        <v>109</v>
      </c>
      <c r="C638" s="316" t="s">
        <v>25</v>
      </c>
      <c r="D638" s="320"/>
      <c r="E638" s="320"/>
      <c r="F638" s="320"/>
      <c r="G638" s="320"/>
      <c r="H638" s="320"/>
      <c r="I638" s="320"/>
      <c r="J638" s="320"/>
      <c r="K638" s="320"/>
      <c r="L638" s="320"/>
      <c r="M638" s="320"/>
      <c r="N638" s="320">
        <v>12</v>
      </c>
      <c r="O638" s="320"/>
      <c r="P638" s="320"/>
      <c r="Q638" s="320"/>
      <c r="R638" s="320"/>
      <c r="S638" s="320"/>
      <c r="T638" s="320"/>
      <c r="U638" s="320"/>
      <c r="V638" s="320"/>
      <c r="W638" s="320"/>
      <c r="X638" s="320"/>
      <c r="Y638" s="430"/>
      <c r="Z638" s="430"/>
      <c r="AA638" s="430"/>
      <c r="AB638" s="430"/>
      <c r="AC638" s="430"/>
      <c r="AD638" s="430"/>
      <c r="AE638" s="430"/>
      <c r="AF638" s="430"/>
      <c r="AG638" s="430"/>
      <c r="AH638" s="430"/>
      <c r="AI638" s="430"/>
      <c r="AJ638" s="430"/>
      <c r="AK638" s="430"/>
      <c r="AL638" s="430"/>
      <c r="AM638" s="321">
        <f>SUM(Y638:AL638)</f>
        <v>0</v>
      </c>
    </row>
    <row r="639" spans="1:39" ht="15" hidden="1" outlineLevel="1">
      <c r="A639" s="560"/>
      <c r="B639" s="319" t="s">
        <v>313</v>
      </c>
      <c r="C639" s="316" t="s">
        <v>164</v>
      </c>
      <c r="D639" s="320"/>
      <c r="E639" s="320"/>
      <c r="F639" s="320"/>
      <c r="G639" s="320"/>
      <c r="H639" s="320"/>
      <c r="I639" s="320"/>
      <c r="J639" s="320"/>
      <c r="K639" s="320"/>
      <c r="L639" s="320"/>
      <c r="M639" s="320"/>
      <c r="N639" s="320">
        <f>N638</f>
        <v>12</v>
      </c>
      <c r="O639" s="320"/>
      <c r="P639" s="320"/>
      <c r="Q639" s="320"/>
      <c r="R639" s="320"/>
      <c r="S639" s="320"/>
      <c r="T639" s="320"/>
      <c r="U639" s="320"/>
      <c r="V639" s="320"/>
      <c r="W639" s="320"/>
      <c r="X639" s="320"/>
      <c r="Y639" s="431">
        <f>Y638</f>
        <v>0</v>
      </c>
      <c r="Z639" s="431">
        <f t="shared" ref="Z639" si="1901">Z638</f>
        <v>0</v>
      </c>
      <c r="AA639" s="431">
        <f t="shared" ref="AA639" si="1902">AA638</f>
        <v>0</v>
      </c>
      <c r="AB639" s="431">
        <f t="shared" ref="AB639" si="1903">AB638</f>
        <v>0</v>
      </c>
      <c r="AC639" s="431">
        <f t="shared" ref="AC639" si="1904">AC638</f>
        <v>0</v>
      </c>
      <c r="AD639" s="431">
        <f t="shared" ref="AD639" si="1905">AD638</f>
        <v>0</v>
      </c>
      <c r="AE639" s="431">
        <f t="shared" ref="AE639" si="1906">AE638</f>
        <v>0</v>
      </c>
      <c r="AF639" s="431">
        <f t="shared" ref="AF639" si="1907">AF638</f>
        <v>0</v>
      </c>
      <c r="AG639" s="431">
        <f t="shared" ref="AG639" si="1908">AG638</f>
        <v>0</v>
      </c>
      <c r="AH639" s="431">
        <f t="shared" ref="AH639" si="1909">AH638</f>
        <v>0</v>
      </c>
      <c r="AI639" s="431">
        <f t="shared" ref="AI639" si="1910">AI638</f>
        <v>0</v>
      </c>
      <c r="AJ639" s="431">
        <f t="shared" ref="AJ639" si="1911">AJ638</f>
        <v>0</v>
      </c>
      <c r="AK639" s="431">
        <f t="shared" ref="AK639" si="1912">AK638</f>
        <v>0</v>
      </c>
      <c r="AL639" s="431">
        <f t="shared" ref="AL639" si="1913">AL638</f>
        <v>0</v>
      </c>
      <c r="AM639" s="322"/>
    </row>
    <row r="640" spans="1:39" ht="15" hidden="1" outlineLevel="1">
      <c r="A640" s="560"/>
      <c r="B640" s="340"/>
      <c r="C640" s="330"/>
      <c r="D640" s="316"/>
      <c r="E640" s="316"/>
      <c r="F640" s="316"/>
      <c r="G640" s="316"/>
      <c r="H640" s="316"/>
      <c r="I640" s="316"/>
      <c r="J640" s="316"/>
      <c r="K640" s="316"/>
      <c r="L640" s="316"/>
      <c r="M640" s="316"/>
      <c r="N640" s="488"/>
      <c r="O640" s="316"/>
      <c r="P640" s="316"/>
      <c r="Q640" s="316"/>
      <c r="R640" s="316"/>
      <c r="S640" s="316"/>
      <c r="T640" s="316"/>
      <c r="U640" s="316"/>
      <c r="V640" s="316"/>
      <c r="W640" s="316"/>
      <c r="X640" s="316"/>
      <c r="Y640" s="432"/>
      <c r="Z640" s="432"/>
      <c r="AA640" s="432"/>
      <c r="AB640" s="432"/>
      <c r="AC640" s="432"/>
      <c r="AD640" s="432"/>
      <c r="AE640" s="432"/>
      <c r="AF640" s="432"/>
      <c r="AG640" s="432"/>
      <c r="AH640" s="432"/>
      <c r="AI640" s="432"/>
      <c r="AJ640" s="432"/>
      <c r="AK640" s="432"/>
      <c r="AL640" s="432"/>
      <c r="AM640" s="331"/>
    </row>
    <row r="641" spans="1:39" s="334" customFormat="1" ht="15.6" hidden="1" outlineLevel="1">
      <c r="A641" s="560"/>
      <c r="B641" s="313" t="s">
        <v>504</v>
      </c>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432"/>
      <c r="Z641" s="432"/>
      <c r="AA641" s="432"/>
      <c r="AB641" s="432"/>
      <c r="AC641" s="432"/>
      <c r="AD641" s="432"/>
      <c r="AE641" s="436"/>
      <c r="AF641" s="436"/>
      <c r="AG641" s="436"/>
      <c r="AH641" s="436"/>
      <c r="AI641" s="436"/>
      <c r="AJ641" s="436"/>
      <c r="AK641" s="436"/>
      <c r="AL641" s="436"/>
      <c r="AM641" s="546"/>
    </row>
    <row r="642" spans="1:39" ht="15" hidden="1" outlineLevel="1">
      <c r="A642" s="560">
        <v>15</v>
      </c>
      <c r="B642" s="319" t="s">
        <v>509</v>
      </c>
      <c r="C642" s="316" t="s">
        <v>25</v>
      </c>
      <c r="D642" s="320"/>
      <c r="E642" s="320"/>
      <c r="F642" s="320"/>
      <c r="G642" s="320"/>
      <c r="H642" s="320"/>
      <c r="I642" s="320"/>
      <c r="J642" s="320"/>
      <c r="K642" s="320"/>
      <c r="L642" s="320"/>
      <c r="M642" s="320"/>
      <c r="N642" s="320">
        <v>0</v>
      </c>
      <c r="O642" s="320"/>
      <c r="P642" s="320"/>
      <c r="Q642" s="320"/>
      <c r="R642" s="320"/>
      <c r="S642" s="320"/>
      <c r="T642" s="320"/>
      <c r="U642" s="320"/>
      <c r="V642" s="320"/>
      <c r="W642" s="320"/>
      <c r="X642" s="320"/>
      <c r="Y642" s="430"/>
      <c r="Z642" s="430"/>
      <c r="AA642" s="430"/>
      <c r="AB642" s="430"/>
      <c r="AC642" s="430"/>
      <c r="AD642" s="430"/>
      <c r="AE642" s="430"/>
      <c r="AF642" s="430"/>
      <c r="AG642" s="430"/>
      <c r="AH642" s="430"/>
      <c r="AI642" s="430"/>
      <c r="AJ642" s="430"/>
      <c r="AK642" s="430"/>
      <c r="AL642" s="430"/>
      <c r="AM642" s="321">
        <f>SUM(Y642:AL642)</f>
        <v>0</v>
      </c>
    </row>
    <row r="643" spans="1:39" ht="15" hidden="1" outlineLevel="1">
      <c r="A643" s="560"/>
      <c r="B643" s="319" t="s">
        <v>313</v>
      </c>
      <c r="C643" s="316" t="s">
        <v>164</v>
      </c>
      <c r="D643" s="320"/>
      <c r="E643" s="320"/>
      <c r="F643" s="320"/>
      <c r="G643" s="320"/>
      <c r="H643" s="320"/>
      <c r="I643" s="320"/>
      <c r="J643" s="320"/>
      <c r="K643" s="320"/>
      <c r="L643" s="320"/>
      <c r="M643" s="320"/>
      <c r="N643" s="320">
        <f>N642</f>
        <v>0</v>
      </c>
      <c r="O643" s="320"/>
      <c r="P643" s="320"/>
      <c r="Q643" s="320"/>
      <c r="R643" s="320"/>
      <c r="S643" s="320"/>
      <c r="T643" s="320"/>
      <c r="U643" s="320"/>
      <c r="V643" s="320"/>
      <c r="W643" s="320"/>
      <c r="X643" s="320"/>
      <c r="Y643" s="431">
        <f>Y642</f>
        <v>0</v>
      </c>
      <c r="Z643" s="431">
        <f t="shared" ref="Z643:AL643" si="1914">Z642</f>
        <v>0</v>
      </c>
      <c r="AA643" s="431">
        <f t="shared" si="1914"/>
        <v>0</v>
      </c>
      <c r="AB643" s="431">
        <f t="shared" si="1914"/>
        <v>0</v>
      </c>
      <c r="AC643" s="431">
        <f t="shared" si="1914"/>
        <v>0</v>
      </c>
      <c r="AD643" s="431">
        <f t="shared" si="1914"/>
        <v>0</v>
      </c>
      <c r="AE643" s="431">
        <f t="shared" si="1914"/>
        <v>0</v>
      </c>
      <c r="AF643" s="431">
        <f t="shared" si="1914"/>
        <v>0</v>
      </c>
      <c r="AG643" s="431">
        <f t="shared" si="1914"/>
        <v>0</v>
      </c>
      <c r="AH643" s="431">
        <f t="shared" si="1914"/>
        <v>0</v>
      </c>
      <c r="AI643" s="431">
        <f t="shared" si="1914"/>
        <v>0</v>
      </c>
      <c r="AJ643" s="431">
        <f t="shared" si="1914"/>
        <v>0</v>
      </c>
      <c r="AK643" s="431">
        <f t="shared" si="1914"/>
        <v>0</v>
      </c>
      <c r="AL643" s="431">
        <f t="shared" si="1914"/>
        <v>0</v>
      </c>
      <c r="AM643" s="322"/>
    </row>
    <row r="644" spans="1:39" ht="15" hidden="1" outlineLevel="1">
      <c r="A644" s="560"/>
      <c r="B644" s="340"/>
      <c r="C644" s="330"/>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432"/>
      <c r="Z644" s="432"/>
      <c r="AA644" s="432"/>
      <c r="AB644" s="432"/>
      <c r="AC644" s="432"/>
      <c r="AD644" s="432"/>
      <c r="AE644" s="432"/>
      <c r="AF644" s="432"/>
      <c r="AG644" s="432"/>
      <c r="AH644" s="432"/>
      <c r="AI644" s="432"/>
      <c r="AJ644" s="432"/>
      <c r="AK644" s="432"/>
      <c r="AL644" s="432"/>
      <c r="AM644" s="331"/>
    </row>
    <row r="645" spans="1:39" s="308" customFormat="1" ht="15" hidden="1" outlineLevel="1">
      <c r="A645" s="560">
        <v>16</v>
      </c>
      <c r="B645" s="349" t="s">
        <v>505</v>
      </c>
      <c r="C645" s="316" t="s">
        <v>25</v>
      </c>
      <c r="D645" s="320"/>
      <c r="E645" s="320"/>
      <c r="F645" s="320"/>
      <c r="G645" s="320"/>
      <c r="H645" s="320"/>
      <c r="I645" s="320"/>
      <c r="J645" s="320"/>
      <c r="K645" s="320"/>
      <c r="L645" s="320"/>
      <c r="M645" s="320"/>
      <c r="N645" s="320">
        <v>0</v>
      </c>
      <c r="O645" s="320"/>
      <c r="P645" s="320"/>
      <c r="Q645" s="320"/>
      <c r="R645" s="320"/>
      <c r="S645" s="320"/>
      <c r="T645" s="320"/>
      <c r="U645" s="320"/>
      <c r="V645" s="320"/>
      <c r="W645" s="320"/>
      <c r="X645" s="320"/>
      <c r="Y645" s="430"/>
      <c r="Z645" s="430"/>
      <c r="AA645" s="430"/>
      <c r="AB645" s="430"/>
      <c r="AC645" s="430"/>
      <c r="AD645" s="430"/>
      <c r="AE645" s="430"/>
      <c r="AF645" s="430"/>
      <c r="AG645" s="430"/>
      <c r="AH645" s="430"/>
      <c r="AI645" s="430"/>
      <c r="AJ645" s="430"/>
      <c r="AK645" s="430"/>
      <c r="AL645" s="430"/>
      <c r="AM645" s="321">
        <f>SUM(Y645:AL645)</f>
        <v>0</v>
      </c>
    </row>
    <row r="646" spans="1:39" s="308" customFormat="1" ht="15" hidden="1" outlineLevel="1">
      <c r="A646" s="560"/>
      <c r="B646" s="319" t="s">
        <v>313</v>
      </c>
      <c r="C646" s="316" t="s">
        <v>164</v>
      </c>
      <c r="D646" s="320"/>
      <c r="E646" s="320"/>
      <c r="F646" s="320"/>
      <c r="G646" s="320"/>
      <c r="H646" s="320"/>
      <c r="I646" s="320"/>
      <c r="J646" s="320"/>
      <c r="K646" s="320"/>
      <c r="L646" s="320"/>
      <c r="M646" s="320"/>
      <c r="N646" s="320">
        <f>N645</f>
        <v>0</v>
      </c>
      <c r="O646" s="320"/>
      <c r="P646" s="320"/>
      <c r="Q646" s="320"/>
      <c r="R646" s="320"/>
      <c r="S646" s="320"/>
      <c r="T646" s="320"/>
      <c r="U646" s="320"/>
      <c r="V646" s="320"/>
      <c r="W646" s="320"/>
      <c r="X646" s="320"/>
      <c r="Y646" s="431">
        <f>Y645</f>
        <v>0</v>
      </c>
      <c r="Z646" s="431">
        <f t="shared" ref="Z646:AL646" si="1915">Z645</f>
        <v>0</v>
      </c>
      <c r="AA646" s="431">
        <f t="shared" si="1915"/>
        <v>0</v>
      </c>
      <c r="AB646" s="431">
        <f t="shared" si="1915"/>
        <v>0</v>
      </c>
      <c r="AC646" s="431">
        <f t="shared" si="1915"/>
        <v>0</v>
      </c>
      <c r="AD646" s="431">
        <f t="shared" si="1915"/>
        <v>0</v>
      </c>
      <c r="AE646" s="431">
        <f t="shared" si="1915"/>
        <v>0</v>
      </c>
      <c r="AF646" s="431">
        <f t="shared" si="1915"/>
        <v>0</v>
      </c>
      <c r="AG646" s="431">
        <f t="shared" si="1915"/>
        <v>0</v>
      </c>
      <c r="AH646" s="431">
        <f t="shared" si="1915"/>
        <v>0</v>
      </c>
      <c r="AI646" s="431">
        <f t="shared" si="1915"/>
        <v>0</v>
      </c>
      <c r="AJ646" s="431">
        <f t="shared" si="1915"/>
        <v>0</v>
      </c>
      <c r="AK646" s="431">
        <f t="shared" si="1915"/>
        <v>0</v>
      </c>
      <c r="AL646" s="431">
        <f t="shared" si="1915"/>
        <v>0</v>
      </c>
      <c r="AM646" s="322"/>
    </row>
    <row r="647" spans="1:39" s="308" customFormat="1" ht="15" hidden="1" outlineLevel="1">
      <c r="A647" s="560"/>
      <c r="B647" s="349"/>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432"/>
      <c r="Z647" s="432"/>
      <c r="AA647" s="432"/>
      <c r="AB647" s="432"/>
      <c r="AC647" s="432"/>
      <c r="AD647" s="432"/>
      <c r="AE647" s="436"/>
      <c r="AF647" s="436"/>
      <c r="AG647" s="436"/>
      <c r="AH647" s="436"/>
      <c r="AI647" s="436"/>
      <c r="AJ647" s="436"/>
      <c r="AK647" s="436"/>
      <c r="AL647" s="436"/>
      <c r="AM647" s="338"/>
    </row>
    <row r="648" spans="1:39" ht="15.6" hidden="1" outlineLevel="1">
      <c r="A648" s="560"/>
      <c r="B648" s="548" t="s">
        <v>510</v>
      </c>
      <c r="C648" s="345"/>
      <c r="D648" s="315"/>
      <c r="E648" s="314"/>
      <c r="F648" s="314"/>
      <c r="G648" s="314"/>
      <c r="H648" s="314"/>
      <c r="I648" s="314"/>
      <c r="J648" s="314"/>
      <c r="K648" s="314"/>
      <c r="L648" s="314"/>
      <c r="M648" s="314"/>
      <c r="N648" s="315"/>
      <c r="O648" s="314"/>
      <c r="P648" s="314"/>
      <c r="Q648" s="314"/>
      <c r="R648" s="314"/>
      <c r="S648" s="314"/>
      <c r="T648" s="314"/>
      <c r="U648" s="314"/>
      <c r="V648" s="314"/>
      <c r="W648" s="314"/>
      <c r="X648" s="314"/>
      <c r="Y648" s="434"/>
      <c r="Z648" s="434"/>
      <c r="AA648" s="434"/>
      <c r="AB648" s="434"/>
      <c r="AC648" s="434"/>
      <c r="AD648" s="434"/>
      <c r="AE648" s="434"/>
      <c r="AF648" s="434"/>
      <c r="AG648" s="434"/>
      <c r="AH648" s="434"/>
      <c r="AI648" s="434"/>
      <c r="AJ648" s="434"/>
      <c r="AK648" s="434"/>
      <c r="AL648" s="434"/>
      <c r="AM648" s="317"/>
    </row>
    <row r="649" spans="1:39" ht="15" hidden="1" outlineLevel="1">
      <c r="A649" s="560">
        <v>17</v>
      </c>
      <c r="B649" s="448" t="s">
        <v>113</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t="15"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6">Z649</f>
        <v>0</v>
      </c>
      <c r="AA650" s="431">
        <f t="shared" si="1916"/>
        <v>0</v>
      </c>
      <c r="AB650" s="431">
        <f t="shared" si="1916"/>
        <v>0</v>
      </c>
      <c r="AC650" s="431">
        <f t="shared" si="1916"/>
        <v>0</v>
      </c>
      <c r="AD650" s="431">
        <f t="shared" si="1916"/>
        <v>0</v>
      </c>
      <c r="AE650" s="431">
        <f t="shared" si="1916"/>
        <v>0</v>
      </c>
      <c r="AF650" s="431">
        <f t="shared" si="1916"/>
        <v>0</v>
      </c>
      <c r="AG650" s="431">
        <f t="shared" si="1916"/>
        <v>0</v>
      </c>
      <c r="AH650" s="431">
        <f t="shared" si="1916"/>
        <v>0</v>
      </c>
      <c r="AI650" s="431">
        <f t="shared" si="1916"/>
        <v>0</v>
      </c>
      <c r="AJ650" s="431">
        <f t="shared" si="1916"/>
        <v>0</v>
      </c>
      <c r="AK650" s="431">
        <f t="shared" si="1916"/>
        <v>0</v>
      </c>
      <c r="AL650" s="431">
        <f t="shared" si="1916"/>
        <v>0</v>
      </c>
      <c r="AM650" s="331"/>
    </row>
    <row r="651" spans="1:39" ht="15" hidden="1" outlineLevel="1">
      <c r="A651" s="560"/>
      <c r="B651" s="319"/>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442"/>
      <c r="Z651" s="445"/>
      <c r="AA651" s="445"/>
      <c r="AB651" s="445"/>
      <c r="AC651" s="445"/>
      <c r="AD651" s="445"/>
      <c r="AE651" s="445"/>
      <c r="AF651" s="445"/>
      <c r="AG651" s="445"/>
      <c r="AH651" s="445"/>
      <c r="AI651" s="445"/>
      <c r="AJ651" s="445"/>
      <c r="AK651" s="445"/>
      <c r="AL651" s="445"/>
      <c r="AM651" s="331"/>
    </row>
    <row r="652" spans="1:39" ht="15" hidden="1" outlineLevel="1">
      <c r="A652" s="560">
        <v>18</v>
      </c>
      <c r="B652" s="448" t="s">
        <v>110</v>
      </c>
      <c r="C652" s="316" t="s">
        <v>25</v>
      </c>
      <c r="D652" s="320"/>
      <c r="E652" s="320"/>
      <c r="F652" s="320"/>
      <c r="G652" s="320"/>
      <c r="H652" s="320"/>
      <c r="I652" s="320"/>
      <c r="J652" s="320"/>
      <c r="K652" s="320"/>
      <c r="L652" s="320"/>
      <c r="M652" s="320"/>
      <c r="N652" s="320">
        <v>0</v>
      </c>
      <c r="O652" s="320"/>
      <c r="P652" s="320"/>
      <c r="Q652" s="320"/>
      <c r="R652" s="320"/>
      <c r="S652" s="320"/>
      <c r="T652" s="320"/>
      <c r="U652" s="320"/>
      <c r="V652" s="320"/>
      <c r="W652" s="320"/>
      <c r="X652" s="320"/>
      <c r="Y652" s="446"/>
      <c r="Z652" s="430"/>
      <c r="AA652" s="430"/>
      <c r="AB652" s="430"/>
      <c r="AC652" s="430"/>
      <c r="AD652" s="430"/>
      <c r="AE652" s="430"/>
      <c r="AF652" s="435"/>
      <c r="AG652" s="435"/>
      <c r="AH652" s="435"/>
      <c r="AI652" s="435"/>
      <c r="AJ652" s="435"/>
      <c r="AK652" s="435"/>
      <c r="AL652" s="435"/>
      <c r="AM652" s="321">
        <f>SUM(Y652:AL652)</f>
        <v>0</v>
      </c>
    </row>
    <row r="653" spans="1:39" ht="15" hidden="1" outlineLevel="1">
      <c r="A653" s="560"/>
      <c r="B653" s="319" t="s">
        <v>313</v>
      </c>
      <c r="C653" s="316" t="s">
        <v>164</v>
      </c>
      <c r="D653" s="320"/>
      <c r="E653" s="320"/>
      <c r="F653" s="320"/>
      <c r="G653" s="320"/>
      <c r="H653" s="320"/>
      <c r="I653" s="320"/>
      <c r="J653" s="320"/>
      <c r="K653" s="320"/>
      <c r="L653" s="320"/>
      <c r="M653" s="320"/>
      <c r="N653" s="320">
        <f>N652</f>
        <v>0</v>
      </c>
      <c r="O653" s="320"/>
      <c r="P653" s="320"/>
      <c r="Q653" s="320"/>
      <c r="R653" s="320"/>
      <c r="S653" s="320"/>
      <c r="T653" s="320"/>
      <c r="U653" s="320"/>
      <c r="V653" s="320"/>
      <c r="W653" s="320"/>
      <c r="X653" s="320"/>
      <c r="Y653" s="431">
        <f>Y652</f>
        <v>0</v>
      </c>
      <c r="Z653" s="431">
        <f t="shared" ref="Z653:AL653" si="1917">Z652</f>
        <v>0</v>
      </c>
      <c r="AA653" s="431">
        <f t="shared" si="1917"/>
        <v>0</v>
      </c>
      <c r="AB653" s="431">
        <f t="shared" si="1917"/>
        <v>0</v>
      </c>
      <c r="AC653" s="431">
        <f t="shared" si="1917"/>
        <v>0</v>
      </c>
      <c r="AD653" s="431">
        <f t="shared" si="1917"/>
        <v>0</v>
      </c>
      <c r="AE653" s="431">
        <f t="shared" si="1917"/>
        <v>0</v>
      </c>
      <c r="AF653" s="431">
        <f t="shared" si="1917"/>
        <v>0</v>
      </c>
      <c r="AG653" s="431">
        <f t="shared" si="1917"/>
        <v>0</v>
      </c>
      <c r="AH653" s="431">
        <f t="shared" si="1917"/>
        <v>0</v>
      </c>
      <c r="AI653" s="431">
        <f t="shared" si="1917"/>
        <v>0</v>
      </c>
      <c r="AJ653" s="431">
        <f t="shared" si="1917"/>
        <v>0</v>
      </c>
      <c r="AK653" s="431">
        <f t="shared" si="1917"/>
        <v>0</v>
      </c>
      <c r="AL653" s="431">
        <f t="shared" si="1917"/>
        <v>0</v>
      </c>
      <c r="AM653" s="331"/>
    </row>
    <row r="654" spans="1:39" ht="15" hidden="1" outlineLevel="1">
      <c r="A654" s="560"/>
      <c r="B654" s="347"/>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443"/>
      <c r="Z654" s="444"/>
      <c r="AA654" s="444"/>
      <c r="AB654" s="444"/>
      <c r="AC654" s="444"/>
      <c r="AD654" s="444"/>
      <c r="AE654" s="444"/>
      <c r="AF654" s="444"/>
      <c r="AG654" s="444"/>
      <c r="AH654" s="444"/>
      <c r="AI654" s="444"/>
      <c r="AJ654" s="444"/>
      <c r="AK654" s="444"/>
      <c r="AL654" s="444"/>
      <c r="AM654" s="322"/>
    </row>
    <row r="655" spans="1:39" ht="15" hidden="1" outlineLevel="1">
      <c r="A655" s="560">
        <v>19</v>
      </c>
      <c r="B655" s="448" t="s">
        <v>112</v>
      </c>
      <c r="C655" s="316" t="s">
        <v>25</v>
      </c>
      <c r="D655" s="320"/>
      <c r="E655" s="320"/>
      <c r="F655" s="320"/>
      <c r="G655" s="320"/>
      <c r="H655" s="320"/>
      <c r="I655" s="320"/>
      <c r="J655" s="320"/>
      <c r="K655" s="320"/>
      <c r="L655" s="320"/>
      <c r="M655" s="320"/>
      <c r="N655" s="320">
        <v>0</v>
      </c>
      <c r="O655" s="320"/>
      <c r="P655" s="320"/>
      <c r="Q655" s="320"/>
      <c r="R655" s="320"/>
      <c r="S655" s="320"/>
      <c r="T655" s="320"/>
      <c r="U655" s="320"/>
      <c r="V655" s="320"/>
      <c r="W655" s="320"/>
      <c r="X655" s="320"/>
      <c r="Y655" s="446"/>
      <c r="Z655" s="430"/>
      <c r="AA655" s="430"/>
      <c r="AB655" s="430"/>
      <c r="AC655" s="430"/>
      <c r="AD655" s="430"/>
      <c r="AE655" s="430"/>
      <c r="AF655" s="435"/>
      <c r="AG655" s="435"/>
      <c r="AH655" s="435"/>
      <c r="AI655" s="435"/>
      <c r="AJ655" s="435"/>
      <c r="AK655" s="435"/>
      <c r="AL655" s="435"/>
      <c r="AM655" s="321">
        <f>SUM(Y655:AL655)</f>
        <v>0</v>
      </c>
    </row>
    <row r="656" spans="1:39" ht="15" hidden="1" outlineLevel="1">
      <c r="A656" s="560"/>
      <c r="B656" s="319" t="s">
        <v>313</v>
      </c>
      <c r="C656" s="316" t="s">
        <v>164</v>
      </c>
      <c r="D656" s="320"/>
      <c r="E656" s="320"/>
      <c r="F656" s="320"/>
      <c r="G656" s="320"/>
      <c r="H656" s="320"/>
      <c r="I656" s="320"/>
      <c r="J656" s="320"/>
      <c r="K656" s="320"/>
      <c r="L656" s="320"/>
      <c r="M656" s="320"/>
      <c r="N656" s="320">
        <f>N655</f>
        <v>0</v>
      </c>
      <c r="O656" s="320"/>
      <c r="P656" s="320"/>
      <c r="Q656" s="320"/>
      <c r="R656" s="320"/>
      <c r="S656" s="320"/>
      <c r="T656" s="320"/>
      <c r="U656" s="320"/>
      <c r="V656" s="320"/>
      <c r="W656" s="320"/>
      <c r="X656" s="320"/>
      <c r="Y656" s="431">
        <f>Y655</f>
        <v>0</v>
      </c>
      <c r="Z656" s="431">
        <f t="shared" ref="Z656:AL656" si="1918">Z655</f>
        <v>0</v>
      </c>
      <c r="AA656" s="431">
        <f t="shared" si="1918"/>
        <v>0</v>
      </c>
      <c r="AB656" s="431">
        <f t="shared" si="1918"/>
        <v>0</v>
      </c>
      <c r="AC656" s="431">
        <f t="shared" si="1918"/>
        <v>0</v>
      </c>
      <c r="AD656" s="431">
        <f t="shared" si="1918"/>
        <v>0</v>
      </c>
      <c r="AE656" s="431">
        <f t="shared" si="1918"/>
        <v>0</v>
      </c>
      <c r="AF656" s="431">
        <f t="shared" si="1918"/>
        <v>0</v>
      </c>
      <c r="AG656" s="431">
        <f t="shared" si="1918"/>
        <v>0</v>
      </c>
      <c r="AH656" s="431">
        <f t="shared" si="1918"/>
        <v>0</v>
      </c>
      <c r="AI656" s="431">
        <f t="shared" si="1918"/>
        <v>0</v>
      </c>
      <c r="AJ656" s="431">
        <f t="shared" si="1918"/>
        <v>0</v>
      </c>
      <c r="AK656" s="431">
        <f t="shared" si="1918"/>
        <v>0</v>
      </c>
      <c r="AL656" s="431">
        <f t="shared" si="1918"/>
        <v>0</v>
      </c>
      <c r="AM656" s="322"/>
    </row>
    <row r="657" spans="1:39" ht="15" hidden="1" outlineLevel="1">
      <c r="A657" s="560"/>
      <c r="B657" s="347"/>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432"/>
      <c r="Z657" s="432"/>
      <c r="AA657" s="432"/>
      <c r="AB657" s="432"/>
      <c r="AC657" s="432"/>
      <c r="AD657" s="432"/>
      <c r="AE657" s="432"/>
      <c r="AF657" s="432"/>
      <c r="AG657" s="432"/>
      <c r="AH657" s="432"/>
      <c r="AI657" s="432"/>
      <c r="AJ657" s="432"/>
      <c r="AK657" s="432"/>
      <c r="AL657" s="432"/>
      <c r="AM657" s="331"/>
    </row>
    <row r="658" spans="1:39" ht="15" hidden="1" outlineLevel="1">
      <c r="A658" s="560">
        <v>20</v>
      </c>
      <c r="B658" s="448" t="s">
        <v>111</v>
      </c>
      <c r="C658" s="316" t="s">
        <v>25</v>
      </c>
      <c r="D658" s="320"/>
      <c r="E658" s="320"/>
      <c r="F658" s="320"/>
      <c r="G658" s="320"/>
      <c r="H658" s="320"/>
      <c r="I658" s="320"/>
      <c r="J658" s="320"/>
      <c r="K658" s="320"/>
      <c r="L658" s="320"/>
      <c r="M658" s="320"/>
      <c r="N658" s="320">
        <v>0</v>
      </c>
      <c r="O658" s="320"/>
      <c r="P658" s="320"/>
      <c r="Q658" s="320"/>
      <c r="R658" s="320"/>
      <c r="S658" s="320"/>
      <c r="T658" s="320"/>
      <c r="U658" s="320"/>
      <c r="V658" s="320"/>
      <c r="W658" s="320"/>
      <c r="X658" s="320"/>
      <c r="Y658" s="446"/>
      <c r="Z658" s="430"/>
      <c r="AA658" s="430"/>
      <c r="AB658" s="430"/>
      <c r="AC658" s="430"/>
      <c r="AD658" s="430"/>
      <c r="AE658" s="430"/>
      <c r="AF658" s="435"/>
      <c r="AG658" s="435"/>
      <c r="AH658" s="435"/>
      <c r="AI658" s="435"/>
      <c r="AJ658" s="435"/>
      <c r="AK658" s="435"/>
      <c r="AL658" s="435"/>
      <c r="AM658" s="321">
        <f>SUM(Y658:AL658)</f>
        <v>0</v>
      </c>
    </row>
    <row r="659" spans="1:39" ht="15" hidden="1" outlineLevel="1">
      <c r="A659" s="560"/>
      <c r="B659" s="319" t="s">
        <v>313</v>
      </c>
      <c r="C659" s="316" t="s">
        <v>164</v>
      </c>
      <c r="D659" s="320"/>
      <c r="E659" s="320"/>
      <c r="F659" s="320"/>
      <c r="G659" s="320"/>
      <c r="H659" s="320"/>
      <c r="I659" s="320"/>
      <c r="J659" s="320"/>
      <c r="K659" s="320"/>
      <c r="L659" s="320"/>
      <c r="M659" s="320"/>
      <c r="N659" s="320">
        <f>N658</f>
        <v>0</v>
      </c>
      <c r="O659" s="320"/>
      <c r="P659" s="320"/>
      <c r="Q659" s="320"/>
      <c r="R659" s="320"/>
      <c r="S659" s="320"/>
      <c r="T659" s="320"/>
      <c r="U659" s="320"/>
      <c r="V659" s="320"/>
      <c r="W659" s="320"/>
      <c r="X659" s="320"/>
      <c r="Y659" s="431">
        <f>Y658</f>
        <v>0</v>
      </c>
      <c r="Z659" s="431">
        <f t="shared" ref="Z659:AL659" si="1919">Z658</f>
        <v>0</v>
      </c>
      <c r="AA659" s="431">
        <f t="shared" si="1919"/>
        <v>0</v>
      </c>
      <c r="AB659" s="431">
        <f t="shared" si="1919"/>
        <v>0</v>
      </c>
      <c r="AC659" s="431">
        <f t="shared" si="1919"/>
        <v>0</v>
      </c>
      <c r="AD659" s="431">
        <f t="shared" si="1919"/>
        <v>0</v>
      </c>
      <c r="AE659" s="431">
        <f t="shared" si="1919"/>
        <v>0</v>
      </c>
      <c r="AF659" s="431">
        <f t="shared" si="1919"/>
        <v>0</v>
      </c>
      <c r="AG659" s="431">
        <f t="shared" si="1919"/>
        <v>0</v>
      </c>
      <c r="AH659" s="431">
        <f t="shared" si="1919"/>
        <v>0</v>
      </c>
      <c r="AI659" s="431">
        <f t="shared" si="1919"/>
        <v>0</v>
      </c>
      <c r="AJ659" s="431">
        <f t="shared" si="1919"/>
        <v>0</v>
      </c>
      <c r="AK659" s="431">
        <f t="shared" si="1919"/>
        <v>0</v>
      </c>
      <c r="AL659" s="431">
        <f t="shared" si="1919"/>
        <v>0</v>
      </c>
      <c r="AM659" s="331"/>
    </row>
    <row r="660" spans="1:39" ht="15.6" hidden="1" outlineLevel="1">
      <c r="A660" s="560"/>
      <c r="B660" s="348"/>
      <c r="C660" s="325"/>
      <c r="D660" s="316"/>
      <c r="E660" s="316"/>
      <c r="F660" s="316"/>
      <c r="G660" s="316"/>
      <c r="H660" s="316"/>
      <c r="I660" s="316"/>
      <c r="J660" s="316"/>
      <c r="K660" s="316"/>
      <c r="L660" s="316"/>
      <c r="M660" s="316"/>
      <c r="N660" s="325"/>
      <c r="O660" s="316"/>
      <c r="P660" s="316"/>
      <c r="Q660" s="316"/>
      <c r="R660" s="316"/>
      <c r="S660" s="316"/>
      <c r="T660" s="316"/>
      <c r="U660" s="316"/>
      <c r="V660" s="316"/>
      <c r="W660" s="316"/>
      <c r="X660" s="316"/>
      <c r="Y660" s="432"/>
      <c r="Z660" s="432"/>
      <c r="AA660" s="432"/>
      <c r="AB660" s="432"/>
      <c r="AC660" s="432"/>
      <c r="AD660" s="432"/>
      <c r="AE660" s="432"/>
      <c r="AF660" s="432"/>
      <c r="AG660" s="432"/>
      <c r="AH660" s="432"/>
      <c r="AI660" s="432"/>
      <c r="AJ660" s="432"/>
      <c r="AK660" s="432"/>
      <c r="AL660" s="432"/>
      <c r="AM660" s="331"/>
    </row>
    <row r="661" spans="1:39" ht="15.6" hidden="1" outlineLevel="1">
      <c r="A661" s="560"/>
      <c r="B661" s="547" t="s">
        <v>517</v>
      </c>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442"/>
      <c r="Z661" s="445"/>
      <c r="AA661" s="445"/>
      <c r="AB661" s="445"/>
      <c r="AC661" s="445"/>
      <c r="AD661" s="445"/>
      <c r="AE661" s="445"/>
      <c r="AF661" s="445"/>
      <c r="AG661" s="445"/>
      <c r="AH661" s="445"/>
      <c r="AI661" s="445"/>
      <c r="AJ661" s="445"/>
      <c r="AK661" s="445"/>
      <c r="AL661" s="445"/>
      <c r="AM661" s="331"/>
    </row>
    <row r="662" spans="1:39" ht="15.6" hidden="1" outlineLevel="1">
      <c r="A662" s="560"/>
      <c r="B662" s="533" t="s">
        <v>513</v>
      </c>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t="15" hidden="1" outlineLevel="1">
      <c r="A663" s="560">
        <v>21</v>
      </c>
      <c r="B663" s="448" t="s">
        <v>114</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t="15"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20">Z663</f>
        <v>0</v>
      </c>
      <c r="AA664" s="431">
        <f t="shared" ref="AA664" si="1921">AA663</f>
        <v>0</v>
      </c>
      <c r="AB664" s="431">
        <f t="shared" ref="AB664" si="1922">AB663</f>
        <v>0</v>
      </c>
      <c r="AC664" s="431">
        <f t="shared" ref="AC664" si="1923">AC663</f>
        <v>0</v>
      </c>
      <c r="AD664" s="431">
        <f t="shared" ref="AD664" si="1924">AD663</f>
        <v>0</v>
      </c>
      <c r="AE664" s="431">
        <f t="shared" ref="AE664" si="1925">AE663</f>
        <v>0</v>
      </c>
      <c r="AF664" s="431">
        <f t="shared" ref="AF664" si="1926">AF663</f>
        <v>0</v>
      </c>
      <c r="AG664" s="431">
        <f t="shared" ref="AG664" si="1927">AG663</f>
        <v>0</v>
      </c>
      <c r="AH664" s="431">
        <f t="shared" ref="AH664" si="1928">AH663</f>
        <v>0</v>
      </c>
      <c r="AI664" s="431">
        <f t="shared" ref="AI664" si="1929">AI663</f>
        <v>0</v>
      </c>
      <c r="AJ664" s="431">
        <f t="shared" ref="AJ664" si="1930">AJ663</f>
        <v>0</v>
      </c>
      <c r="AK664" s="431">
        <f t="shared" ref="AK664" si="1931">AK663</f>
        <v>0</v>
      </c>
      <c r="AL664" s="431">
        <f t="shared" ref="AL664" si="1932">AL663</f>
        <v>0</v>
      </c>
      <c r="AM664" s="331"/>
    </row>
    <row r="665" spans="1:39" ht="15"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42"/>
      <c r="Z665" s="445"/>
      <c r="AA665" s="445"/>
      <c r="AB665" s="445"/>
      <c r="AC665" s="445"/>
      <c r="AD665" s="445"/>
      <c r="AE665" s="445"/>
      <c r="AF665" s="445"/>
      <c r="AG665" s="445"/>
      <c r="AH665" s="445"/>
      <c r="AI665" s="445"/>
      <c r="AJ665" s="445"/>
      <c r="AK665" s="445"/>
      <c r="AL665" s="445"/>
      <c r="AM665" s="331"/>
    </row>
    <row r="666" spans="1:39" ht="30" hidden="1" outlineLevel="1">
      <c r="A666" s="560">
        <v>22</v>
      </c>
      <c r="B666" s="448" t="s">
        <v>115</v>
      </c>
      <c r="C666" s="316" t="s">
        <v>25</v>
      </c>
      <c r="D666" s="320"/>
      <c r="E666" s="320"/>
      <c r="F666" s="320"/>
      <c r="G666" s="320"/>
      <c r="H666" s="320"/>
      <c r="I666" s="320"/>
      <c r="J666" s="320"/>
      <c r="K666" s="320"/>
      <c r="L666" s="320"/>
      <c r="M666" s="320"/>
      <c r="N666" s="316"/>
      <c r="O666" s="320"/>
      <c r="P666" s="320"/>
      <c r="Q666" s="320"/>
      <c r="R666" s="320"/>
      <c r="S666" s="320"/>
      <c r="T666" s="320"/>
      <c r="U666" s="320"/>
      <c r="V666" s="320"/>
      <c r="W666" s="320"/>
      <c r="X666" s="320"/>
      <c r="Y666" s="430"/>
      <c r="Z666" s="430"/>
      <c r="AA666" s="430"/>
      <c r="AB666" s="430"/>
      <c r="AC666" s="430"/>
      <c r="AD666" s="430"/>
      <c r="AE666" s="430"/>
      <c r="AF666" s="430"/>
      <c r="AG666" s="430"/>
      <c r="AH666" s="430"/>
      <c r="AI666" s="430"/>
      <c r="AJ666" s="430"/>
      <c r="AK666" s="430"/>
      <c r="AL666" s="430"/>
      <c r="AM666" s="321">
        <f>SUM(Y666:AL666)</f>
        <v>0</v>
      </c>
    </row>
    <row r="667" spans="1:39" ht="15" hidden="1" outlineLevel="1">
      <c r="A667" s="560"/>
      <c r="B667" s="319" t="s">
        <v>313</v>
      </c>
      <c r="C667" s="316" t="s">
        <v>164</v>
      </c>
      <c r="D667" s="320"/>
      <c r="E667" s="320"/>
      <c r="F667" s="320"/>
      <c r="G667" s="320"/>
      <c r="H667" s="320"/>
      <c r="I667" s="320"/>
      <c r="J667" s="320"/>
      <c r="K667" s="320"/>
      <c r="L667" s="320"/>
      <c r="M667" s="320"/>
      <c r="N667" s="316"/>
      <c r="O667" s="320"/>
      <c r="P667" s="320"/>
      <c r="Q667" s="320"/>
      <c r="R667" s="320"/>
      <c r="S667" s="320"/>
      <c r="T667" s="320"/>
      <c r="U667" s="320"/>
      <c r="V667" s="320"/>
      <c r="W667" s="320"/>
      <c r="X667" s="320"/>
      <c r="Y667" s="431">
        <f>Y666</f>
        <v>0</v>
      </c>
      <c r="Z667" s="431">
        <f t="shared" ref="Z667" si="1933">Z666</f>
        <v>0</v>
      </c>
      <c r="AA667" s="431">
        <f t="shared" ref="AA667" si="1934">AA666</f>
        <v>0</v>
      </c>
      <c r="AB667" s="431">
        <f t="shared" ref="AB667" si="1935">AB666</f>
        <v>0</v>
      </c>
      <c r="AC667" s="431">
        <f t="shared" ref="AC667" si="1936">AC666</f>
        <v>0</v>
      </c>
      <c r="AD667" s="431">
        <f t="shared" ref="AD667" si="1937">AD666</f>
        <v>0</v>
      </c>
      <c r="AE667" s="431">
        <f t="shared" ref="AE667" si="1938">AE666</f>
        <v>0</v>
      </c>
      <c r="AF667" s="431">
        <f t="shared" ref="AF667" si="1939">AF666</f>
        <v>0</v>
      </c>
      <c r="AG667" s="431">
        <f t="shared" ref="AG667" si="1940">AG666</f>
        <v>0</v>
      </c>
      <c r="AH667" s="431">
        <f t="shared" ref="AH667" si="1941">AH666</f>
        <v>0</v>
      </c>
      <c r="AI667" s="431">
        <f t="shared" ref="AI667" si="1942">AI666</f>
        <v>0</v>
      </c>
      <c r="AJ667" s="431">
        <f t="shared" ref="AJ667" si="1943">AJ666</f>
        <v>0</v>
      </c>
      <c r="AK667" s="431">
        <f t="shared" ref="AK667" si="1944">AK666</f>
        <v>0</v>
      </c>
      <c r="AL667" s="431">
        <f t="shared" ref="AL667" si="1945">AL666</f>
        <v>0</v>
      </c>
      <c r="AM667" s="331"/>
    </row>
    <row r="668" spans="1:39" ht="15" hidden="1" outlineLevel="1">
      <c r="A668" s="560"/>
      <c r="B668" s="319"/>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442"/>
      <c r="Z668" s="445"/>
      <c r="AA668" s="445"/>
      <c r="AB668" s="445"/>
      <c r="AC668" s="445"/>
      <c r="AD668" s="445"/>
      <c r="AE668" s="445"/>
      <c r="AF668" s="445"/>
      <c r="AG668" s="445"/>
      <c r="AH668" s="445"/>
      <c r="AI668" s="445"/>
      <c r="AJ668" s="445"/>
      <c r="AK668" s="445"/>
      <c r="AL668" s="445"/>
      <c r="AM668" s="331"/>
    </row>
    <row r="669" spans="1:39" ht="30" hidden="1" outlineLevel="1">
      <c r="A669" s="560">
        <v>23</v>
      </c>
      <c r="B669" s="448" t="s">
        <v>116</v>
      </c>
      <c r="C669" s="316" t="s">
        <v>25</v>
      </c>
      <c r="D669" s="320"/>
      <c r="E669" s="320"/>
      <c r="F669" s="320"/>
      <c r="G669" s="320"/>
      <c r="H669" s="320"/>
      <c r="I669" s="320"/>
      <c r="J669" s="320"/>
      <c r="K669" s="320"/>
      <c r="L669" s="320"/>
      <c r="M669" s="320"/>
      <c r="N669" s="316"/>
      <c r="O669" s="320"/>
      <c r="P669" s="320"/>
      <c r="Q669" s="320"/>
      <c r="R669" s="320"/>
      <c r="S669" s="320"/>
      <c r="T669" s="320"/>
      <c r="U669" s="320"/>
      <c r="V669" s="320"/>
      <c r="W669" s="320"/>
      <c r="X669" s="320"/>
      <c r="Y669" s="430"/>
      <c r="Z669" s="430"/>
      <c r="AA669" s="430"/>
      <c r="AB669" s="430"/>
      <c r="AC669" s="430"/>
      <c r="AD669" s="430"/>
      <c r="AE669" s="430"/>
      <c r="AF669" s="430"/>
      <c r="AG669" s="430"/>
      <c r="AH669" s="430"/>
      <c r="AI669" s="430"/>
      <c r="AJ669" s="430"/>
      <c r="AK669" s="430"/>
      <c r="AL669" s="430"/>
      <c r="AM669" s="321">
        <f>SUM(Y669:AL669)</f>
        <v>0</v>
      </c>
    </row>
    <row r="670" spans="1:39" ht="15" hidden="1" outlineLevel="1">
      <c r="A670" s="560"/>
      <c r="B670" s="319" t="s">
        <v>313</v>
      </c>
      <c r="C670" s="316" t="s">
        <v>164</v>
      </c>
      <c r="D670" s="320"/>
      <c r="E670" s="320"/>
      <c r="F670" s="320"/>
      <c r="G670" s="320"/>
      <c r="H670" s="320"/>
      <c r="I670" s="320"/>
      <c r="J670" s="320"/>
      <c r="K670" s="320"/>
      <c r="L670" s="320"/>
      <c r="M670" s="320"/>
      <c r="N670" s="316"/>
      <c r="O670" s="320"/>
      <c r="P670" s="320"/>
      <c r="Q670" s="320"/>
      <c r="R670" s="320"/>
      <c r="S670" s="320"/>
      <c r="T670" s="320"/>
      <c r="U670" s="320"/>
      <c r="V670" s="320"/>
      <c r="W670" s="320"/>
      <c r="X670" s="320"/>
      <c r="Y670" s="431">
        <f>Y669</f>
        <v>0</v>
      </c>
      <c r="Z670" s="431">
        <f t="shared" ref="Z670" si="1946">Z669</f>
        <v>0</v>
      </c>
      <c r="AA670" s="431">
        <f t="shared" ref="AA670" si="1947">AA669</f>
        <v>0</v>
      </c>
      <c r="AB670" s="431">
        <f t="shared" ref="AB670" si="1948">AB669</f>
        <v>0</v>
      </c>
      <c r="AC670" s="431">
        <f t="shared" ref="AC670" si="1949">AC669</f>
        <v>0</v>
      </c>
      <c r="AD670" s="431">
        <f t="shared" ref="AD670" si="1950">AD669</f>
        <v>0</v>
      </c>
      <c r="AE670" s="431">
        <f t="shared" ref="AE670" si="1951">AE669</f>
        <v>0</v>
      </c>
      <c r="AF670" s="431">
        <f t="shared" ref="AF670" si="1952">AF669</f>
        <v>0</v>
      </c>
      <c r="AG670" s="431">
        <f t="shared" ref="AG670" si="1953">AG669</f>
        <v>0</v>
      </c>
      <c r="AH670" s="431">
        <f t="shared" ref="AH670" si="1954">AH669</f>
        <v>0</v>
      </c>
      <c r="AI670" s="431">
        <f t="shared" ref="AI670" si="1955">AI669</f>
        <v>0</v>
      </c>
      <c r="AJ670" s="431">
        <f t="shared" ref="AJ670" si="1956">AJ669</f>
        <v>0</v>
      </c>
      <c r="AK670" s="431">
        <f t="shared" ref="AK670" si="1957">AK669</f>
        <v>0</v>
      </c>
      <c r="AL670" s="431">
        <f t="shared" ref="AL670" si="1958">AL669</f>
        <v>0</v>
      </c>
      <c r="AM670" s="331"/>
    </row>
    <row r="671" spans="1:39" ht="15" hidden="1" outlineLevel="1">
      <c r="A671" s="560"/>
      <c r="B671" s="450"/>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442"/>
      <c r="Z671" s="445"/>
      <c r="AA671" s="445"/>
      <c r="AB671" s="445"/>
      <c r="AC671" s="445"/>
      <c r="AD671" s="445"/>
      <c r="AE671" s="445"/>
      <c r="AF671" s="445"/>
      <c r="AG671" s="445"/>
      <c r="AH671" s="445"/>
      <c r="AI671" s="445"/>
      <c r="AJ671" s="445"/>
      <c r="AK671" s="445"/>
      <c r="AL671" s="445"/>
      <c r="AM671" s="331"/>
    </row>
    <row r="672" spans="1:39" ht="15" hidden="1" outlineLevel="1">
      <c r="A672" s="560">
        <v>24</v>
      </c>
      <c r="B672" s="448" t="s">
        <v>117</v>
      </c>
      <c r="C672" s="316" t="s">
        <v>25</v>
      </c>
      <c r="D672" s="320"/>
      <c r="E672" s="320"/>
      <c r="F672" s="320"/>
      <c r="G672" s="320"/>
      <c r="H672" s="320"/>
      <c r="I672" s="320"/>
      <c r="J672" s="320"/>
      <c r="K672" s="320"/>
      <c r="L672" s="320"/>
      <c r="M672" s="320"/>
      <c r="N672" s="316"/>
      <c r="O672" s="320"/>
      <c r="P672" s="320"/>
      <c r="Q672" s="320"/>
      <c r="R672" s="320"/>
      <c r="S672" s="320"/>
      <c r="T672" s="320"/>
      <c r="U672" s="320"/>
      <c r="V672" s="320"/>
      <c r="W672" s="320"/>
      <c r="X672" s="320"/>
      <c r="Y672" s="430"/>
      <c r="Z672" s="430"/>
      <c r="AA672" s="430"/>
      <c r="AB672" s="430"/>
      <c r="AC672" s="430"/>
      <c r="AD672" s="430"/>
      <c r="AE672" s="430"/>
      <c r="AF672" s="430"/>
      <c r="AG672" s="430"/>
      <c r="AH672" s="430"/>
      <c r="AI672" s="430"/>
      <c r="AJ672" s="430"/>
      <c r="AK672" s="430"/>
      <c r="AL672" s="430"/>
      <c r="AM672" s="321">
        <f>SUM(Y672:AL672)</f>
        <v>0</v>
      </c>
    </row>
    <row r="673" spans="1:39" ht="15" hidden="1" outlineLevel="1">
      <c r="A673" s="560"/>
      <c r="B673" s="319" t="s">
        <v>313</v>
      </c>
      <c r="C673" s="316" t="s">
        <v>164</v>
      </c>
      <c r="D673" s="320"/>
      <c r="E673" s="320"/>
      <c r="F673" s="320"/>
      <c r="G673" s="320"/>
      <c r="H673" s="320"/>
      <c r="I673" s="320"/>
      <c r="J673" s="320"/>
      <c r="K673" s="320"/>
      <c r="L673" s="320"/>
      <c r="M673" s="320"/>
      <c r="N673" s="316"/>
      <c r="O673" s="320"/>
      <c r="P673" s="320"/>
      <c r="Q673" s="320"/>
      <c r="R673" s="320"/>
      <c r="S673" s="320"/>
      <c r="T673" s="320"/>
      <c r="U673" s="320"/>
      <c r="V673" s="320"/>
      <c r="W673" s="320"/>
      <c r="X673" s="320"/>
      <c r="Y673" s="431">
        <f>Y672</f>
        <v>0</v>
      </c>
      <c r="Z673" s="431">
        <f t="shared" ref="Z673" si="1959">Z672</f>
        <v>0</v>
      </c>
      <c r="AA673" s="431">
        <f t="shared" ref="AA673" si="1960">AA672</f>
        <v>0</v>
      </c>
      <c r="AB673" s="431">
        <f t="shared" ref="AB673" si="1961">AB672</f>
        <v>0</v>
      </c>
      <c r="AC673" s="431">
        <f t="shared" ref="AC673" si="1962">AC672</f>
        <v>0</v>
      </c>
      <c r="AD673" s="431">
        <f t="shared" ref="AD673" si="1963">AD672</f>
        <v>0</v>
      </c>
      <c r="AE673" s="431">
        <f t="shared" ref="AE673" si="1964">AE672</f>
        <v>0</v>
      </c>
      <c r="AF673" s="431">
        <f t="shared" ref="AF673" si="1965">AF672</f>
        <v>0</v>
      </c>
      <c r="AG673" s="431">
        <f t="shared" ref="AG673" si="1966">AG672</f>
        <v>0</v>
      </c>
      <c r="AH673" s="431">
        <f t="shared" ref="AH673" si="1967">AH672</f>
        <v>0</v>
      </c>
      <c r="AI673" s="431">
        <f t="shared" ref="AI673" si="1968">AI672</f>
        <v>0</v>
      </c>
      <c r="AJ673" s="431">
        <f t="shared" ref="AJ673" si="1969">AJ672</f>
        <v>0</v>
      </c>
      <c r="AK673" s="431">
        <f t="shared" ref="AK673" si="1970">AK672</f>
        <v>0</v>
      </c>
      <c r="AL673" s="431">
        <f t="shared" ref="AL673" si="1971">AL672</f>
        <v>0</v>
      </c>
      <c r="AM673" s="331"/>
    </row>
    <row r="674" spans="1:39" ht="15" hidden="1" outlineLevel="1">
      <c r="A674" s="560"/>
      <c r="B674" s="319"/>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432"/>
      <c r="Z674" s="445"/>
      <c r="AA674" s="445"/>
      <c r="AB674" s="445"/>
      <c r="AC674" s="445"/>
      <c r="AD674" s="445"/>
      <c r="AE674" s="445"/>
      <c r="AF674" s="445"/>
      <c r="AG674" s="445"/>
      <c r="AH674" s="445"/>
      <c r="AI674" s="445"/>
      <c r="AJ674" s="445"/>
      <c r="AK674" s="445"/>
      <c r="AL674" s="445"/>
      <c r="AM674" s="331"/>
    </row>
    <row r="675" spans="1:39" ht="15.6" hidden="1" outlineLevel="1">
      <c r="A675" s="560"/>
      <c r="B675" s="313" t="s">
        <v>514</v>
      </c>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t="15" hidden="1" outlineLevel="1">
      <c r="A676" s="560">
        <v>25</v>
      </c>
      <c r="B676" s="448" t="s">
        <v>118</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t="15"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1972">Z676</f>
        <v>0</v>
      </c>
      <c r="AA677" s="431">
        <f t="shared" ref="AA677" si="1973">AA676</f>
        <v>0</v>
      </c>
      <c r="AB677" s="431">
        <f t="shared" ref="AB677" si="1974">AB676</f>
        <v>0</v>
      </c>
      <c r="AC677" s="431">
        <f t="shared" ref="AC677" si="1975">AC676</f>
        <v>0</v>
      </c>
      <c r="AD677" s="431">
        <f t="shared" ref="AD677" si="1976">AD676</f>
        <v>0</v>
      </c>
      <c r="AE677" s="431">
        <f t="shared" ref="AE677" si="1977">AE676</f>
        <v>0</v>
      </c>
      <c r="AF677" s="431">
        <f t="shared" ref="AF677" si="1978">AF676</f>
        <v>0</v>
      </c>
      <c r="AG677" s="431">
        <f t="shared" ref="AG677" si="1979">AG676</f>
        <v>0</v>
      </c>
      <c r="AH677" s="431">
        <f t="shared" ref="AH677" si="1980">AH676</f>
        <v>0</v>
      </c>
      <c r="AI677" s="431">
        <f t="shared" ref="AI677" si="1981">AI676</f>
        <v>0</v>
      </c>
      <c r="AJ677" s="431">
        <f t="shared" ref="AJ677" si="1982">AJ676</f>
        <v>0</v>
      </c>
      <c r="AK677" s="431">
        <f t="shared" ref="AK677" si="1983">AK676</f>
        <v>0</v>
      </c>
      <c r="AL677" s="431">
        <f t="shared" ref="AL677" si="1984">AL676</f>
        <v>0</v>
      </c>
      <c r="AM677" s="331"/>
    </row>
    <row r="678" spans="1:39" ht="15"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t="15" hidden="1" outlineLevel="1">
      <c r="A679" s="560">
        <v>26</v>
      </c>
      <c r="B679" s="448" t="s">
        <v>119</v>
      </c>
      <c r="C679" s="316" t="s">
        <v>25</v>
      </c>
      <c r="D679" s="320"/>
      <c r="E679" s="320"/>
      <c r="F679" s="320"/>
      <c r="G679" s="320"/>
      <c r="H679" s="320"/>
      <c r="I679" s="320"/>
      <c r="J679" s="320"/>
      <c r="K679" s="320"/>
      <c r="L679" s="320"/>
      <c r="M679" s="320"/>
      <c r="N679" s="320">
        <v>12</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t="15" hidden="1" outlineLevel="1">
      <c r="A680" s="560"/>
      <c r="B680" s="319" t="s">
        <v>313</v>
      </c>
      <c r="C680" s="316" t="s">
        <v>164</v>
      </c>
      <c r="D680" s="320"/>
      <c r="E680" s="320"/>
      <c r="F680" s="320"/>
      <c r="G680" s="320"/>
      <c r="H680" s="320"/>
      <c r="I680" s="320"/>
      <c r="J680" s="320"/>
      <c r="K680" s="320"/>
      <c r="L680" s="320"/>
      <c r="M680" s="320"/>
      <c r="N680" s="320">
        <f>N679</f>
        <v>12</v>
      </c>
      <c r="O680" s="320"/>
      <c r="P680" s="320"/>
      <c r="Q680" s="320"/>
      <c r="R680" s="320"/>
      <c r="S680" s="320"/>
      <c r="T680" s="320"/>
      <c r="U680" s="320"/>
      <c r="V680" s="320"/>
      <c r="W680" s="320"/>
      <c r="X680" s="320"/>
      <c r="Y680" s="431">
        <f>Y679</f>
        <v>0</v>
      </c>
      <c r="Z680" s="431">
        <f t="shared" ref="Z680" si="1985">Z679</f>
        <v>0</v>
      </c>
      <c r="AA680" s="431">
        <f t="shared" ref="AA680" si="1986">AA679</f>
        <v>0</v>
      </c>
      <c r="AB680" s="431">
        <f t="shared" ref="AB680" si="1987">AB679</f>
        <v>0</v>
      </c>
      <c r="AC680" s="431">
        <f t="shared" ref="AC680" si="1988">AC679</f>
        <v>0</v>
      </c>
      <c r="AD680" s="431">
        <f t="shared" ref="AD680" si="1989">AD679</f>
        <v>0</v>
      </c>
      <c r="AE680" s="431">
        <f t="shared" ref="AE680" si="1990">AE679</f>
        <v>0</v>
      </c>
      <c r="AF680" s="431">
        <f t="shared" ref="AF680" si="1991">AF679</f>
        <v>0</v>
      </c>
      <c r="AG680" s="431">
        <f t="shared" ref="AG680" si="1992">AG679</f>
        <v>0</v>
      </c>
      <c r="AH680" s="431">
        <f t="shared" ref="AH680" si="1993">AH679</f>
        <v>0</v>
      </c>
      <c r="AI680" s="431">
        <f t="shared" ref="AI680" si="1994">AI679</f>
        <v>0</v>
      </c>
      <c r="AJ680" s="431">
        <f t="shared" ref="AJ680" si="1995">AJ679</f>
        <v>0</v>
      </c>
      <c r="AK680" s="431">
        <f t="shared" ref="AK680" si="1996">AK679</f>
        <v>0</v>
      </c>
      <c r="AL680" s="431">
        <f t="shared" ref="AL680" si="1997">AL679</f>
        <v>0</v>
      </c>
      <c r="AM680" s="331"/>
    </row>
    <row r="681" spans="1:39" ht="15"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27</v>
      </c>
      <c r="B682" s="448" t="s">
        <v>120</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t="15"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1998">Z682</f>
        <v>0</v>
      </c>
      <c r="AA683" s="431">
        <f t="shared" ref="AA683" si="1999">AA682</f>
        <v>0</v>
      </c>
      <c r="AB683" s="431">
        <f t="shared" ref="AB683" si="2000">AB682</f>
        <v>0</v>
      </c>
      <c r="AC683" s="431">
        <f t="shared" ref="AC683" si="2001">AC682</f>
        <v>0</v>
      </c>
      <c r="AD683" s="431">
        <f t="shared" ref="AD683" si="2002">AD682</f>
        <v>0</v>
      </c>
      <c r="AE683" s="431">
        <f t="shared" ref="AE683" si="2003">AE682</f>
        <v>0</v>
      </c>
      <c r="AF683" s="431">
        <f t="shared" ref="AF683" si="2004">AF682</f>
        <v>0</v>
      </c>
      <c r="AG683" s="431">
        <f t="shared" ref="AG683" si="2005">AG682</f>
        <v>0</v>
      </c>
      <c r="AH683" s="431">
        <f t="shared" ref="AH683" si="2006">AH682</f>
        <v>0</v>
      </c>
      <c r="AI683" s="431">
        <f t="shared" ref="AI683" si="2007">AI682</f>
        <v>0</v>
      </c>
      <c r="AJ683" s="431">
        <f t="shared" ref="AJ683" si="2008">AJ682</f>
        <v>0</v>
      </c>
      <c r="AK683" s="431">
        <f t="shared" ref="AK683" si="2009">AK682</f>
        <v>0</v>
      </c>
      <c r="AL683" s="431">
        <f t="shared" ref="AL683" si="2010">AL682</f>
        <v>0</v>
      </c>
      <c r="AM683" s="331"/>
    </row>
    <row r="684" spans="1:39" ht="15"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28</v>
      </c>
      <c r="B685" s="448" t="s">
        <v>121</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t="15"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11">Z685</f>
        <v>0</v>
      </c>
      <c r="AA686" s="431">
        <f t="shared" ref="AA686" si="2012">AA685</f>
        <v>0</v>
      </c>
      <c r="AB686" s="431">
        <f t="shared" ref="AB686" si="2013">AB685</f>
        <v>0</v>
      </c>
      <c r="AC686" s="431">
        <f t="shared" ref="AC686" si="2014">AC685</f>
        <v>0</v>
      </c>
      <c r="AD686" s="431">
        <f t="shared" ref="AD686" si="2015">AD685</f>
        <v>0</v>
      </c>
      <c r="AE686" s="431">
        <f t="shared" ref="AE686" si="2016">AE685</f>
        <v>0</v>
      </c>
      <c r="AF686" s="431">
        <f t="shared" ref="AF686" si="2017">AF685</f>
        <v>0</v>
      </c>
      <c r="AG686" s="431">
        <f t="shared" ref="AG686" si="2018">AG685</f>
        <v>0</v>
      </c>
      <c r="AH686" s="431">
        <f t="shared" ref="AH686" si="2019">AH685</f>
        <v>0</v>
      </c>
      <c r="AI686" s="431">
        <f t="shared" ref="AI686" si="2020">AI685</f>
        <v>0</v>
      </c>
      <c r="AJ686" s="431">
        <f t="shared" ref="AJ686" si="2021">AJ685</f>
        <v>0</v>
      </c>
      <c r="AK686" s="431">
        <f t="shared" ref="AK686" si="2022">AK685</f>
        <v>0</v>
      </c>
      <c r="AL686" s="431">
        <f t="shared" ref="AL686" si="2023">AL685</f>
        <v>0</v>
      </c>
      <c r="AM686" s="331"/>
    </row>
    <row r="687" spans="1:39" ht="15" hidden="1" outlineLevel="1">
      <c r="A687" s="560"/>
      <c r="B687" s="319"/>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30" hidden="1" outlineLevel="1">
      <c r="A688" s="560">
        <v>29</v>
      </c>
      <c r="B688" s="448" t="s">
        <v>122</v>
      </c>
      <c r="C688" s="316" t="s">
        <v>25</v>
      </c>
      <c r="D688" s="320"/>
      <c r="E688" s="320"/>
      <c r="F688" s="320"/>
      <c r="G688" s="320"/>
      <c r="H688" s="320"/>
      <c r="I688" s="320"/>
      <c r="J688" s="320"/>
      <c r="K688" s="320"/>
      <c r="L688" s="320"/>
      <c r="M688" s="320"/>
      <c r="N688" s="320">
        <v>3</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t="15" hidden="1" outlineLevel="1">
      <c r="A689" s="560"/>
      <c r="B689" s="319" t="s">
        <v>313</v>
      </c>
      <c r="C689" s="316" t="s">
        <v>164</v>
      </c>
      <c r="D689" s="320"/>
      <c r="E689" s="320"/>
      <c r="F689" s="320"/>
      <c r="G689" s="320"/>
      <c r="H689" s="320"/>
      <c r="I689" s="320"/>
      <c r="J689" s="320"/>
      <c r="K689" s="320"/>
      <c r="L689" s="320"/>
      <c r="M689" s="320"/>
      <c r="N689" s="320">
        <f>N688</f>
        <v>3</v>
      </c>
      <c r="O689" s="320"/>
      <c r="P689" s="320"/>
      <c r="Q689" s="320"/>
      <c r="R689" s="320"/>
      <c r="S689" s="320"/>
      <c r="T689" s="320"/>
      <c r="U689" s="320"/>
      <c r="V689" s="320"/>
      <c r="W689" s="320"/>
      <c r="X689" s="320"/>
      <c r="Y689" s="431">
        <f>Y688</f>
        <v>0</v>
      </c>
      <c r="Z689" s="431">
        <f t="shared" ref="Z689" si="2024">Z688</f>
        <v>0</v>
      </c>
      <c r="AA689" s="431">
        <f t="shared" ref="AA689" si="2025">AA688</f>
        <v>0</v>
      </c>
      <c r="AB689" s="431">
        <f t="shared" ref="AB689" si="2026">AB688</f>
        <v>0</v>
      </c>
      <c r="AC689" s="431">
        <f t="shared" ref="AC689" si="2027">AC688</f>
        <v>0</v>
      </c>
      <c r="AD689" s="431">
        <f t="shared" ref="AD689" si="2028">AD688</f>
        <v>0</v>
      </c>
      <c r="AE689" s="431">
        <f t="shared" ref="AE689" si="2029">AE688</f>
        <v>0</v>
      </c>
      <c r="AF689" s="431">
        <f t="shared" ref="AF689" si="2030">AF688</f>
        <v>0</v>
      </c>
      <c r="AG689" s="431">
        <f t="shared" ref="AG689" si="2031">AG688</f>
        <v>0</v>
      </c>
      <c r="AH689" s="431">
        <f t="shared" ref="AH689" si="2032">AH688</f>
        <v>0</v>
      </c>
      <c r="AI689" s="431">
        <f t="shared" ref="AI689" si="2033">AI688</f>
        <v>0</v>
      </c>
      <c r="AJ689" s="431">
        <f t="shared" ref="AJ689" si="2034">AJ688</f>
        <v>0</v>
      </c>
      <c r="AK689" s="431">
        <f t="shared" ref="AK689" si="2035">AK688</f>
        <v>0</v>
      </c>
      <c r="AL689" s="431">
        <f t="shared" ref="AL689" si="2036">AL688</f>
        <v>0</v>
      </c>
      <c r="AM689" s="331"/>
    </row>
    <row r="690" spans="1:39" ht="15" hidden="1" outlineLevel="1">
      <c r="A690" s="560"/>
      <c r="B690" s="319"/>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30" hidden="1" outlineLevel="1">
      <c r="A691" s="560">
        <v>30</v>
      </c>
      <c r="B691" s="448" t="s">
        <v>123</v>
      </c>
      <c r="C691" s="316" t="s">
        <v>25</v>
      </c>
      <c r="D691" s="320"/>
      <c r="E691" s="320"/>
      <c r="F691" s="320"/>
      <c r="G691" s="320"/>
      <c r="H691" s="320"/>
      <c r="I691" s="320"/>
      <c r="J691" s="320"/>
      <c r="K691" s="320"/>
      <c r="L691" s="320"/>
      <c r="M691" s="320"/>
      <c r="N691" s="320">
        <v>12</v>
      </c>
      <c r="O691" s="320"/>
      <c r="P691" s="320"/>
      <c r="Q691" s="320"/>
      <c r="R691" s="320"/>
      <c r="S691" s="320"/>
      <c r="T691" s="320"/>
      <c r="U691" s="320"/>
      <c r="V691" s="320"/>
      <c r="W691" s="320"/>
      <c r="X691" s="320"/>
      <c r="Y691" s="446"/>
      <c r="Z691" s="430"/>
      <c r="AA691" s="430"/>
      <c r="AB691" s="430"/>
      <c r="AC691" s="430"/>
      <c r="AD691" s="430"/>
      <c r="AE691" s="430"/>
      <c r="AF691" s="435"/>
      <c r="AG691" s="435"/>
      <c r="AH691" s="435"/>
      <c r="AI691" s="435"/>
      <c r="AJ691" s="435"/>
      <c r="AK691" s="435"/>
      <c r="AL691" s="435"/>
      <c r="AM691" s="321">
        <f>SUM(Y691:AL691)</f>
        <v>0</v>
      </c>
    </row>
    <row r="692" spans="1:39" ht="15" hidden="1" outlineLevel="1">
      <c r="A692" s="560"/>
      <c r="B692" s="319" t="s">
        <v>313</v>
      </c>
      <c r="C692" s="316" t="s">
        <v>164</v>
      </c>
      <c r="D692" s="320"/>
      <c r="E692" s="320"/>
      <c r="F692" s="320"/>
      <c r="G692" s="320"/>
      <c r="H692" s="320"/>
      <c r="I692" s="320"/>
      <c r="J692" s="320"/>
      <c r="K692" s="320"/>
      <c r="L692" s="320"/>
      <c r="M692" s="320"/>
      <c r="N692" s="320">
        <f>N691</f>
        <v>12</v>
      </c>
      <c r="O692" s="320"/>
      <c r="P692" s="320"/>
      <c r="Q692" s="320"/>
      <c r="R692" s="320"/>
      <c r="S692" s="320"/>
      <c r="T692" s="320"/>
      <c r="U692" s="320"/>
      <c r="V692" s="320"/>
      <c r="W692" s="320"/>
      <c r="X692" s="320"/>
      <c r="Y692" s="431">
        <f>Y691</f>
        <v>0</v>
      </c>
      <c r="Z692" s="431">
        <f t="shared" ref="Z692" si="2037">Z691</f>
        <v>0</v>
      </c>
      <c r="AA692" s="431">
        <f t="shared" ref="AA692" si="2038">AA691</f>
        <v>0</v>
      </c>
      <c r="AB692" s="431">
        <f t="shared" ref="AB692" si="2039">AB691</f>
        <v>0</v>
      </c>
      <c r="AC692" s="431">
        <f t="shared" ref="AC692" si="2040">AC691</f>
        <v>0</v>
      </c>
      <c r="AD692" s="431">
        <f t="shared" ref="AD692" si="2041">AD691</f>
        <v>0</v>
      </c>
      <c r="AE692" s="431">
        <f t="shared" ref="AE692" si="2042">AE691</f>
        <v>0</v>
      </c>
      <c r="AF692" s="431">
        <f t="shared" ref="AF692" si="2043">AF691</f>
        <v>0</v>
      </c>
      <c r="AG692" s="431">
        <f t="shared" ref="AG692" si="2044">AG691</f>
        <v>0</v>
      </c>
      <c r="AH692" s="431">
        <f t="shared" ref="AH692" si="2045">AH691</f>
        <v>0</v>
      </c>
      <c r="AI692" s="431">
        <f t="shared" ref="AI692" si="2046">AI691</f>
        <v>0</v>
      </c>
      <c r="AJ692" s="431">
        <f t="shared" ref="AJ692" si="2047">AJ691</f>
        <v>0</v>
      </c>
      <c r="AK692" s="431">
        <f t="shared" ref="AK692" si="2048">AK691</f>
        <v>0</v>
      </c>
      <c r="AL692" s="431">
        <f t="shared" ref="AL692" si="2049">AL691</f>
        <v>0</v>
      </c>
      <c r="AM692" s="331"/>
    </row>
    <row r="693" spans="1:39" ht="15" hidden="1" outlineLevel="1">
      <c r="A693" s="560"/>
      <c r="B693" s="319"/>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432"/>
      <c r="Z693" s="445"/>
      <c r="AA693" s="445"/>
      <c r="AB693" s="445"/>
      <c r="AC693" s="445"/>
      <c r="AD693" s="445"/>
      <c r="AE693" s="445"/>
      <c r="AF693" s="445"/>
      <c r="AG693" s="445"/>
      <c r="AH693" s="445"/>
      <c r="AI693" s="445"/>
      <c r="AJ693" s="445"/>
      <c r="AK693" s="445"/>
      <c r="AL693" s="445"/>
      <c r="AM693" s="331"/>
    </row>
    <row r="694" spans="1:39" ht="30" hidden="1" outlineLevel="1">
      <c r="A694" s="560">
        <v>31</v>
      </c>
      <c r="B694" s="448" t="s">
        <v>124</v>
      </c>
      <c r="C694" s="316" t="s">
        <v>25</v>
      </c>
      <c r="D694" s="320"/>
      <c r="E694" s="320"/>
      <c r="F694" s="320"/>
      <c r="G694" s="320"/>
      <c r="H694" s="320"/>
      <c r="I694" s="320"/>
      <c r="J694" s="320"/>
      <c r="K694" s="320"/>
      <c r="L694" s="320"/>
      <c r="M694" s="320"/>
      <c r="N694" s="320">
        <v>12</v>
      </c>
      <c r="O694" s="320"/>
      <c r="P694" s="320"/>
      <c r="Q694" s="320"/>
      <c r="R694" s="320"/>
      <c r="S694" s="320"/>
      <c r="T694" s="320"/>
      <c r="U694" s="320"/>
      <c r="V694" s="320"/>
      <c r="W694" s="320"/>
      <c r="X694" s="320"/>
      <c r="Y694" s="446"/>
      <c r="Z694" s="430"/>
      <c r="AA694" s="430"/>
      <c r="AB694" s="430"/>
      <c r="AC694" s="430"/>
      <c r="AD694" s="430"/>
      <c r="AE694" s="430"/>
      <c r="AF694" s="435"/>
      <c r="AG694" s="435"/>
      <c r="AH694" s="435"/>
      <c r="AI694" s="435"/>
      <c r="AJ694" s="435"/>
      <c r="AK694" s="435"/>
      <c r="AL694" s="435"/>
      <c r="AM694" s="321">
        <f>SUM(Y694:AL694)</f>
        <v>0</v>
      </c>
    </row>
    <row r="695" spans="1:39" ht="15" hidden="1" outlineLevel="1">
      <c r="A695" s="560"/>
      <c r="B695" s="319" t="s">
        <v>313</v>
      </c>
      <c r="C695" s="316" t="s">
        <v>164</v>
      </c>
      <c r="D695" s="320"/>
      <c r="E695" s="320"/>
      <c r="F695" s="320"/>
      <c r="G695" s="320"/>
      <c r="H695" s="320"/>
      <c r="I695" s="320"/>
      <c r="J695" s="320"/>
      <c r="K695" s="320"/>
      <c r="L695" s="320"/>
      <c r="M695" s="320"/>
      <c r="N695" s="320">
        <f>N694</f>
        <v>12</v>
      </c>
      <c r="O695" s="320"/>
      <c r="P695" s="320"/>
      <c r="Q695" s="320"/>
      <c r="R695" s="320"/>
      <c r="S695" s="320"/>
      <c r="T695" s="320"/>
      <c r="U695" s="320"/>
      <c r="V695" s="320"/>
      <c r="W695" s="320"/>
      <c r="X695" s="320"/>
      <c r="Y695" s="431">
        <f>Y694</f>
        <v>0</v>
      </c>
      <c r="Z695" s="431">
        <f t="shared" ref="Z695" si="2050">Z694</f>
        <v>0</v>
      </c>
      <c r="AA695" s="431">
        <f t="shared" ref="AA695" si="2051">AA694</f>
        <v>0</v>
      </c>
      <c r="AB695" s="431">
        <f t="shared" ref="AB695" si="2052">AB694</f>
        <v>0</v>
      </c>
      <c r="AC695" s="431">
        <f t="shared" ref="AC695" si="2053">AC694</f>
        <v>0</v>
      </c>
      <c r="AD695" s="431">
        <f t="shared" ref="AD695" si="2054">AD694</f>
        <v>0</v>
      </c>
      <c r="AE695" s="431">
        <f t="shared" ref="AE695" si="2055">AE694</f>
        <v>0</v>
      </c>
      <c r="AF695" s="431">
        <f t="shared" ref="AF695" si="2056">AF694</f>
        <v>0</v>
      </c>
      <c r="AG695" s="431">
        <f t="shared" ref="AG695" si="2057">AG694</f>
        <v>0</v>
      </c>
      <c r="AH695" s="431">
        <f t="shared" ref="AH695" si="2058">AH694</f>
        <v>0</v>
      </c>
      <c r="AI695" s="431">
        <f t="shared" ref="AI695" si="2059">AI694</f>
        <v>0</v>
      </c>
      <c r="AJ695" s="431">
        <f t="shared" ref="AJ695" si="2060">AJ694</f>
        <v>0</v>
      </c>
      <c r="AK695" s="431">
        <f t="shared" ref="AK695" si="2061">AK694</f>
        <v>0</v>
      </c>
      <c r="AL695" s="431">
        <f t="shared" ref="AL695" si="2062">AL694</f>
        <v>0</v>
      </c>
      <c r="AM695" s="331"/>
    </row>
    <row r="696" spans="1:39" ht="15" hidden="1" outlineLevel="1">
      <c r="A696" s="560"/>
      <c r="B696" s="448"/>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432"/>
      <c r="Z696" s="445"/>
      <c r="AA696" s="445"/>
      <c r="AB696" s="445"/>
      <c r="AC696" s="445"/>
      <c r="AD696" s="445"/>
      <c r="AE696" s="445"/>
      <c r="AF696" s="445"/>
      <c r="AG696" s="445"/>
      <c r="AH696" s="445"/>
      <c r="AI696" s="445"/>
      <c r="AJ696" s="445"/>
      <c r="AK696" s="445"/>
      <c r="AL696" s="445"/>
      <c r="AM696" s="331"/>
    </row>
    <row r="697" spans="1:39" ht="15" hidden="1" outlineLevel="1">
      <c r="A697" s="560">
        <v>32</v>
      </c>
      <c r="B697" s="448" t="s">
        <v>125</v>
      </c>
      <c r="C697" s="316" t="s">
        <v>25</v>
      </c>
      <c r="D697" s="320"/>
      <c r="E697" s="320"/>
      <c r="F697" s="320"/>
      <c r="G697" s="320"/>
      <c r="H697" s="320"/>
      <c r="I697" s="320"/>
      <c r="J697" s="320"/>
      <c r="K697" s="320"/>
      <c r="L697" s="320"/>
      <c r="M697" s="320"/>
      <c r="N697" s="320">
        <v>12</v>
      </c>
      <c r="O697" s="320"/>
      <c r="P697" s="320"/>
      <c r="Q697" s="320"/>
      <c r="R697" s="320"/>
      <c r="S697" s="320"/>
      <c r="T697" s="320"/>
      <c r="U697" s="320"/>
      <c r="V697" s="320"/>
      <c r="W697" s="320"/>
      <c r="X697" s="320"/>
      <c r="Y697" s="446"/>
      <c r="Z697" s="430"/>
      <c r="AA697" s="430"/>
      <c r="AB697" s="430"/>
      <c r="AC697" s="430"/>
      <c r="AD697" s="430"/>
      <c r="AE697" s="430"/>
      <c r="AF697" s="435"/>
      <c r="AG697" s="435"/>
      <c r="AH697" s="435"/>
      <c r="AI697" s="435"/>
      <c r="AJ697" s="435"/>
      <c r="AK697" s="435"/>
      <c r="AL697" s="435"/>
      <c r="AM697" s="321">
        <f>SUM(Y697:AL697)</f>
        <v>0</v>
      </c>
    </row>
    <row r="698" spans="1:39" ht="15" hidden="1" outlineLevel="1">
      <c r="A698" s="560"/>
      <c r="B698" s="319" t="s">
        <v>313</v>
      </c>
      <c r="C698" s="316" t="s">
        <v>164</v>
      </c>
      <c r="D698" s="320"/>
      <c r="E698" s="320"/>
      <c r="F698" s="320"/>
      <c r="G698" s="320"/>
      <c r="H698" s="320"/>
      <c r="I698" s="320"/>
      <c r="J698" s="320"/>
      <c r="K698" s="320"/>
      <c r="L698" s="320"/>
      <c r="M698" s="320"/>
      <c r="N698" s="320">
        <f>N697</f>
        <v>12</v>
      </c>
      <c r="O698" s="320"/>
      <c r="P698" s="320"/>
      <c r="Q698" s="320"/>
      <c r="R698" s="320"/>
      <c r="S698" s="320"/>
      <c r="T698" s="320"/>
      <c r="U698" s="320"/>
      <c r="V698" s="320"/>
      <c r="W698" s="320"/>
      <c r="X698" s="320"/>
      <c r="Y698" s="431">
        <f>Y697</f>
        <v>0</v>
      </c>
      <c r="Z698" s="431">
        <f t="shared" ref="Z698" si="2063">Z697</f>
        <v>0</v>
      </c>
      <c r="AA698" s="431">
        <f t="shared" ref="AA698" si="2064">AA697</f>
        <v>0</v>
      </c>
      <c r="AB698" s="431">
        <f t="shared" ref="AB698" si="2065">AB697</f>
        <v>0</v>
      </c>
      <c r="AC698" s="431">
        <f t="shared" ref="AC698" si="2066">AC697</f>
        <v>0</v>
      </c>
      <c r="AD698" s="431">
        <f t="shared" ref="AD698" si="2067">AD697</f>
        <v>0</v>
      </c>
      <c r="AE698" s="431">
        <f t="shared" ref="AE698" si="2068">AE697</f>
        <v>0</v>
      </c>
      <c r="AF698" s="431">
        <f t="shared" ref="AF698" si="2069">AF697</f>
        <v>0</v>
      </c>
      <c r="AG698" s="431">
        <f t="shared" ref="AG698" si="2070">AG697</f>
        <v>0</v>
      </c>
      <c r="AH698" s="431">
        <f t="shared" ref="AH698" si="2071">AH697</f>
        <v>0</v>
      </c>
      <c r="AI698" s="431">
        <f t="shared" ref="AI698" si="2072">AI697</f>
        <v>0</v>
      </c>
      <c r="AJ698" s="431">
        <f t="shared" ref="AJ698" si="2073">AJ697</f>
        <v>0</v>
      </c>
      <c r="AK698" s="431">
        <f t="shared" ref="AK698" si="2074">AK697</f>
        <v>0</v>
      </c>
      <c r="AL698" s="431">
        <f t="shared" ref="AL698" si="2075">AL697</f>
        <v>0</v>
      </c>
      <c r="AM698" s="331"/>
    </row>
    <row r="699" spans="1:39" ht="15" hidden="1" outlineLevel="1">
      <c r="A699" s="560"/>
      <c r="B699" s="448"/>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432"/>
      <c r="Z699" s="445"/>
      <c r="AA699" s="445"/>
      <c r="AB699" s="445"/>
      <c r="AC699" s="445"/>
      <c r="AD699" s="445"/>
      <c r="AE699" s="445"/>
      <c r="AF699" s="445"/>
      <c r="AG699" s="445"/>
      <c r="AH699" s="445"/>
      <c r="AI699" s="445"/>
      <c r="AJ699" s="445"/>
      <c r="AK699" s="445"/>
      <c r="AL699" s="445"/>
      <c r="AM699" s="331"/>
    </row>
    <row r="700" spans="1:39" ht="15.6" hidden="1" outlineLevel="1">
      <c r="A700" s="560"/>
      <c r="B700" s="313" t="s">
        <v>515</v>
      </c>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t="15" hidden="1" outlineLevel="1">
      <c r="A701" s="560">
        <v>33</v>
      </c>
      <c r="B701" s="448" t="s">
        <v>126</v>
      </c>
      <c r="C701" s="316" t="s">
        <v>25</v>
      </c>
      <c r="D701" s="320"/>
      <c r="E701" s="320"/>
      <c r="F701" s="320"/>
      <c r="G701" s="320"/>
      <c r="H701" s="320"/>
      <c r="I701" s="320"/>
      <c r="J701" s="320"/>
      <c r="K701" s="320"/>
      <c r="L701" s="320"/>
      <c r="M701" s="320"/>
      <c r="N701" s="320">
        <v>0</v>
      </c>
      <c r="O701" s="320"/>
      <c r="P701" s="320"/>
      <c r="Q701" s="320"/>
      <c r="R701" s="320"/>
      <c r="S701" s="320"/>
      <c r="T701" s="320"/>
      <c r="U701" s="320"/>
      <c r="V701" s="320"/>
      <c r="W701" s="320"/>
      <c r="X701" s="320"/>
      <c r="Y701" s="446"/>
      <c r="Z701" s="430"/>
      <c r="AA701" s="430"/>
      <c r="AB701" s="430"/>
      <c r="AC701" s="430"/>
      <c r="AD701" s="430"/>
      <c r="AE701" s="430"/>
      <c r="AF701" s="435"/>
      <c r="AG701" s="435"/>
      <c r="AH701" s="435"/>
      <c r="AI701" s="435"/>
      <c r="AJ701" s="435"/>
      <c r="AK701" s="435"/>
      <c r="AL701" s="435"/>
      <c r="AM701" s="321">
        <f>SUM(Y701:AL701)</f>
        <v>0</v>
      </c>
    </row>
    <row r="702" spans="1:39" ht="15" hidden="1" outlineLevel="1">
      <c r="A702" s="560"/>
      <c r="B702" s="319" t="s">
        <v>313</v>
      </c>
      <c r="C702" s="316" t="s">
        <v>164</v>
      </c>
      <c r="D702" s="320"/>
      <c r="E702" s="320"/>
      <c r="F702" s="320"/>
      <c r="G702" s="320"/>
      <c r="H702" s="320"/>
      <c r="I702" s="320"/>
      <c r="J702" s="320"/>
      <c r="K702" s="320"/>
      <c r="L702" s="320"/>
      <c r="M702" s="320"/>
      <c r="N702" s="320">
        <f>N701</f>
        <v>0</v>
      </c>
      <c r="O702" s="320"/>
      <c r="P702" s="320"/>
      <c r="Q702" s="320"/>
      <c r="R702" s="320"/>
      <c r="S702" s="320"/>
      <c r="T702" s="320"/>
      <c r="U702" s="320"/>
      <c r="V702" s="320"/>
      <c r="W702" s="320"/>
      <c r="X702" s="320"/>
      <c r="Y702" s="431">
        <f>Y701</f>
        <v>0</v>
      </c>
      <c r="Z702" s="431">
        <f t="shared" ref="Z702" si="2076">Z701</f>
        <v>0</v>
      </c>
      <c r="AA702" s="431">
        <f t="shared" ref="AA702" si="2077">AA701</f>
        <v>0</v>
      </c>
      <c r="AB702" s="431">
        <f t="shared" ref="AB702" si="2078">AB701</f>
        <v>0</v>
      </c>
      <c r="AC702" s="431">
        <f t="shared" ref="AC702" si="2079">AC701</f>
        <v>0</v>
      </c>
      <c r="AD702" s="431">
        <f t="shared" ref="AD702" si="2080">AD701</f>
        <v>0</v>
      </c>
      <c r="AE702" s="431">
        <f t="shared" ref="AE702" si="2081">AE701</f>
        <v>0</v>
      </c>
      <c r="AF702" s="431">
        <f t="shared" ref="AF702" si="2082">AF701</f>
        <v>0</v>
      </c>
      <c r="AG702" s="431">
        <f t="shared" ref="AG702" si="2083">AG701</f>
        <v>0</v>
      </c>
      <c r="AH702" s="431">
        <f t="shared" ref="AH702" si="2084">AH701</f>
        <v>0</v>
      </c>
      <c r="AI702" s="431">
        <f t="shared" ref="AI702" si="2085">AI701</f>
        <v>0</v>
      </c>
      <c r="AJ702" s="431">
        <f t="shared" ref="AJ702" si="2086">AJ701</f>
        <v>0</v>
      </c>
      <c r="AK702" s="431">
        <f t="shared" ref="AK702" si="2087">AK701</f>
        <v>0</v>
      </c>
      <c r="AL702" s="431">
        <f t="shared" ref="AL702" si="2088">AL701</f>
        <v>0</v>
      </c>
      <c r="AM702" s="331"/>
    </row>
    <row r="703" spans="1:39" ht="15" hidden="1" outlineLevel="1">
      <c r="A703" s="560"/>
      <c r="B703" s="448"/>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432"/>
      <c r="Z703" s="445"/>
      <c r="AA703" s="445"/>
      <c r="AB703" s="445"/>
      <c r="AC703" s="445"/>
      <c r="AD703" s="445"/>
      <c r="AE703" s="445"/>
      <c r="AF703" s="445"/>
      <c r="AG703" s="445"/>
      <c r="AH703" s="445"/>
      <c r="AI703" s="445"/>
      <c r="AJ703" s="445"/>
      <c r="AK703" s="445"/>
      <c r="AL703" s="445"/>
      <c r="AM703" s="331"/>
    </row>
    <row r="704" spans="1:39" ht="15" hidden="1" outlineLevel="1">
      <c r="A704" s="560">
        <v>34</v>
      </c>
      <c r="B704" s="448" t="s">
        <v>127</v>
      </c>
      <c r="C704" s="316" t="s">
        <v>25</v>
      </c>
      <c r="D704" s="320"/>
      <c r="E704" s="320"/>
      <c r="F704" s="320"/>
      <c r="G704" s="320"/>
      <c r="H704" s="320"/>
      <c r="I704" s="320"/>
      <c r="J704" s="320"/>
      <c r="K704" s="320"/>
      <c r="L704" s="320"/>
      <c r="M704" s="320"/>
      <c r="N704" s="320">
        <v>0</v>
      </c>
      <c r="O704" s="320"/>
      <c r="P704" s="320"/>
      <c r="Q704" s="320"/>
      <c r="R704" s="320"/>
      <c r="S704" s="320"/>
      <c r="T704" s="320"/>
      <c r="U704" s="320"/>
      <c r="V704" s="320"/>
      <c r="W704" s="320"/>
      <c r="X704" s="320"/>
      <c r="Y704" s="446"/>
      <c r="Z704" s="430"/>
      <c r="AA704" s="430"/>
      <c r="AB704" s="430"/>
      <c r="AC704" s="430"/>
      <c r="AD704" s="430"/>
      <c r="AE704" s="430"/>
      <c r="AF704" s="435"/>
      <c r="AG704" s="435"/>
      <c r="AH704" s="435"/>
      <c r="AI704" s="435"/>
      <c r="AJ704" s="435"/>
      <c r="AK704" s="435"/>
      <c r="AL704" s="435"/>
      <c r="AM704" s="321">
        <f>SUM(Y704:AL704)</f>
        <v>0</v>
      </c>
    </row>
    <row r="705" spans="1:39" ht="15" hidden="1" outlineLevel="1">
      <c r="A705" s="560"/>
      <c r="B705" s="319" t="s">
        <v>313</v>
      </c>
      <c r="C705" s="316" t="s">
        <v>164</v>
      </c>
      <c r="D705" s="320"/>
      <c r="E705" s="320"/>
      <c r="F705" s="320"/>
      <c r="G705" s="320"/>
      <c r="H705" s="320"/>
      <c r="I705" s="320"/>
      <c r="J705" s="320"/>
      <c r="K705" s="320"/>
      <c r="L705" s="320"/>
      <c r="M705" s="320"/>
      <c r="N705" s="320">
        <f>N704</f>
        <v>0</v>
      </c>
      <c r="O705" s="320"/>
      <c r="P705" s="320"/>
      <c r="Q705" s="320"/>
      <c r="R705" s="320"/>
      <c r="S705" s="320"/>
      <c r="T705" s="320"/>
      <c r="U705" s="320"/>
      <c r="V705" s="320"/>
      <c r="W705" s="320"/>
      <c r="X705" s="320"/>
      <c r="Y705" s="431">
        <f>Y704</f>
        <v>0</v>
      </c>
      <c r="Z705" s="431">
        <f t="shared" ref="Z705" si="2089">Z704</f>
        <v>0</v>
      </c>
      <c r="AA705" s="431">
        <f t="shared" ref="AA705" si="2090">AA704</f>
        <v>0</v>
      </c>
      <c r="AB705" s="431">
        <f t="shared" ref="AB705" si="2091">AB704</f>
        <v>0</v>
      </c>
      <c r="AC705" s="431">
        <f t="shared" ref="AC705" si="2092">AC704</f>
        <v>0</v>
      </c>
      <c r="AD705" s="431">
        <f t="shared" ref="AD705" si="2093">AD704</f>
        <v>0</v>
      </c>
      <c r="AE705" s="431">
        <f t="shared" ref="AE705" si="2094">AE704</f>
        <v>0</v>
      </c>
      <c r="AF705" s="431">
        <f t="shared" ref="AF705" si="2095">AF704</f>
        <v>0</v>
      </c>
      <c r="AG705" s="431">
        <f t="shared" ref="AG705" si="2096">AG704</f>
        <v>0</v>
      </c>
      <c r="AH705" s="431">
        <f t="shared" ref="AH705" si="2097">AH704</f>
        <v>0</v>
      </c>
      <c r="AI705" s="431">
        <f t="shared" ref="AI705" si="2098">AI704</f>
        <v>0</v>
      </c>
      <c r="AJ705" s="431">
        <f t="shared" ref="AJ705" si="2099">AJ704</f>
        <v>0</v>
      </c>
      <c r="AK705" s="431">
        <f t="shared" ref="AK705" si="2100">AK704</f>
        <v>0</v>
      </c>
      <c r="AL705" s="431">
        <f t="shared" ref="AL705" si="2101">AL704</f>
        <v>0</v>
      </c>
      <c r="AM705" s="331"/>
    </row>
    <row r="706" spans="1:39" ht="15" hidden="1" outlineLevel="1">
      <c r="A706" s="560"/>
      <c r="B706" s="448"/>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432"/>
      <c r="Z706" s="445"/>
      <c r="AA706" s="445"/>
      <c r="AB706" s="445"/>
      <c r="AC706" s="445"/>
      <c r="AD706" s="445"/>
      <c r="AE706" s="445"/>
      <c r="AF706" s="445"/>
      <c r="AG706" s="445"/>
      <c r="AH706" s="445"/>
      <c r="AI706" s="445"/>
      <c r="AJ706" s="445"/>
      <c r="AK706" s="445"/>
      <c r="AL706" s="445"/>
      <c r="AM706" s="331"/>
    </row>
    <row r="707" spans="1:39" ht="15" hidden="1" outlineLevel="1">
      <c r="A707" s="560">
        <v>35</v>
      </c>
      <c r="B707" s="448" t="s">
        <v>128</v>
      </c>
      <c r="C707" s="316" t="s">
        <v>25</v>
      </c>
      <c r="D707" s="320"/>
      <c r="E707" s="320"/>
      <c r="F707" s="320"/>
      <c r="G707" s="320"/>
      <c r="H707" s="320"/>
      <c r="I707" s="320"/>
      <c r="J707" s="320"/>
      <c r="K707" s="320"/>
      <c r="L707" s="320"/>
      <c r="M707" s="320"/>
      <c r="N707" s="320">
        <v>0</v>
      </c>
      <c r="O707" s="320"/>
      <c r="P707" s="320"/>
      <c r="Q707" s="320"/>
      <c r="R707" s="320"/>
      <c r="S707" s="320"/>
      <c r="T707" s="320"/>
      <c r="U707" s="320"/>
      <c r="V707" s="320"/>
      <c r="W707" s="320"/>
      <c r="X707" s="320"/>
      <c r="Y707" s="446"/>
      <c r="Z707" s="430"/>
      <c r="AA707" s="430"/>
      <c r="AB707" s="430"/>
      <c r="AC707" s="430"/>
      <c r="AD707" s="430"/>
      <c r="AE707" s="430"/>
      <c r="AF707" s="435"/>
      <c r="AG707" s="435"/>
      <c r="AH707" s="435"/>
      <c r="AI707" s="435"/>
      <c r="AJ707" s="435"/>
      <c r="AK707" s="435"/>
      <c r="AL707" s="435"/>
      <c r="AM707" s="321">
        <f>SUM(Y707:AL707)</f>
        <v>0</v>
      </c>
    </row>
    <row r="708" spans="1:39" ht="15" hidden="1" outlineLevel="1">
      <c r="A708" s="560"/>
      <c r="B708" s="319" t="s">
        <v>313</v>
      </c>
      <c r="C708" s="316" t="s">
        <v>164</v>
      </c>
      <c r="D708" s="320"/>
      <c r="E708" s="320"/>
      <c r="F708" s="320"/>
      <c r="G708" s="320"/>
      <c r="H708" s="320"/>
      <c r="I708" s="320"/>
      <c r="J708" s="320"/>
      <c r="K708" s="320"/>
      <c r="L708" s="320"/>
      <c r="M708" s="320"/>
      <c r="N708" s="320">
        <f>N707</f>
        <v>0</v>
      </c>
      <c r="O708" s="320"/>
      <c r="P708" s="320"/>
      <c r="Q708" s="320"/>
      <c r="R708" s="320"/>
      <c r="S708" s="320"/>
      <c r="T708" s="320"/>
      <c r="U708" s="320"/>
      <c r="V708" s="320"/>
      <c r="W708" s="320"/>
      <c r="X708" s="320"/>
      <c r="Y708" s="431">
        <f>Y707</f>
        <v>0</v>
      </c>
      <c r="Z708" s="431">
        <f t="shared" ref="Z708" si="2102">Z707</f>
        <v>0</v>
      </c>
      <c r="AA708" s="431">
        <f t="shared" ref="AA708" si="2103">AA707</f>
        <v>0</v>
      </c>
      <c r="AB708" s="431">
        <f t="shared" ref="AB708" si="2104">AB707</f>
        <v>0</v>
      </c>
      <c r="AC708" s="431">
        <f t="shared" ref="AC708" si="2105">AC707</f>
        <v>0</v>
      </c>
      <c r="AD708" s="431">
        <f t="shared" ref="AD708" si="2106">AD707</f>
        <v>0</v>
      </c>
      <c r="AE708" s="431">
        <f t="shared" ref="AE708" si="2107">AE707</f>
        <v>0</v>
      </c>
      <c r="AF708" s="431">
        <f t="shared" ref="AF708" si="2108">AF707</f>
        <v>0</v>
      </c>
      <c r="AG708" s="431">
        <f t="shared" ref="AG708" si="2109">AG707</f>
        <v>0</v>
      </c>
      <c r="AH708" s="431">
        <f t="shared" ref="AH708" si="2110">AH707</f>
        <v>0</v>
      </c>
      <c r="AI708" s="431">
        <f t="shared" ref="AI708" si="2111">AI707</f>
        <v>0</v>
      </c>
      <c r="AJ708" s="431">
        <f t="shared" ref="AJ708" si="2112">AJ707</f>
        <v>0</v>
      </c>
      <c r="AK708" s="431">
        <f t="shared" ref="AK708" si="2113">AK707</f>
        <v>0</v>
      </c>
      <c r="AL708" s="431">
        <f t="shared" ref="AL708" si="2114">AL707</f>
        <v>0</v>
      </c>
      <c r="AM708" s="331"/>
    </row>
    <row r="709" spans="1:39" ht="15" hidden="1" outlineLevel="1">
      <c r="A709" s="560"/>
      <c r="B709" s="451"/>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432"/>
      <c r="Z709" s="445"/>
      <c r="AA709" s="445"/>
      <c r="AB709" s="445"/>
      <c r="AC709" s="445"/>
      <c r="AD709" s="445"/>
      <c r="AE709" s="445"/>
      <c r="AF709" s="445"/>
      <c r="AG709" s="445"/>
      <c r="AH709" s="445"/>
      <c r="AI709" s="445"/>
      <c r="AJ709" s="445"/>
      <c r="AK709" s="445"/>
      <c r="AL709" s="445"/>
      <c r="AM709" s="331"/>
    </row>
    <row r="710" spans="1:39" ht="15.6" hidden="1" outlineLevel="1">
      <c r="A710" s="560"/>
      <c r="B710" s="313" t="s">
        <v>516</v>
      </c>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45" hidden="1" outlineLevel="1">
      <c r="A711" s="560">
        <v>36</v>
      </c>
      <c r="B711" s="448" t="s">
        <v>129</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t="15"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15">Z711</f>
        <v>0</v>
      </c>
      <c r="AA712" s="431">
        <f t="shared" ref="AA712" si="2116">AA711</f>
        <v>0</v>
      </c>
      <c r="AB712" s="431">
        <f t="shared" ref="AB712" si="2117">AB711</f>
        <v>0</v>
      </c>
      <c r="AC712" s="431">
        <f t="shared" ref="AC712" si="2118">AC711</f>
        <v>0</v>
      </c>
      <c r="AD712" s="431">
        <f t="shared" ref="AD712" si="2119">AD711</f>
        <v>0</v>
      </c>
      <c r="AE712" s="431">
        <f t="shared" ref="AE712" si="2120">AE711</f>
        <v>0</v>
      </c>
      <c r="AF712" s="431">
        <f t="shared" ref="AF712" si="2121">AF711</f>
        <v>0</v>
      </c>
      <c r="AG712" s="431">
        <f t="shared" ref="AG712" si="2122">AG711</f>
        <v>0</v>
      </c>
      <c r="AH712" s="431">
        <f t="shared" ref="AH712" si="2123">AH711</f>
        <v>0</v>
      </c>
      <c r="AI712" s="431">
        <f t="shared" ref="AI712" si="2124">AI711</f>
        <v>0</v>
      </c>
      <c r="AJ712" s="431">
        <f t="shared" ref="AJ712" si="2125">AJ711</f>
        <v>0</v>
      </c>
      <c r="AK712" s="431">
        <f t="shared" ref="AK712" si="2126">AK711</f>
        <v>0</v>
      </c>
      <c r="AL712" s="431">
        <f t="shared" ref="AL712" si="2127">AL711</f>
        <v>0</v>
      </c>
      <c r="AM712" s="331"/>
    </row>
    <row r="713" spans="1:39" ht="15"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37</v>
      </c>
      <c r="B714" s="448" t="s">
        <v>130</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t="15"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28">Z714</f>
        <v>0</v>
      </c>
      <c r="AA715" s="431">
        <f t="shared" ref="AA715" si="2129">AA714</f>
        <v>0</v>
      </c>
      <c r="AB715" s="431">
        <f t="shared" ref="AB715" si="2130">AB714</f>
        <v>0</v>
      </c>
      <c r="AC715" s="431">
        <f t="shared" ref="AC715" si="2131">AC714</f>
        <v>0</v>
      </c>
      <c r="AD715" s="431">
        <f t="shared" ref="AD715" si="2132">AD714</f>
        <v>0</v>
      </c>
      <c r="AE715" s="431">
        <f t="shared" ref="AE715" si="2133">AE714</f>
        <v>0</v>
      </c>
      <c r="AF715" s="431">
        <f t="shared" ref="AF715" si="2134">AF714</f>
        <v>0</v>
      </c>
      <c r="AG715" s="431">
        <f t="shared" ref="AG715" si="2135">AG714</f>
        <v>0</v>
      </c>
      <c r="AH715" s="431">
        <f t="shared" ref="AH715" si="2136">AH714</f>
        <v>0</v>
      </c>
      <c r="AI715" s="431">
        <f t="shared" ref="AI715" si="2137">AI714</f>
        <v>0</v>
      </c>
      <c r="AJ715" s="431">
        <f t="shared" ref="AJ715" si="2138">AJ714</f>
        <v>0</v>
      </c>
      <c r="AK715" s="431">
        <f t="shared" ref="AK715" si="2139">AK714</f>
        <v>0</v>
      </c>
      <c r="AL715" s="431">
        <f t="shared" ref="AL715" si="2140">AL714</f>
        <v>0</v>
      </c>
      <c r="AM715" s="331"/>
    </row>
    <row r="716" spans="1:39" ht="15"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t="15" hidden="1" outlineLevel="1">
      <c r="A717" s="560">
        <v>38</v>
      </c>
      <c r="B717" s="448" t="s">
        <v>131</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t="15"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41">Z717</f>
        <v>0</v>
      </c>
      <c r="AA718" s="431">
        <f t="shared" ref="AA718" si="2142">AA717</f>
        <v>0</v>
      </c>
      <c r="AB718" s="431">
        <f t="shared" ref="AB718" si="2143">AB717</f>
        <v>0</v>
      </c>
      <c r="AC718" s="431">
        <f t="shared" ref="AC718" si="2144">AC717</f>
        <v>0</v>
      </c>
      <c r="AD718" s="431">
        <f t="shared" ref="AD718" si="2145">AD717</f>
        <v>0</v>
      </c>
      <c r="AE718" s="431">
        <f t="shared" ref="AE718" si="2146">AE717</f>
        <v>0</v>
      </c>
      <c r="AF718" s="431">
        <f t="shared" ref="AF718" si="2147">AF717</f>
        <v>0</v>
      </c>
      <c r="AG718" s="431">
        <f t="shared" ref="AG718" si="2148">AG717</f>
        <v>0</v>
      </c>
      <c r="AH718" s="431">
        <f t="shared" ref="AH718" si="2149">AH717</f>
        <v>0</v>
      </c>
      <c r="AI718" s="431">
        <f t="shared" ref="AI718" si="2150">AI717</f>
        <v>0</v>
      </c>
      <c r="AJ718" s="431">
        <f t="shared" ref="AJ718" si="2151">AJ717</f>
        <v>0</v>
      </c>
      <c r="AK718" s="431">
        <f t="shared" ref="AK718" si="2152">AK717</f>
        <v>0</v>
      </c>
      <c r="AL718" s="431">
        <f t="shared" ref="AL718" si="2153">AL717</f>
        <v>0</v>
      </c>
      <c r="AM718" s="331"/>
    </row>
    <row r="719" spans="1:39" ht="15"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30" hidden="1" outlineLevel="1">
      <c r="A720" s="560">
        <v>39</v>
      </c>
      <c r="B720" s="448" t="s">
        <v>132</v>
      </c>
      <c r="C720" s="316" t="s">
        <v>25</v>
      </c>
      <c r="D720" s="320"/>
      <c r="E720" s="320"/>
      <c r="F720" s="320"/>
      <c r="G720" s="320"/>
      <c r="H720" s="320"/>
      <c r="I720" s="320"/>
      <c r="J720" s="320"/>
      <c r="K720" s="320"/>
      <c r="L720" s="320"/>
      <c r="M720" s="320"/>
      <c r="N720" s="320">
        <v>0</v>
      </c>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t="15" hidden="1" outlineLevel="1">
      <c r="A721" s="560"/>
      <c r="B721" s="319" t="s">
        <v>313</v>
      </c>
      <c r="C721" s="316" t="s">
        <v>164</v>
      </c>
      <c r="D721" s="320"/>
      <c r="E721" s="320"/>
      <c r="F721" s="320"/>
      <c r="G721" s="320"/>
      <c r="H721" s="320"/>
      <c r="I721" s="320"/>
      <c r="J721" s="320"/>
      <c r="K721" s="320"/>
      <c r="L721" s="320"/>
      <c r="M721" s="320"/>
      <c r="N721" s="320">
        <f>N720</f>
        <v>0</v>
      </c>
      <c r="O721" s="320"/>
      <c r="P721" s="320"/>
      <c r="Q721" s="320"/>
      <c r="R721" s="320"/>
      <c r="S721" s="320"/>
      <c r="T721" s="320"/>
      <c r="U721" s="320"/>
      <c r="V721" s="320"/>
      <c r="W721" s="320"/>
      <c r="X721" s="320"/>
      <c r="Y721" s="431">
        <f>Y720</f>
        <v>0</v>
      </c>
      <c r="Z721" s="431">
        <f t="shared" ref="Z721" si="2154">Z720</f>
        <v>0</v>
      </c>
      <c r="AA721" s="431">
        <f t="shared" ref="AA721" si="2155">AA720</f>
        <v>0</v>
      </c>
      <c r="AB721" s="431">
        <f t="shared" ref="AB721" si="2156">AB720</f>
        <v>0</v>
      </c>
      <c r="AC721" s="431">
        <f t="shared" ref="AC721" si="2157">AC720</f>
        <v>0</v>
      </c>
      <c r="AD721" s="431">
        <f t="shared" ref="AD721" si="2158">AD720</f>
        <v>0</v>
      </c>
      <c r="AE721" s="431">
        <f t="shared" ref="AE721" si="2159">AE720</f>
        <v>0</v>
      </c>
      <c r="AF721" s="431">
        <f t="shared" ref="AF721" si="2160">AF720</f>
        <v>0</v>
      </c>
      <c r="AG721" s="431">
        <f t="shared" ref="AG721" si="2161">AG720</f>
        <v>0</v>
      </c>
      <c r="AH721" s="431">
        <f t="shared" ref="AH721" si="2162">AH720</f>
        <v>0</v>
      </c>
      <c r="AI721" s="431">
        <f t="shared" ref="AI721" si="2163">AI720</f>
        <v>0</v>
      </c>
      <c r="AJ721" s="431">
        <f t="shared" ref="AJ721" si="2164">AJ720</f>
        <v>0</v>
      </c>
      <c r="AK721" s="431">
        <f t="shared" ref="AK721" si="2165">AK720</f>
        <v>0</v>
      </c>
      <c r="AL721" s="431">
        <f t="shared" ref="AL721" si="2166">AL720</f>
        <v>0</v>
      </c>
      <c r="AM721" s="331"/>
    </row>
    <row r="722" spans="1:39" ht="15"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30" hidden="1" outlineLevel="1">
      <c r="A723" s="560">
        <v>40</v>
      </c>
      <c r="B723" s="448" t="s">
        <v>133</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t="15"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167">Z723</f>
        <v>0</v>
      </c>
      <c r="AA724" s="431">
        <f t="shared" ref="AA724" si="2168">AA723</f>
        <v>0</v>
      </c>
      <c r="AB724" s="431">
        <f t="shared" ref="AB724" si="2169">AB723</f>
        <v>0</v>
      </c>
      <c r="AC724" s="431">
        <f t="shared" ref="AC724" si="2170">AC723</f>
        <v>0</v>
      </c>
      <c r="AD724" s="431">
        <f t="shared" ref="AD724" si="2171">AD723</f>
        <v>0</v>
      </c>
      <c r="AE724" s="431">
        <f t="shared" ref="AE724" si="2172">AE723</f>
        <v>0</v>
      </c>
      <c r="AF724" s="431">
        <f t="shared" ref="AF724" si="2173">AF723</f>
        <v>0</v>
      </c>
      <c r="AG724" s="431">
        <f t="shared" ref="AG724" si="2174">AG723</f>
        <v>0</v>
      </c>
      <c r="AH724" s="431">
        <f t="shared" ref="AH724" si="2175">AH723</f>
        <v>0</v>
      </c>
      <c r="AI724" s="431">
        <f t="shared" ref="AI724" si="2176">AI723</f>
        <v>0</v>
      </c>
      <c r="AJ724" s="431">
        <f t="shared" ref="AJ724" si="2177">AJ723</f>
        <v>0</v>
      </c>
      <c r="AK724" s="431">
        <f t="shared" ref="AK724" si="2178">AK723</f>
        <v>0</v>
      </c>
      <c r="AL724" s="431">
        <f t="shared" ref="AL724" si="2179">AL723</f>
        <v>0</v>
      </c>
      <c r="AM724" s="331"/>
    </row>
    <row r="725" spans="1:39" ht="15"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41</v>
      </c>
      <c r="B726" s="448" t="s">
        <v>134</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t="15"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180">Z726</f>
        <v>0</v>
      </c>
      <c r="AA727" s="431">
        <f t="shared" ref="AA727" si="2181">AA726</f>
        <v>0</v>
      </c>
      <c r="AB727" s="431">
        <f t="shared" ref="AB727" si="2182">AB726</f>
        <v>0</v>
      </c>
      <c r="AC727" s="431">
        <f t="shared" ref="AC727" si="2183">AC726</f>
        <v>0</v>
      </c>
      <c r="AD727" s="431">
        <f t="shared" ref="AD727" si="2184">AD726</f>
        <v>0</v>
      </c>
      <c r="AE727" s="431">
        <f t="shared" ref="AE727" si="2185">AE726</f>
        <v>0</v>
      </c>
      <c r="AF727" s="431">
        <f t="shared" ref="AF727" si="2186">AF726</f>
        <v>0</v>
      </c>
      <c r="AG727" s="431">
        <f t="shared" ref="AG727" si="2187">AG726</f>
        <v>0</v>
      </c>
      <c r="AH727" s="431">
        <f t="shared" ref="AH727" si="2188">AH726</f>
        <v>0</v>
      </c>
      <c r="AI727" s="431">
        <f t="shared" ref="AI727" si="2189">AI726</f>
        <v>0</v>
      </c>
      <c r="AJ727" s="431">
        <f t="shared" ref="AJ727" si="2190">AJ726</f>
        <v>0</v>
      </c>
      <c r="AK727" s="431">
        <f t="shared" ref="AK727" si="2191">AK726</f>
        <v>0</v>
      </c>
      <c r="AL727" s="431">
        <f t="shared" ref="AL727" si="2192">AL726</f>
        <v>0</v>
      </c>
      <c r="AM727" s="331"/>
    </row>
    <row r="728" spans="1:39" ht="15"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30" hidden="1" outlineLevel="1">
      <c r="A729" s="560">
        <v>42</v>
      </c>
      <c r="B729" s="448" t="s">
        <v>135</v>
      </c>
      <c r="C729" s="316" t="s">
        <v>25</v>
      </c>
      <c r="D729" s="320"/>
      <c r="E729" s="320"/>
      <c r="F729" s="320"/>
      <c r="G729" s="320"/>
      <c r="H729" s="320"/>
      <c r="I729" s="320"/>
      <c r="J729" s="320"/>
      <c r="K729" s="320"/>
      <c r="L729" s="320"/>
      <c r="M729" s="320"/>
      <c r="N729" s="316"/>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t="15" hidden="1" outlineLevel="1">
      <c r="A730" s="560"/>
      <c r="B730" s="319" t="s">
        <v>313</v>
      </c>
      <c r="C730" s="316" t="s">
        <v>164</v>
      </c>
      <c r="D730" s="320"/>
      <c r="E730" s="320"/>
      <c r="F730" s="320"/>
      <c r="G730" s="320"/>
      <c r="H730" s="320"/>
      <c r="I730" s="320"/>
      <c r="J730" s="320"/>
      <c r="K730" s="320"/>
      <c r="L730" s="320"/>
      <c r="M730" s="320"/>
      <c r="N730" s="488"/>
      <c r="O730" s="320"/>
      <c r="P730" s="320"/>
      <c r="Q730" s="320"/>
      <c r="R730" s="320"/>
      <c r="S730" s="320"/>
      <c r="T730" s="320"/>
      <c r="U730" s="320"/>
      <c r="V730" s="320"/>
      <c r="W730" s="320"/>
      <c r="X730" s="320"/>
      <c r="Y730" s="431">
        <f>Y729</f>
        <v>0</v>
      </c>
      <c r="Z730" s="431">
        <f t="shared" ref="Z730" si="2193">Z729</f>
        <v>0</v>
      </c>
      <c r="AA730" s="431">
        <f t="shared" ref="AA730" si="2194">AA729</f>
        <v>0</v>
      </c>
      <c r="AB730" s="431">
        <f t="shared" ref="AB730" si="2195">AB729</f>
        <v>0</v>
      </c>
      <c r="AC730" s="431">
        <f t="shared" ref="AC730" si="2196">AC729</f>
        <v>0</v>
      </c>
      <c r="AD730" s="431">
        <f t="shared" ref="AD730" si="2197">AD729</f>
        <v>0</v>
      </c>
      <c r="AE730" s="431">
        <f t="shared" ref="AE730" si="2198">AE729</f>
        <v>0</v>
      </c>
      <c r="AF730" s="431">
        <f t="shared" ref="AF730" si="2199">AF729</f>
        <v>0</v>
      </c>
      <c r="AG730" s="431">
        <f t="shared" ref="AG730" si="2200">AG729</f>
        <v>0</v>
      </c>
      <c r="AH730" s="431">
        <f t="shared" ref="AH730" si="2201">AH729</f>
        <v>0</v>
      </c>
      <c r="AI730" s="431">
        <f t="shared" ref="AI730" si="2202">AI729</f>
        <v>0</v>
      </c>
      <c r="AJ730" s="431">
        <f t="shared" ref="AJ730" si="2203">AJ729</f>
        <v>0</v>
      </c>
      <c r="AK730" s="431">
        <f t="shared" ref="AK730" si="2204">AK729</f>
        <v>0</v>
      </c>
      <c r="AL730" s="431">
        <f t="shared" ref="AL730" si="2205">AL729</f>
        <v>0</v>
      </c>
      <c r="AM730" s="331"/>
    </row>
    <row r="731" spans="1:39" ht="15"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15" hidden="1" outlineLevel="1">
      <c r="A732" s="560">
        <v>43</v>
      </c>
      <c r="B732" s="448" t="s">
        <v>136</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t="15"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06">Z732</f>
        <v>0</v>
      </c>
      <c r="AA733" s="431">
        <f t="shared" ref="AA733" si="2207">AA732</f>
        <v>0</v>
      </c>
      <c r="AB733" s="431">
        <f t="shared" ref="AB733" si="2208">AB732</f>
        <v>0</v>
      </c>
      <c r="AC733" s="431">
        <f t="shared" ref="AC733" si="2209">AC732</f>
        <v>0</v>
      </c>
      <c r="AD733" s="431">
        <f t="shared" ref="AD733" si="2210">AD732</f>
        <v>0</v>
      </c>
      <c r="AE733" s="431">
        <f t="shared" ref="AE733" si="2211">AE732</f>
        <v>0</v>
      </c>
      <c r="AF733" s="431">
        <f t="shared" ref="AF733" si="2212">AF732</f>
        <v>0</v>
      </c>
      <c r="AG733" s="431">
        <f t="shared" ref="AG733" si="2213">AG732</f>
        <v>0</v>
      </c>
      <c r="AH733" s="431">
        <f t="shared" ref="AH733" si="2214">AH732</f>
        <v>0</v>
      </c>
      <c r="AI733" s="431">
        <f t="shared" ref="AI733" si="2215">AI732</f>
        <v>0</v>
      </c>
      <c r="AJ733" s="431">
        <f t="shared" ref="AJ733" si="2216">AJ732</f>
        <v>0</v>
      </c>
      <c r="AK733" s="431">
        <f t="shared" ref="AK733" si="2217">AK732</f>
        <v>0</v>
      </c>
      <c r="AL733" s="431">
        <f t="shared" ref="AL733" si="2218">AL732</f>
        <v>0</v>
      </c>
      <c r="AM733" s="331"/>
    </row>
    <row r="734" spans="1:39" ht="15"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45" hidden="1" outlineLevel="1">
      <c r="A735" s="560">
        <v>44</v>
      </c>
      <c r="B735" s="448" t="s">
        <v>137</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t="15"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19">Z735</f>
        <v>0</v>
      </c>
      <c r="AA736" s="431">
        <f t="shared" ref="AA736" si="2220">AA735</f>
        <v>0</v>
      </c>
      <c r="AB736" s="431">
        <f t="shared" ref="AB736" si="2221">AB735</f>
        <v>0</v>
      </c>
      <c r="AC736" s="431">
        <f t="shared" ref="AC736" si="2222">AC735</f>
        <v>0</v>
      </c>
      <c r="AD736" s="431">
        <f t="shared" ref="AD736" si="2223">AD735</f>
        <v>0</v>
      </c>
      <c r="AE736" s="431">
        <f t="shared" ref="AE736" si="2224">AE735</f>
        <v>0</v>
      </c>
      <c r="AF736" s="431">
        <f t="shared" ref="AF736" si="2225">AF735</f>
        <v>0</v>
      </c>
      <c r="AG736" s="431">
        <f t="shared" ref="AG736" si="2226">AG735</f>
        <v>0</v>
      </c>
      <c r="AH736" s="431">
        <f t="shared" ref="AH736" si="2227">AH735</f>
        <v>0</v>
      </c>
      <c r="AI736" s="431">
        <f t="shared" ref="AI736" si="2228">AI735</f>
        <v>0</v>
      </c>
      <c r="AJ736" s="431">
        <f t="shared" ref="AJ736" si="2229">AJ735</f>
        <v>0</v>
      </c>
      <c r="AK736" s="431">
        <f t="shared" ref="AK736" si="2230">AK735</f>
        <v>0</v>
      </c>
      <c r="AL736" s="431">
        <f t="shared" ref="AL736" si="2231">AL735</f>
        <v>0</v>
      </c>
      <c r="AM736" s="331"/>
    </row>
    <row r="737" spans="1:39" ht="15"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39" ht="30" hidden="1" outlineLevel="1">
      <c r="A738" s="560">
        <v>45</v>
      </c>
      <c r="B738" s="448" t="s">
        <v>138</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39" ht="15"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32">Z738</f>
        <v>0</v>
      </c>
      <c r="AA739" s="431">
        <f t="shared" ref="AA739" si="2233">AA738</f>
        <v>0</v>
      </c>
      <c r="AB739" s="431">
        <f t="shared" ref="AB739" si="2234">AB738</f>
        <v>0</v>
      </c>
      <c r="AC739" s="431">
        <f t="shared" ref="AC739" si="2235">AC738</f>
        <v>0</v>
      </c>
      <c r="AD739" s="431">
        <f t="shared" ref="AD739" si="2236">AD738</f>
        <v>0</v>
      </c>
      <c r="AE739" s="431">
        <f t="shared" ref="AE739" si="2237">AE738</f>
        <v>0</v>
      </c>
      <c r="AF739" s="431">
        <f t="shared" ref="AF739" si="2238">AF738</f>
        <v>0</v>
      </c>
      <c r="AG739" s="431">
        <f t="shared" ref="AG739" si="2239">AG738</f>
        <v>0</v>
      </c>
      <c r="AH739" s="431">
        <f t="shared" ref="AH739" si="2240">AH738</f>
        <v>0</v>
      </c>
      <c r="AI739" s="431">
        <f t="shared" ref="AI739" si="2241">AI738</f>
        <v>0</v>
      </c>
      <c r="AJ739" s="431">
        <f t="shared" ref="AJ739" si="2242">AJ738</f>
        <v>0</v>
      </c>
      <c r="AK739" s="431">
        <f t="shared" ref="AK739" si="2243">AK738</f>
        <v>0</v>
      </c>
      <c r="AL739" s="431">
        <f t="shared" ref="AL739" si="2244">AL738</f>
        <v>0</v>
      </c>
      <c r="AM739" s="331"/>
    </row>
    <row r="740" spans="1:39" ht="15"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39" ht="30" hidden="1" outlineLevel="1">
      <c r="A741" s="560">
        <v>46</v>
      </c>
      <c r="B741" s="448" t="s">
        <v>139</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39" ht="15"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45">Z741</f>
        <v>0</v>
      </c>
      <c r="AA742" s="431">
        <f t="shared" ref="AA742" si="2246">AA741</f>
        <v>0</v>
      </c>
      <c r="AB742" s="431">
        <f t="shared" ref="AB742" si="2247">AB741</f>
        <v>0</v>
      </c>
      <c r="AC742" s="431">
        <f t="shared" ref="AC742" si="2248">AC741</f>
        <v>0</v>
      </c>
      <c r="AD742" s="431">
        <f t="shared" ref="AD742" si="2249">AD741</f>
        <v>0</v>
      </c>
      <c r="AE742" s="431">
        <f t="shared" ref="AE742" si="2250">AE741</f>
        <v>0</v>
      </c>
      <c r="AF742" s="431">
        <f t="shared" ref="AF742" si="2251">AF741</f>
        <v>0</v>
      </c>
      <c r="AG742" s="431">
        <f t="shared" ref="AG742" si="2252">AG741</f>
        <v>0</v>
      </c>
      <c r="AH742" s="431">
        <f t="shared" ref="AH742" si="2253">AH741</f>
        <v>0</v>
      </c>
      <c r="AI742" s="431">
        <f t="shared" ref="AI742" si="2254">AI741</f>
        <v>0</v>
      </c>
      <c r="AJ742" s="431">
        <f t="shared" ref="AJ742" si="2255">AJ741</f>
        <v>0</v>
      </c>
      <c r="AK742" s="431">
        <f t="shared" ref="AK742" si="2256">AK741</f>
        <v>0</v>
      </c>
      <c r="AL742" s="431">
        <f t="shared" ref="AL742" si="2257">AL741</f>
        <v>0</v>
      </c>
      <c r="AM742" s="331"/>
    </row>
    <row r="743" spans="1:39" ht="15" hidden="1" outlineLevel="1">
      <c r="A743" s="560"/>
      <c r="B743" s="448"/>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45"/>
      <c r="AA743" s="445"/>
      <c r="AB743" s="445"/>
      <c r="AC743" s="445"/>
      <c r="AD743" s="445"/>
      <c r="AE743" s="445"/>
      <c r="AF743" s="445"/>
      <c r="AG743" s="445"/>
      <c r="AH743" s="445"/>
      <c r="AI743" s="445"/>
      <c r="AJ743" s="445"/>
      <c r="AK743" s="445"/>
      <c r="AL743" s="445"/>
      <c r="AM743" s="331"/>
    </row>
    <row r="744" spans="1:39" ht="30" hidden="1" outlineLevel="1">
      <c r="A744" s="560">
        <v>47</v>
      </c>
      <c r="B744" s="448" t="s">
        <v>140</v>
      </c>
      <c r="C744" s="316" t="s">
        <v>25</v>
      </c>
      <c r="D744" s="320"/>
      <c r="E744" s="320"/>
      <c r="F744" s="320"/>
      <c r="G744" s="320"/>
      <c r="H744" s="320"/>
      <c r="I744" s="320"/>
      <c r="J744" s="320"/>
      <c r="K744" s="320"/>
      <c r="L744" s="320"/>
      <c r="M744" s="320"/>
      <c r="N744" s="320">
        <v>0</v>
      </c>
      <c r="O744" s="320"/>
      <c r="P744" s="320"/>
      <c r="Q744" s="320"/>
      <c r="R744" s="320"/>
      <c r="S744" s="320"/>
      <c r="T744" s="320"/>
      <c r="U744" s="320"/>
      <c r="V744" s="320"/>
      <c r="W744" s="320"/>
      <c r="X744" s="320"/>
      <c r="Y744" s="446"/>
      <c r="Z744" s="430"/>
      <c r="AA744" s="430"/>
      <c r="AB744" s="430"/>
      <c r="AC744" s="430"/>
      <c r="AD744" s="430"/>
      <c r="AE744" s="430"/>
      <c r="AF744" s="435"/>
      <c r="AG744" s="435"/>
      <c r="AH744" s="435"/>
      <c r="AI744" s="435"/>
      <c r="AJ744" s="435"/>
      <c r="AK744" s="435"/>
      <c r="AL744" s="435"/>
      <c r="AM744" s="321">
        <f>SUM(Y744:AL744)</f>
        <v>0</v>
      </c>
    </row>
    <row r="745" spans="1:39" ht="15" hidden="1" outlineLevel="1">
      <c r="A745" s="560"/>
      <c r="B745" s="319" t="s">
        <v>313</v>
      </c>
      <c r="C745" s="316" t="s">
        <v>164</v>
      </c>
      <c r="D745" s="320"/>
      <c r="E745" s="320"/>
      <c r="F745" s="320"/>
      <c r="G745" s="320"/>
      <c r="H745" s="320"/>
      <c r="I745" s="320"/>
      <c r="J745" s="320"/>
      <c r="K745" s="320"/>
      <c r="L745" s="320"/>
      <c r="M745" s="320"/>
      <c r="N745" s="320">
        <f>N744</f>
        <v>0</v>
      </c>
      <c r="O745" s="320"/>
      <c r="P745" s="320"/>
      <c r="Q745" s="320"/>
      <c r="R745" s="320"/>
      <c r="S745" s="320"/>
      <c r="T745" s="320"/>
      <c r="U745" s="320"/>
      <c r="V745" s="320"/>
      <c r="W745" s="320"/>
      <c r="X745" s="320"/>
      <c r="Y745" s="431">
        <f>Y744</f>
        <v>0</v>
      </c>
      <c r="Z745" s="431">
        <f t="shared" ref="Z745" si="2258">Z744</f>
        <v>0</v>
      </c>
      <c r="AA745" s="431">
        <f t="shared" ref="AA745" si="2259">AA744</f>
        <v>0</v>
      </c>
      <c r="AB745" s="431">
        <f t="shared" ref="AB745" si="2260">AB744</f>
        <v>0</v>
      </c>
      <c r="AC745" s="431">
        <f t="shared" ref="AC745" si="2261">AC744</f>
        <v>0</v>
      </c>
      <c r="AD745" s="431">
        <f t="shared" ref="AD745" si="2262">AD744</f>
        <v>0</v>
      </c>
      <c r="AE745" s="431">
        <f t="shared" ref="AE745" si="2263">AE744</f>
        <v>0</v>
      </c>
      <c r="AF745" s="431">
        <f t="shared" ref="AF745" si="2264">AF744</f>
        <v>0</v>
      </c>
      <c r="AG745" s="431">
        <f t="shared" ref="AG745" si="2265">AG744</f>
        <v>0</v>
      </c>
      <c r="AH745" s="431">
        <f t="shared" ref="AH745" si="2266">AH744</f>
        <v>0</v>
      </c>
      <c r="AI745" s="431">
        <f t="shared" ref="AI745" si="2267">AI744</f>
        <v>0</v>
      </c>
      <c r="AJ745" s="431">
        <f t="shared" ref="AJ745" si="2268">AJ744</f>
        <v>0</v>
      </c>
      <c r="AK745" s="431">
        <f t="shared" ref="AK745" si="2269">AK744</f>
        <v>0</v>
      </c>
      <c r="AL745" s="431">
        <f t="shared" ref="AL745" si="2270">AL744</f>
        <v>0</v>
      </c>
      <c r="AM745" s="331"/>
    </row>
    <row r="746" spans="1:39" ht="15" hidden="1" outlineLevel="1">
      <c r="A746" s="560"/>
      <c r="B746" s="448"/>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432"/>
      <c r="Z746" s="445"/>
      <c r="AA746" s="445"/>
      <c r="AB746" s="445"/>
      <c r="AC746" s="445"/>
      <c r="AD746" s="445"/>
      <c r="AE746" s="445"/>
      <c r="AF746" s="445"/>
      <c r="AG746" s="445"/>
      <c r="AH746" s="445"/>
      <c r="AI746" s="445"/>
      <c r="AJ746" s="445"/>
      <c r="AK746" s="445"/>
      <c r="AL746" s="445"/>
      <c r="AM746" s="331"/>
    </row>
    <row r="747" spans="1:39" ht="30" hidden="1" outlineLevel="1">
      <c r="A747" s="560">
        <v>48</v>
      </c>
      <c r="B747" s="448" t="s">
        <v>141</v>
      </c>
      <c r="C747" s="316" t="s">
        <v>25</v>
      </c>
      <c r="D747" s="320"/>
      <c r="E747" s="320"/>
      <c r="F747" s="320"/>
      <c r="G747" s="320"/>
      <c r="H747" s="320"/>
      <c r="I747" s="320"/>
      <c r="J747" s="320"/>
      <c r="K747" s="320"/>
      <c r="L747" s="320"/>
      <c r="M747" s="320"/>
      <c r="N747" s="320">
        <v>0</v>
      </c>
      <c r="O747" s="320"/>
      <c r="P747" s="320"/>
      <c r="Q747" s="320"/>
      <c r="R747" s="320"/>
      <c r="S747" s="320"/>
      <c r="T747" s="320"/>
      <c r="U747" s="320"/>
      <c r="V747" s="320"/>
      <c r="W747" s="320"/>
      <c r="X747" s="320"/>
      <c r="Y747" s="446"/>
      <c r="Z747" s="430"/>
      <c r="AA747" s="430"/>
      <c r="AB747" s="430"/>
      <c r="AC747" s="430"/>
      <c r="AD747" s="430"/>
      <c r="AE747" s="430"/>
      <c r="AF747" s="435"/>
      <c r="AG747" s="435"/>
      <c r="AH747" s="435"/>
      <c r="AI747" s="435"/>
      <c r="AJ747" s="435"/>
      <c r="AK747" s="435"/>
      <c r="AL747" s="435"/>
      <c r="AM747" s="321">
        <f>SUM(Y747:AL747)</f>
        <v>0</v>
      </c>
    </row>
    <row r="748" spans="1:39" ht="15" hidden="1" outlineLevel="1">
      <c r="A748" s="560"/>
      <c r="B748" s="319" t="s">
        <v>313</v>
      </c>
      <c r="C748" s="316" t="s">
        <v>164</v>
      </c>
      <c r="D748" s="320"/>
      <c r="E748" s="320"/>
      <c r="F748" s="320"/>
      <c r="G748" s="320"/>
      <c r="H748" s="320"/>
      <c r="I748" s="320"/>
      <c r="J748" s="320"/>
      <c r="K748" s="320"/>
      <c r="L748" s="320"/>
      <c r="M748" s="320"/>
      <c r="N748" s="320">
        <f>N747</f>
        <v>0</v>
      </c>
      <c r="O748" s="320"/>
      <c r="P748" s="320"/>
      <c r="Q748" s="320"/>
      <c r="R748" s="320"/>
      <c r="S748" s="320"/>
      <c r="T748" s="320"/>
      <c r="U748" s="320"/>
      <c r="V748" s="320"/>
      <c r="W748" s="320"/>
      <c r="X748" s="320"/>
      <c r="Y748" s="431">
        <f>Y747</f>
        <v>0</v>
      </c>
      <c r="Z748" s="431">
        <f t="shared" ref="Z748" si="2271">Z747</f>
        <v>0</v>
      </c>
      <c r="AA748" s="431">
        <f t="shared" ref="AA748" si="2272">AA747</f>
        <v>0</v>
      </c>
      <c r="AB748" s="431">
        <f t="shared" ref="AB748" si="2273">AB747</f>
        <v>0</v>
      </c>
      <c r="AC748" s="431">
        <f t="shared" ref="AC748" si="2274">AC747</f>
        <v>0</v>
      </c>
      <c r="AD748" s="431">
        <f t="shared" ref="AD748" si="2275">AD747</f>
        <v>0</v>
      </c>
      <c r="AE748" s="431">
        <f t="shared" ref="AE748" si="2276">AE747</f>
        <v>0</v>
      </c>
      <c r="AF748" s="431">
        <f t="shared" ref="AF748" si="2277">AF747</f>
        <v>0</v>
      </c>
      <c r="AG748" s="431">
        <f t="shared" ref="AG748" si="2278">AG747</f>
        <v>0</v>
      </c>
      <c r="AH748" s="431">
        <f t="shared" ref="AH748" si="2279">AH747</f>
        <v>0</v>
      </c>
      <c r="AI748" s="431">
        <f t="shared" ref="AI748" si="2280">AI747</f>
        <v>0</v>
      </c>
      <c r="AJ748" s="431">
        <f t="shared" ref="AJ748" si="2281">AJ747</f>
        <v>0</v>
      </c>
      <c r="AK748" s="431">
        <f t="shared" ref="AK748" si="2282">AK747</f>
        <v>0</v>
      </c>
      <c r="AL748" s="431">
        <f t="shared" ref="AL748" si="2283">AL747</f>
        <v>0</v>
      </c>
      <c r="AM748" s="331"/>
    </row>
    <row r="749" spans="1:39" ht="15" hidden="1" outlineLevel="1">
      <c r="A749" s="560"/>
      <c r="B749" s="448"/>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432"/>
      <c r="Z749" s="445"/>
      <c r="AA749" s="445"/>
      <c r="AB749" s="445"/>
      <c r="AC749" s="445"/>
      <c r="AD749" s="445"/>
      <c r="AE749" s="445"/>
      <c r="AF749" s="445"/>
      <c r="AG749" s="445"/>
      <c r="AH749" s="445"/>
      <c r="AI749" s="445"/>
      <c r="AJ749" s="445"/>
      <c r="AK749" s="445"/>
      <c r="AL749" s="445"/>
      <c r="AM749" s="331"/>
    </row>
    <row r="750" spans="1:39" ht="30" hidden="1" outlineLevel="1">
      <c r="A750" s="560">
        <v>49</v>
      </c>
      <c r="B750" s="448" t="s">
        <v>142</v>
      </c>
      <c r="C750" s="316" t="s">
        <v>25</v>
      </c>
      <c r="D750" s="320"/>
      <c r="E750" s="320"/>
      <c r="F750" s="320"/>
      <c r="G750" s="320"/>
      <c r="H750" s="320"/>
      <c r="I750" s="320"/>
      <c r="J750" s="320"/>
      <c r="K750" s="320"/>
      <c r="L750" s="320"/>
      <c r="M750" s="320"/>
      <c r="N750" s="320">
        <v>0</v>
      </c>
      <c r="O750" s="320"/>
      <c r="P750" s="320"/>
      <c r="Q750" s="320"/>
      <c r="R750" s="320"/>
      <c r="S750" s="320"/>
      <c r="T750" s="320"/>
      <c r="U750" s="320"/>
      <c r="V750" s="320"/>
      <c r="W750" s="320"/>
      <c r="X750" s="320"/>
      <c r="Y750" s="446"/>
      <c r="Z750" s="430"/>
      <c r="AA750" s="430"/>
      <c r="AB750" s="430"/>
      <c r="AC750" s="430"/>
      <c r="AD750" s="430"/>
      <c r="AE750" s="430"/>
      <c r="AF750" s="435"/>
      <c r="AG750" s="435"/>
      <c r="AH750" s="435"/>
      <c r="AI750" s="435"/>
      <c r="AJ750" s="435"/>
      <c r="AK750" s="435"/>
      <c r="AL750" s="435"/>
      <c r="AM750" s="321">
        <f>SUM(Y750:AL750)</f>
        <v>0</v>
      </c>
    </row>
    <row r="751" spans="1:39" ht="15" hidden="1" outlineLevel="1">
      <c r="A751" s="560"/>
      <c r="B751" s="319" t="s">
        <v>313</v>
      </c>
      <c r="C751" s="316" t="s">
        <v>164</v>
      </c>
      <c r="D751" s="320"/>
      <c r="E751" s="320"/>
      <c r="F751" s="320"/>
      <c r="G751" s="320"/>
      <c r="H751" s="320"/>
      <c r="I751" s="320"/>
      <c r="J751" s="320"/>
      <c r="K751" s="320"/>
      <c r="L751" s="320"/>
      <c r="M751" s="320"/>
      <c r="N751" s="320">
        <f>N750</f>
        <v>0</v>
      </c>
      <c r="O751" s="320"/>
      <c r="P751" s="320"/>
      <c r="Q751" s="320"/>
      <c r="R751" s="320"/>
      <c r="S751" s="320"/>
      <c r="T751" s="320"/>
      <c r="U751" s="320"/>
      <c r="V751" s="320"/>
      <c r="W751" s="320"/>
      <c r="X751" s="320"/>
      <c r="Y751" s="431">
        <f>Y750</f>
        <v>0</v>
      </c>
      <c r="Z751" s="431">
        <f t="shared" ref="Z751" si="2284">Z750</f>
        <v>0</v>
      </c>
      <c r="AA751" s="431">
        <f t="shared" ref="AA751" si="2285">AA750</f>
        <v>0</v>
      </c>
      <c r="AB751" s="431">
        <f t="shared" ref="AB751" si="2286">AB750</f>
        <v>0</v>
      </c>
      <c r="AC751" s="431">
        <f t="shared" ref="AC751" si="2287">AC750</f>
        <v>0</v>
      </c>
      <c r="AD751" s="431">
        <f t="shared" ref="AD751" si="2288">AD750</f>
        <v>0</v>
      </c>
      <c r="AE751" s="431">
        <f t="shared" ref="AE751" si="2289">AE750</f>
        <v>0</v>
      </c>
      <c r="AF751" s="431">
        <f t="shared" ref="AF751" si="2290">AF750</f>
        <v>0</v>
      </c>
      <c r="AG751" s="431">
        <f t="shared" ref="AG751" si="2291">AG750</f>
        <v>0</v>
      </c>
      <c r="AH751" s="431">
        <f t="shared" ref="AH751" si="2292">AH750</f>
        <v>0</v>
      </c>
      <c r="AI751" s="431">
        <f t="shared" ref="AI751" si="2293">AI750</f>
        <v>0</v>
      </c>
      <c r="AJ751" s="431">
        <f t="shared" ref="AJ751" si="2294">AJ750</f>
        <v>0</v>
      </c>
      <c r="AK751" s="431">
        <f t="shared" ref="AK751" si="2295">AK750</f>
        <v>0</v>
      </c>
      <c r="AL751" s="431">
        <f t="shared" ref="AL751" si="2296">AL750</f>
        <v>0</v>
      </c>
      <c r="AM751" s="331"/>
    </row>
    <row r="752" spans="1:39" ht="15" hidden="1" outlineLevel="1">
      <c r="A752" s="560"/>
      <c r="B752" s="319"/>
      <c r="C752" s="330"/>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432"/>
      <c r="Z752" s="432"/>
      <c r="AA752" s="432"/>
      <c r="AB752" s="432"/>
      <c r="AC752" s="432"/>
      <c r="AD752" s="432"/>
      <c r="AE752" s="432"/>
      <c r="AF752" s="432"/>
      <c r="AG752" s="432"/>
      <c r="AH752" s="432"/>
      <c r="AI752" s="432"/>
      <c r="AJ752" s="432"/>
      <c r="AK752" s="432"/>
      <c r="AL752" s="432"/>
      <c r="AM752" s="331"/>
    </row>
    <row r="753" spans="2:40" ht="15.6" collapsed="1">
      <c r="B753" s="352" t="s">
        <v>314</v>
      </c>
      <c r="C753" s="354"/>
      <c r="D753" s="354">
        <f>SUM(D596:D751)</f>
        <v>0</v>
      </c>
      <c r="E753" s="354"/>
      <c r="F753" s="354"/>
      <c r="G753" s="354"/>
      <c r="H753" s="354"/>
      <c r="I753" s="354"/>
      <c r="J753" s="354"/>
      <c r="K753" s="354"/>
      <c r="L753" s="354"/>
      <c r="M753" s="354"/>
      <c r="N753" s="354"/>
      <c r="O753" s="354">
        <f>SUM(O596:X751)</f>
        <v>0</v>
      </c>
      <c r="P753" s="354"/>
      <c r="Q753" s="354"/>
      <c r="R753" s="354"/>
      <c r="S753" s="354"/>
      <c r="T753" s="354"/>
      <c r="U753" s="354"/>
      <c r="V753" s="354"/>
      <c r="W753" s="354"/>
      <c r="X753" s="354"/>
      <c r="Y753" s="354">
        <f>IF(Y594="kWh",SUMPRODUCT(D596:D751,Y596:Y751))</f>
        <v>0</v>
      </c>
      <c r="Z753" s="354">
        <f>IF(Z594="kWh",SUMPRODUCT(D596:D751,Z596:Z751))</f>
        <v>0</v>
      </c>
      <c r="AA753" s="354">
        <f>IF(AA594="kw",SUMPRODUCT(N596:N751,O596:O751,AA596:AA751),SUMPRODUCT(D596:D751,AA596:AA751))</f>
        <v>0</v>
      </c>
      <c r="AB753" s="354">
        <f>IF(AB594="kw",SUMPRODUCT(N596:N751,O596:O751,AB596:AB751),SUMPRODUCT(D596:D751,AB596:AB751))</f>
        <v>0</v>
      </c>
      <c r="AC753" s="354">
        <f>IF(AC594="kw",SUMPRODUCT(N596:N751,O596:O751,AC596:AC751),SUMPRODUCT(D596:D751,AC596:AC751))</f>
        <v>0</v>
      </c>
      <c r="AD753" s="354">
        <f>IF(AD594="kw",SUMPRODUCT(N596:N751,O596:O751,AD596:AD751),SUMPRODUCT(D596:D751,AD596:AD751))</f>
        <v>0</v>
      </c>
      <c r="AE753" s="354">
        <f>IF(AE594="kw",SUMPRODUCT(N596:N751,O596:O751,AE596:AE751),SUMPRODUCT(D596:D751,AE596:AE751))</f>
        <v>0</v>
      </c>
      <c r="AF753" s="354">
        <f>IF(AF594="kw",SUMPRODUCT(N596:N751,O596:O751,AF596:AF751),SUMPRODUCT(D596:D751,AF596:AF751))</f>
        <v>0</v>
      </c>
      <c r="AG753" s="354">
        <f>IF(AG594="kw",SUMPRODUCT(N596:N751,O596:O751,AG596:AG751),SUMPRODUCT(D596:D751,AG596:AG751))</f>
        <v>0</v>
      </c>
      <c r="AH753" s="354">
        <f>IF(AH594="kw",SUMPRODUCT(N596:N751,O596:O751,AH596:AH751),SUMPRODUCT(D596:D751,AH596:AH751))</f>
        <v>0</v>
      </c>
      <c r="AI753" s="354">
        <f>IF(AI594="kw",SUMPRODUCT(N596:N751,O596:O751,AI596:AI751),SUMPRODUCT(D596:D751,AI596:AI751))</f>
        <v>0</v>
      </c>
      <c r="AJ753" s="354">
        <f>IF(AJ594="kw",SUMPRODUCT(N596:N751,O596:O751,AJ596:AJ751),SUMPRODUCT(D596:D751,AJ596:AJ751))</f>
        <v>0</v>
      </c>
      <c r="AK753" s="354">
        <f>IF(AK594="kw",SUMPRODUCT(N596:N751,O596:O751,AK596:AK751),SUMPRODUCT(D596:D751,AK596:AK751))</f>
        <v>0</v>
      </c>
      <c r="AL753" s="354">
        <f>IF(AL594="kw",SUMPRODUCT(N596:N751,O596:O751,AL596:AL751),SUMPRODUCT(D596:D751,AL596:AL751))</f>
        <v>0</v>
      </c>
      <c r="AM753" s="355"/>
    </row>
    <row r="754" spans="2:40" ht="15.6">
      <c r="B754" s="415" t="s">
        <v>315</v>
      </c>
      <c r="C754" s="416"/>
      <c r="D754" s="416"/>
      <c r="E754" s="416"/>
      <c r="F754" s="416"/>
      <c r="G754" s="416"/>
      <c r="H754" s="416"/>
      <c r="I754" s="416"/>
      <c r="J754" s="416"/>
      <c r="K754" s="416"/>
      <c r="L754" s="416"/>
      <c r="M754" s="416"/>
      <c r="N754" s="416"/>
      <c r="O754" s="416"/>
      <c r="P754" s="416"/>
      <c r="Q754" s="416"/>
      <c r="R754" s="416"/>
      <c r="S754" s="416"/>
      <c r="T754" s="416"/>
      <c r="U754" s="416"/>
      <c r="V754" s="416"/>
      <c r="W754" s="416"/>
      <c r="X754" s="416"/>
      <c r="Y754" s="416">
        <f>HLOOKUP(Y410,'2. LRAMVA Threshold'!$B$42:$Q$53,10,FALSE)</f>
        <v>0</v>
      </c>
      <c r="Z754" s="416">
        <f>HLOOKUP(Z410,'2. LRAMVA Threshold'!$B$42:$Q$53,10,FALSE)</f>
        <v>0</v>
      </c>
      <c r="AA754" s="416">
        <f>HLOOKUP(AA410,'2. LRAMVA Threshold'!$B$42:$Q$53,10,FALSE)</f>
        <v>0</v>
      </c>
      <c r="AB754" s="416">
        <f>HLOOKUP(AB410,'2. LRAMVA Threshold'!$B$42:$Q$53,10,FALSE)</f>
        <v>0</v>
      </c>
      <c r="AC754" s="416">
        <f>HLOOKUP(AC410,'2. LRAMVA Threshold'!$B$42:$Q$53,10,FALSE)</f>
        <v>0</v>
      </c>
      <c r="AD754" s="416">
        <f>HLOOKUP(AD410,'2. LRAMVA Threshold'!$B$42:$Q$53,10,FALSE)</f>
        <v>0</v>
      </c>
      <c r="AE754" s="416">
        <f>HLOOKUP(AE410,'2. LRAMVA Threshold'!$B$42:$Q$53,10,FALSE)</f>
        <v>0</v>
      </c>
      <c r="AF754" s="416">
        <f>HLOOKUP(AF410,'2. LRAMVA Threshold'!$B$42:$Q$53,10,FALSE)</f>
        <v>0</v>
      </c>
      <c r="AG754" s="416">
        <f>HLOOKUP(AG410,'2. LRAMVA Threshold'!$B$42:$Q$53,10,FALSE)</f>
        <v>0</v>
      </c>
      <c r="AH754" s="416">
        <f>HLOOKUP(AH410,'2. LRAMVA Threshold'!$B$42:$Q$53,10,FALSE)</f>
        <v>0</v>
      </c>
      <c r="AI754" s="416">
        <f>HLOOKUP(AI410,'2. LRAMVA Threshold'!$B$42:$Q$53,10,FALSE)</f>
        <v>0</v>
      </c>
      <c r="AJ754" s="416">
        <f>HLOOKUP(AJ410,'2. LRAMVA Threshold'!$B$42:$Q$53,10,FALSE)</f>
        <v>0</v>
      </c>
      <c r="AK754" s="416">
        <f>HLOOKUP(AK410,'2. LRAMVA Threshold'!$B$42:$Q$53,10,FALSE)</f>
        <v>0</v>
      </c>
      <c r="AL754" s="416">
        <f>HLOOKUP(AL410,'2. LRAMVA Threshold'!$B$42:$Q$53,10,FALSE)</f>
        <v>0</v>
      </c>
      <c r="AM754" s="462"/>
    </row>
    <row r="755" spans="2:40" ht="15">
      <c r="B755" s="418"/>
      <c r="C755" s="452"/>
      <c r="D755" s="453"/>
      <c r="E755" s="453"/>
      <c r="F755" s="453"/>
      <c r="G755" s="453"/>
      <c r="H755" s="453"/>
      <c r="I755" s="453"/>
      <c r="J755" s="453"/>
      <c r="K755" s="453"/>
      <c r="L755" s="453"/>
      <c r="M755" s="453"/>
      <c r="N755" s="453"/>
      <c r="O755" s="454"/>
      <c r="P755" s="453"/>
      <c r="Q755" s="453"/>
      <c r="R755" s="453"/>
      <c r="S755" s="455"/>
      <c r="T755" s="455"/>
      <c r="U755" s="455"/>
      <c r="V755" s="455"/>
      <c r="W755" s="453"/>
      <c r="X755" s="453"/>
      <c r="Y755" s="456"/>
      <c r="Z755" s="456"/>
      <c r="AA755" s="456"/>
      <c r="AB755" s="456"/>
      <c r="AC755" s="456"/>
      <c r="AD755" s="456"/>
      <c r="AE755" s="456"/>
      <c r="AF755" s="419"/>
      <c r="AG755" s="419"/>
      <c r="AH755" s="419"/>
      <c r="AI755" s="419"/>
      <c r="AJ755" s="419"/>
      <c r="AK755" s="419"/>
      <c r="AL755" s="419"/>
      <c r="AM755" s="420"/>
    </row>
    <row r="756" spans="2:40" ht="15">
      <c r="B756" s="349" t="s">
        <v>316</v>
      </c>
      <c r="C756" s="362"/>
      <c r="D756" s="362"/>
      <c r="E756" s="400"/>
      <c r="F756" s="400"/>
      <c r="G756" s="400"/>
      <c r="H756" s="400"/>
      <c r="I756" s="400"/>
      <c r="J756" s="400"/>
      <c r="K756" s="400"/>
      <c r="L756" s="400"/>
      <c r="M756" s="400"/>
      <c r="N756" s="400"/>
      <c r="O756" s="316"/>
      <c r="P756" s="364"/>
      <c r="Q756" s="364"/>
      <c r="R756" s="364"/>
      <c r="S756" s="363"/>
      <c r="T756" s="363"/>
      <c r="U756" s="363"/>
      <c r="V756" s="363"/>
      <c r="W756" s="364"/>
      <c r="X756" s="364"/>
      <c r="Y756" s="365">
        <f>HLOOKUP(Y$35,'3.  Distribution Rates'!$C$122:$P$133,10,FALSE)</f>
        <v>0</v>
      </c>
      <c r="Z756" s="365">
        <f>HLOOKUP(Z$35,'3.  Distribution Rates'!$C$122:$P$133,10,FALSE)</f>
        <v>0</v>
      </c>
      <c r="AA756" s="365">
        <f>HLOOKUP(AA$35,'3.  Distribution Rates'!$C$122:$P$133,10,FALSE)</f>
        <v>0</v>
      </c>
      <c r="AB756" s="365">
        <f>HLOOKUP(AB$35,'3.  Distribution Rates'!$C$122:$P$133,10,FALSE)</f>
        <v>0</v>
      </c>
      <c r="AC756" s="365">
        <f>HLOOKUP(AC$35,'3.  Distribution Rates'!$C$122:$P$133,10,FALSE)</f>
        <v>0</v>
      </c>
      <c r="AD756" s="365">
        <f>HLOOKUP(AD$35,'3.  Distribution Rates'!$C$122:$P$133,10,FALSE)</f>
        <v>0</v>
      </c>
      <c r="AE756" s="365">
        <f>HLOOKUP(AE$35,'3.  Distribution Rates'!$C$122:$P$133,10,FALSE)</f>
        <v>0</v>
      </c>
      <c r="AF756" s="365">
        <f>HLOOKUP(AF$35,'3.  Distribution Rates'!$C$122:$P$133,10,FALSE)</f>
        <v>0</v>
      </c>
      <c r="AG756" s="365">
        <f>HLOOKUP(AG$35,'3.  Distribution Rates'!$C$122:$P$133,10,FALSE)</f>
        <v>0</v>
      </c>
      <c r="AH756" s="365">
        <f>HLOOKUP(AH$35,'3.  Distribution Rates'!$C$122:$P$133,10,FALSE)</f>
        <v>0</v>
      </c>
      <c r="AI756" s="365">
        <f>HLOOKUP(AI$35,'3.  Distribution Rates'!$C$122:$P$133,10,FALSE)</f>
        <v>0</v>
      </c>
      <c r="AJ756" s="365">
        <f>HLOOKUP(AJ$35,'3.  Distribution Rates'!$C$122:$P$133,10,FALSE)</f>
        <v>0</v>
      </c>
      <c r="AK756" s="365">
        <f>HLOOKUP(AK$35,'3.  Distribution Rates'!$C$122:$P$133,10,FALSE)</f>
        <v>0</v>
      </c>
      <c r="AL756" s="365">
        <f>HLOOKUP(AL$35,'3.  Distribution Rates'!$C$122:$P$133,10,FALSE)</f>
        <v>0</v>
      </c>
      <c r="AM756" s="372"/>
      <c r="AN756" s="463"/>
    </row>
    <row r="757" spans="2:40" ht="15">
      <c r="B757" s="349" t="s">
        <v>317</v>
      </c>
      <c r="C757" s="369"/>
      <c r="D757" s="334"/>
      <c r="E757" s="304"/>
      <c r="F757" s="304"/>
      <c r="G757" s="304"/>
      <c r="H757" s="304"/>
      <c r="I757" s="304"/>
      <c r="J757" s="304"/>
      <c r="K757" s="304"/>
      <c r="L757" s="304"/>
      <c r="M757" s="304"/>
      <c r="N757" s="304"/>
      <c r="O757" s="316"/>
      <c r="P757" s="304"/>
      <c r="Q757" s="304"/>
      <c r="R757" s="304"/>
      <c r="S757" s="334"/>
      <c r="T757" s="334"/>
      <c r="U757" s="334"/>
      <c r="V757" s="334"/>
      <c r="W757" s="304"/>
      <c r="X757" s="304"/>
      <c r="Y757" s="402">
        <f>'4.  2011-2014 LRAM'!Y141*Y756</f>
        <v>0</v>
      </c>
      <c r="Z757" s="402">
        <f>'4.  2011-2014 LRAM'!Z141*Z756</f>
        <v>0</v>
      </c>
      <c r="AA757" s="402">
        <f>'4.  2011-2014 LRAM'!AA141*AA756</f>
        <v>0</v>
      </c>
      <c r="AB757" s="402">
        <f>'4.  2011-2014 LRAM'!AB141*AB756</f>
        <v>0</v>
      </c>
      <c r="AC757" s="402">
        <f>'4.  2011-2014 LRAM'!AC141*AC756</f>
        <v>0</v>
      </c>
      <c r="AD757" s="402">
        <f>'4.  2011-2014 LRAM'!AD141*AD756</f>
        <v>0</v>
      </c>
      <c r="AE757" s="402">
        <f>'4.  2011-2014 LRAM'!AE141*AE756</f>
        <v>0</v>
      </c>
      <c r="AF757" s="402">
        <f>'4.  2011-2014 LRAM'!AF141*AF756</f>
        <v>0</v>
      </c>
      <c r="AG757" s="402">
        <f>'4.  2011-2014 LRAM'!AG141*AG756</f>
        <v>0</v>
      </c>
      <c r="AH757" s="402">
        <f>'4.  2011-2014 LRAM'!AH141*AH756</f>
        <v>0</v>
      </c>
      <c r="AI757" s="402">
        <f>'4.  2011-2014 LRAM'!AI141*AI756</f>
        <v>0</v>
      </c>
      <c r="AJ757" s="402">
        <f>'4.  2011-2014 LRAM'!AJ141*AJ756</f>
        <v>0</v>
      </c>
      <c r="AK757" s="402">
        <f>'4.  2011-2014 LRAM'!AK141*AK756</f>
        <v>0</v>
      </c>
      <c r="AL757" s="402">
        <f>'4.  2011-2014 LRAM'!AL141*AL756</f>
        <v>0</v>
      </c>
      <c r="AM757" s="401">
        <f t="shared" ref="AM757:AM764" si="2297">SUM(Y757:AL757)</f>
        <v>0</v>
      </c>
      <c r="AN757" s="463"/>
    </row>
    <row r="758" spans="2:40" ht="15">
      <c r="B758" s="349" t="s">
        <v>318</v>
      </c>
      <c r="C758" s="369"/>
      <c r="D758" s="334"/>
      <c r="E758" s="304"/>
      <c r="F758" s="304"/>
      <c r="G758" s="304"/>
      <c r="H758" s="304"/>
      <c r="I758" s="304"/>
      <c r="J758" s="304"/>
      <c r="K758" s="304"/>
      <c r="L758" s="304"/>
      <c r="M758" s="304"/>
      <c r="N758" s="304"/>
      <c r="O758" s="316"/>
      <c r="P758" s="304"/>
      <c r="Q758" s="304"/>
      <c r="R758" s="304"/>
      <c r="S758" s="334"/>
      <c r="T758" s="334"/>
      <c r="U758" s="334"/>
      <c r="V758" s="334"/>
      <c r="W758" s="304"/>
      <c r="X758" s="304"/>
      <c r="Y758" s="402">
        <f>'4.  2011-2014 LRAM'!Y270*Y756</f>
        <v>0</v>
      </c>
      <c r="Z758" s="402">
        <f>'4.  2011-2014 LRAM'!Z270*Z756</f>
        <v>0</v>
      </c>
      <c r="AA758" s="402">
        <f>'4.  2011-2014 LRAM'!AA270*AA756</f>
        <v>0</v>
      </c>
      <c r="AB758" s="402">
        <f>'4.  2011-2014 LRAM'!AB270*AB756</f>
        <v>0</v>
      </c>
      <c r="AC758" s="402">
        <f>'4.  2011-2014 LRAM'!AC270*AC756</f>
        <v>0</v>
      </c>
      <c r="AD758" s="402">
        <f>'4.  2011-2014 LRAM'!AD270*AD756</f>
        <v>0</v>
      </c>
      <c r="AE758" s="402">
        <f>'4.  2011-2014 LRAM'!AE270*AE756</f>
        <v>0</v>
      </c>
      <c r="AF758" s="402">
        <f>'4.  2011-2014 LRAM'!AF270*AF756</f>
        <v>0</v>
      </c>
      <c r="AG758" s="402">
        <f>'4.  2011-2014 LRAM'!AG270*AG756</f>
        <v>0</v>
      </c>
      <c r="AH758" s="402">
        <f>'4.  2011-2014 LRAM'!AH270*AH756</f>
        <v>0</v>
      </c>
      <c r="AI758" s="402">
        <f>'4.  2011-2014 LRAM'!AI270*AI756</f>
        <v>0</v>
      </c>
      <c r="AJ758" s="402">
        <f>'4.  2011-2014 LRAM'!AJ270*AJ756</f>
        <v>0</v>
      </c>
      <c r="AK758" s="402">
        <f>'4.  2011-2014 LRAM'!AK270*AK756</f>
        <v>0</v>
      </c>
      <c r="AL758" s="402">
        <f>'4.  2011-2014 LRAM'!AL270*AL756</f>
        <v>0</v>
      </c>
      <c r="AM758" s="401">
        <f t="shared" si="2297"/>
        <v>0</v>
      </c>
      <c r="AN758" s="463"/>
    </row>
    <row r="759" spans="2:40" ht="15">
      <c r="B759" s="349" t="s">
        <v>319</v>
      </c>
      <c r="C759" s="369"/>
      <c r="D759" s="334"/>
      <c r="E759" s="304"/>
      <c r="F759" s="304"/>
      <c r="G759" s="304"/>
      <c r="H759" s="304"/>
      <c r="I759" s="304"/>
      <c r="J759" s="304"/>
      <c r="K759" s="304"/>
      <c r="L759" s="304"/>
      <c r="M759" s="304"/>
      <c r="N759" s="304"/>
      <c r="O759" s="316"/>
      <c r="P759" s="304"/>
      <c r="Q759" s="304"/>
      <c r="R759" s="304"/>
      <c r="S759" s="334"/>
      <c r="T759" s="334"/>
      <c r="U759" s="334"/>
      <c r="V759" s="334"/>
      <c r="W759" s="304"/>
      <c r="X759" s="304"/>
      <c r="Y759" s="402">
        <f>'4.  2011-2014 LRAM'!Y399*Y756</f>
        <v>0</v>
      </c>
      <c r="Z759" s="402">
        <f>'4.  2011-2014 LRAM'!Z399*Z756</f>
        <v>0</v>
      </c>
      <c r="AA759" s="402">
        <f>'4.  2011-2014 LRAM'!AA399*AA756</f>
        <v>0</v>
      </c>
      <c r="AB759" s="402">
        <f>'4.  2011-2014 LRAM'!AB399*AB756</f>
        <v>0</v>
      </c>
      <c r="AC759" s="402">
        <f>'4.  2011-2014 LRAM'!AC399*AC756</f>
        <v>0</v>
      </c>
      <c r="AD759" s="402">
        <f>'4.  2011-2014 LRAM'!AD399*AD756</f>
        <v>0</v>
      </c>
      <c r="AE759" s="402">
        <f>'4.  2011-2014 LRAM'!AE399*AE756</f>
        <v>0</v>
      </c>
      <c r="AF759" s="402">
        <f>'4.  2011-2014 LRAM'!AF399*AF756</f>
        <v>0</v>
      </c>
      <c r="AG759" s="402">
        <f>'4.  2011-2014 LRAM'!AG399*AG756</f>
        <v>0</v>
      </c>
      <c r="AH759" s="402">
        <f>'4.  2011-2014 LRAM'!AH399*AH756</f>
        <v>0</v>
      </c>
      <c r="AI759" s="402">
        <f>'4.  2011-2014 LRAM'!AI399*AI756</f>
        <v>0</v>
      </c>
      <c r="AJ759" s="402">
        <f>'4.  2011-2014 LRAM'!AJ399*AJ756</f>
        <v>0</v>
      </c>
      <c r="AK759" s="402">
        <f>'4.  2011-2014 LRAM'!AK399*AK756</f>
        <v>0</v>
      </c>
      <c r="AL759" s="402">
        <f>'4.  2011-2014 LRAM'!AL399*AL756</f>
        <v>0</v>
      </c>
      <c r="AM759" s="401">
        <f t="shared" si="2297"/>
        <v>0</v>
      </c>
      <c r="AN759" s="463"/>
    </row>
    <row r="760" spans="2:40" ht="15">
      <c r="B760" s="349" t="s">
        <v>320</v>
      </c>
      <c r="C760" s="369"/>
      <c r="D760" s="334"/>
      <c r="E760" s="304"/>
      <c r="F760" s="304"/>
      <c r="G760" s="304"/>
      <c r="H760" s="304"/>
      <c r="I760" s="304"/>
      <c r="J760" s="304"/>
      <c r="K760" s="304"/>
      <c r="L760" s="304"/>
      <c r="M760" s="304"/>
      <c r="N760" s="304"/>
      <c r="O760" s="316"/>
      <c r="P760" s="304"/>
      <c r="Q760" s="304"/>
      <c r="R760" s="304"/>
      <c r="S760" s="334"/>
      <c r="T760" s="334"/>
      <c r="U760" s="334"/>
      <c r="V760" s="334"/>
      <c r="W760" s="304"/>
      <c r="X760" s="304"/>
      <c r="Y760" s="402">
        <f>'4.  2011-2014 LRAM'!Y529*Y756</f>
        <v>0</v>
      </c>
      <c r="Z760" s="402">
        <f>'4.  2011-2014 LRAM'!Z529*Z756</f>
        <v>0</v>
      </c>
      <c r="AA760" s="402">
        <f>'4.  2011-2014 LRAM'!AA529*AA756</f>
        <v>0</v>
      </c>
      <c r="AB760" s="402">
        <f>'4.  2011-2014 LRAM'!AB529*AB756</f>
        <v>0</v>
      </c>
      <c r="AC760" s="402">
        <f>'4.  2011-2014 LRAM'!AC529*AC756</f>
        <v>0</v>
      </c>
      <c r="AD760" s="402">
        <f>'4.  2011-2014 LRAM'!AD529*AD756</f>
        <v>0</v>
      </c>
      <c r="AE760" s="402">
        <f>'4.  2011-2014 LRAM'!AE529*AE756</f>
        <v>0</v>
      </c>
      <c r="AF760" s="402">
        <f>'4.  2011-2014 LRAM'!AF529*AF756</f>
        <v>0</v>
      </c>
      <c r="AG760" s="402">
        <f>'4.  2011-2014 LRAM'!AG529*AG756</f>
        <v>0</v>
      </c>
      <c r="AH760" s="402">
        <f>'4.  2011-2014 LRAM'!AH529*AH756</f>
        <v>0</v>
      </c>
      <c r="AI760" s="402">
        <f>'4.  2011-2014 LRAM'!AI529*AI756</f>
        <v>0</v>
      </c>
      <c r="AJ760" s="402">
        <f>'4.  2011-2014 LRAM'!AJ529*AJ756</f>
        <v>0</v>
      </c>
      <c r="AK760" s="402">
        <f>'4.  2011-2014 LRAM'!AK529*AK756</f>
        <v>0</v>
      </c>
      <c r="AL760" s="402">
        <f>'4.  2011-2014 LRAM'!AL529*AL756</f>
        <v>0</v>
      </c>
      <c r="AM760" s="401">
        <f t="shared" si="2297"/>
        <v>0</v>
      </c>
      <c r="AN760" s="463"/>
    </row>
    <row r="761" spans="2:40" ht="15">
      <c r="B761" s="349" t="s">
        <v>321</v>
      </c>
      <c r="C761" s="369"/>
      <c r="D761" s="334"/>
      <c r="E761" s="304"/>
      <c r="F761" s="304"/>
      <c r="G761" s="304"/>
      <c r="H761" s="304"/>
      <c r="I761" s="304"/>
      <c r="J761" s="304"/>
      <c r="K761" s="304"/>
      <c r="L761" s="304"/>
      <c r="M761" s="304"/>
      <c r="N761" s="304"/>
      <c r="O761" s="316"/>
      <c r="P761" s="304"/>
      <c r="Q761" s="304"/>
      <c r="R761" s="304"/>
      <c r="S761" s="334"/>
      <c r="T761" s="334"/>
      <c r="U761" s="334"/>
      <c r="V761" s="334"/>
      <c r="W761" s="304"/>
      <c r="X761" s="304"/>
      <c r="Y761" s="402">
        <f t="shared" ref="Y761:AL761" si="2298">Y210*Y756</f>
        <v>0</v>
      </c>
      <c r="Z761" s="402">
        <f t="shared" si="2298"/>
        <v>0</v>
      </c>
      <c r="AA761" s="402">
        <f t="shared" si="2298"/>
        <v>0</v>
      </c>
      <c r="AB761" s="402">
        <f t="shared" si="2298"/>
        <v>0</v>
      </c>
      <c r="AC761" s="402">
        <f t="shared" si="2298"/>
        <v>0</v>
      </c>
      <c r="AD761" s="402">
        <f t="shared" si="2298"/>
        <v>0</v>
      </c>
      <c r="AE761" s="402">
        <f t="shared" si="2298"/>
        <v>0</v>
      </c>
      <c r="AF761" s="402">
        <f t="shared" si="2298"/>
        <v>0</v>
      </c>
      <c r="AG761" s="402">
        <f t="shared" si="2298"/>
        <v>0</v>
      </c>
      <c r="AH761" s="402">
        <f t="shared" si="2298"/>
        <v>0</v>
      </c>
      <c r="AI761" s="402">
        <f t="shared" si="2298"/>
        <v>0</v>
      </c>
      <c r="AJ761" s="402">
        <f t="shared" si="2298"/>
        <v>0</v>
      </c>
      <c r="AK761" s="402">
        <f t="shared" si="2298"/>
        <v>0</v>
      </c>
      <c r="AL761" s="402">
        <f t="shared" si="2298"/>
        <v>0</v>
      </c>
      <c r="AM761" s="401">
        <f t="shared" si="2297"/>
        <v>0</v>
      </c>
      <c r="AN761" s="463"/>
    </row>
    <row r="762" spans="2:40" ht="15">
      <c r="B762" s="349" t="s">
        <v>322</v>
      </c>
      <c r="C762" s="369"/>
      <c r="D762" s="334"/>
      <c r="E762" s="304"/>
      <c r="F762" s="304"/>
      <c r="G762" s="304"/>
      <c r="H762" s="304"/>
      <c r="I762" s="304"/>
      <c r="J762" s="304"/>
      <c r="K762" s="304"/>
      <c r="L762" s="304"/>
      <c r="M762" s="304"/>
      <c r="N762" s="304"/>
      <c r="O762" s="316"/>
      <c r="P762" s="304"/>
      <c r="Q762" s="304"/>
      <c r="R762" s="304"/>
      <c r="S762" s="334"/>
      <c r="T762" s="334"/>
      <c r="U762" s="334"/>
      <c r="V762" s="334"/>
      <c r="W762" s="304"/>
      <c r="X762" s="304"/>
      <c r="Y762" s="402">
        <f t="shared" ref="Y762:AL762" si="2299">Y402*Y756</f>
        <v>0</v>
      </c>
      <c r="Z762" s="402">
        <f t="shared" si="2299"/>
        <v>0</v>
      </c>
      <c r="AA762" s="402">
        <f t="shared" si="2299"/>
        <v>0</v>
      </c>
      <c r="AB762" s="402">
        <f t="shared" si="2299"/>
        <v>0</v>
      </c>
      <c r="AC762" s="402">
        <f t="shared" si="2299"/>
        <v>0</v>
      </c>
      <c r="AD762" s="402">
        <f t="shared" si="2299"/>
        <v>0</v>
      </c>
      <c r="AE762" s="402">
        <f t="shared" si="2299"/>
        <v>0</v>
      </c>
      <c r="AF762" s="402">
        <f t="shared" si="2299"/>
        <v>0</v>
      </c>
      <c r="AG762" s="402">
        <f t="shared" si="2299"/>
        <v>0</v>
      </c>
      <c r="AH762" s="402">
        <f t="shared" si="2299"/>
        <v>0</v>
      </c>
      <c r="AI762" s="402">
        <f t="shared" si="2299"/>
        <v>0</v>
      </c>
      <c r="AJ762" s="402">
        <f t="shared" si="2299"/>
        <v>0</v>
      </c>
      <c r="AK762" s="402">
        <f t="shared" si="2299"/>
        <v>0</v>
      </c>
      <c r="AL762" s="402">
        <f t="shared" si="2299"/>
        <v>0</v>
      </c>
      <c r="AM762" s="401">
        <f t="shared" si="2297"/>
        <v>0</v>
      </c>
      <c r="AN762" s="463"/>
    </row>
    <row r="763" spans="2:40" ht="15">
      <c r="B763" s="349" t="s">
        <v>323</v>
      </c>
      <c r="C763" s="369"/>
      <c r="D763" s="334"/>
      <c r="E763" s="304"/>
      <c r="F763" s="304"/>
      <c r="G763" s="304"/>
      <c r="H763" s="304"/>
      <c r="I763" s="304"/>
      <c r="J763" s="304"/>
      <c r="K763" s="304"/>
      <c r="L763" s="304"/>
      <c r="M763" s="304"/>
      <c r="N763" s="304"/>
      <c r="O763" s="316"/>
      <c r="P763" s="304"/>
      <c r="Q763" s="304"/>
      <c r="R763" s="304"/>
      <c r="S763" s="334"/>
      <c r="T763" s="334"/>
      <c r="U763" s="334"/>
      <c r="V763" s="334"/>
      <c r="W763" s="304"/>
      <c r="X763" s="304"/>
      <c r="Y763" s="402">
        <f t="shared" ref="Y763:AL763" si="2300">Y585*Y756</f>
        <v>0</v>
      </c>
      <c r="Z763" s="402">
        <f t="shared" si="2300"/>
        <v>0</v>
      </c>
      <c r="AA763" s="402">
        <f t="shared" si="2300"/>
        <v>0</v>
      </c>
      <c r="AB763" s="402">
        <f t="shared" si="2300"/>
        <v>0</v>
      </c>
      <c r="AC763" s="402">
        <f t="shared" si="2300"/>
        <v>0</v>
      </c>
      <c r="AD763" s="402">
        <f t="shared" si="2300"/>
        <v>0</v>
      </c>
      <c r="AE763" s="402">
        <f t="shared" si="2300"/>
        <v>0</v>
      </c>
      <c r="AF763" s="402">
        <f t="shared" si="2300"/>
        <v>0</v>
      </c>
      <c r="AG763" s="402">
        <f t="shared" si="2300"/>
        <v>0</v>
      </c>
      <c r="AH763" s="402">
        <f t="shared" si="2300"/>
        <v>0</v>
      </c>
      <c r="AI763" s="402">
        <f t="shared" si="2300"/>
        <v>0</v>
      </c>
      <c r="AJ763" s="402">
        <f t="shared" si="2300"/>
        <v>0</v>
      </c>
      <c r="AK763" s="402">
        <f t="shared" si="2300"/>
        <v>0</v>
      </c>
      <c r="AL763" s="402">
        <f t="shared" si="2300"/>
        <v>0</v>
      </c>
      <c r="AM763" s="401">
        <f t="shared" si="2297"/>
        <v>0</v>
      </c>
      <c r="AN763" s="463"/>
    </row>
    <row r="764" spans="2:40" ht="15">
      <c r="B764" s="349" t="s">
        <v>324</v>
      </c>
      <c r="C764" s="369"/>
      <c r="D764" s="334"/>
      <c r="E764" s="304"/>
      <c r="F764" s="304"/>
      <c r="G764" s="304"/>
      <c r="H764" s="304"/>
      <c r="I764" s="304"/>
      <c r="J764" s="304"/>
      <c r="K764" s="304"/>
      <c r="L764" s="304"/>
      <c r="M764" s="304"/>
      <c r="N764" s="304"/>
      <c r="O764" s="316"/>
      <c r="P764" s="304"/>
      <c r="Q764" s="304"/>
      <c r="R764" s="304"/>
      <c r="S764" s="334"/>
      <c r="T764" s="334"/>
      <c r="U764" s="334"/>
      <c r="V764" s="334"/>
      <c r="W764" s="304"/>
      <c r="X764" s="304"/>
      <c r="Y764" s="402">
        <f>Y753*Y756</f>
        <v>0</v>
      </c>
      <c r="Z764" s="402">
        <f t="shared" ref="Z764:AL764" si="2301">Z753*Z756</f>
        <v>0</v>
      </c>
      <c r="AA764" s="402">
        <f t="shared" si="2301"/>
        <v>0</v>
      </c>
      <c r="AB764" s="402">
        <f t="shared" si="2301"/>
        <v>0</v>
      </c>
      <c r="AC764" s="402">
        <f t="shared" si="2301"/>
        <v>0</v>
      </c>
      <c r="AD764" s="402">
        <f t="shared" si="2301"/>
        <v>0</v>
      </c>
      <c r="AE764" s="402">
        <f t="shared" si="2301"/>
        <v>0</v>
      </c>
      <c r="AF764" s="402">
        <f t="shared" si="2301"/>
        <v>0</v>
      </c>
      <c r="AG764" s="402">
        <f t="shared" si="2301"/>
        <v>0</v>
      </c>
      <c r="AH764" s="402">
        <f t="shared" si="2301"/>
        <v>0</v>
      </c>
      <c r="AI764" s="402">
        <f t="shared" si="2301"/>
        <v>0</v>
      </c>
      <c r="AJ764" s="402">
        <f t="shared" si="2301"/>
        <v>0</v>
      </c>
      <c r="AK764" s="402">
        <f t="shared" si="2301"/>
        <v>0</v>
      </c>
      <c r="AL764" s="402">
        <f t="shared" si="2301"/>
        <v>0</v>
      </c>
      <c r="AM764" s="401">
        <f t="shared" si="2297"/>
        <v>0</v>
      </c>
      <c r="AN764" s="463"/>
    </row>
    <row r="765" spans="2:40" ht="15.6">
      <c r="B765" s="373" t="s">
        <v>325</v>
      </c>
      <c r="C765" s="369"/>
      <c r="D765" s="360"/>
      <c r="E765" s="358"/>
      <c r="F765" s="358"/>
      <c r="G765" s="358"/>
      <c r="H765" s="358"/>
      <c r="I765" s="358"/>
      <c r="J765" s="358"/>
      <c r="K765" s="358"/>
      <c r="L765" s="358"/>
      <c r="M765" s="358"/>
      <c r="N765" s="358"/>
      <c r="O765" s="325"/>
      <c r="P765" s="358"/>
      <c r="Q765" s="358"/>
      <c r="R765" s="358"/>
      <c r="S765" s="360"/>
      <c r="T765" s="360"/>
      <c r="U765" s="360"/>
      <c r="V765" s="360"/>
      <c r="W765" s="358"/>
      <c r="X765" s="358"/>
      <c r="Y765" s="370">
        <f>SUM(Y757:Y764)</f>
        <v>0</v>
      </c>
      <c r="Z765" s="370">
        <f t="shared" ref="Z765:AE765" si="2302">SUM(Z757:Z764)</f>
        <v>0</v>
      </c>
      <c r="AA765" s="370">
        <f t="shared" si="2302"/>
        <v>0</v>
      </c>
      <c r="AB765" s="370">
        <f t="shared" si="2302"/>
        <v>0</v>
      </c>
      <c r="AC765" s="370">
        <f t="shared" si="2302"/>
        <v>0</v>
      </c>
      <c r="AD765" s="370">
        <f t="shared" si="2302"/>
        <v>0</v>
      </c>
      <c r="AE765" s="370">
        <f t="shared" si="2302"/>
        <v>0</v>
      </c>
      <c r="AF765" s="370">
        <f t="shared" ref="AF765:AL765" si="2303">SUM(AF757:AF764)</f>
        <v>0</v>
      </c>
      <c r="AG765" s="370">
        <f t="shared" si="2303"/>
        <v>0</v>
      </c>
      <c r="AH765" s="370">
        <f t="shared" si="2303"/>
        <v>0</v>
      </c>
      <c r="AI765" s="370">
        <f t="shared" si="2303"/>
        <v>0</v>
      </c>
      <c r="AJ765" s="370">
        <f t="shared" si="2303"/>
        <v>0</v>
      </c>
      <c r="AK765" s="370">
        <f t="shared" si="2303"/>
        <v>0</v>
      </c>
      <c r="AL765" s="370">
        <f t="shared" si="2303"/>
        <v>0</v>
      </c>
      <c r="AM765" s="372">
        <f>SUM(AM757:AM764)</f>
        <v>0</v>
      </c>
      <c r="AN765" s="463"/>
    </row>
    <row r="766" spans="2:40" ht="15.6">
      <c r="B766" s="373" t="s">
        <v>326</v>
      </c>
      <c r="C766" s="369"/>
      <c r="D766" s="374"/>
      <c r="E766" s="358"/>
      <c r="F766" s="358"/>
      <c r="G766" s="358"/>
      <c r="H766" s="358"/>
      <c r="I766" s="358"/>
      <c r="J766" s="358"/>
      <c r="K766" s="358"/>
      <c r="L766" s="358"/>
      <c r="M766" s="358"/>
      <c r="N766" s="358"/>
      <c r="O766" s="325"/>
      <c r="P766" s="358"/>
      <c r="Q766" s="358"/>
      <c r="R766" s="358"/>
      <c r="S766" s="360"/>
      <c r="T766" s="360"/>
      <c r="U766" s="360"/>
      <c r="V766" s="360"/>
      <c r="W766" s="358"/>
      <c r="X766" s="358"/>
      <c r="Y766" s="371">
        <f>Y754*Y756</f>
        <v>0</v>
      </c>
      <c r="Z766" s="371">
        <f t="shared" ref="Z766:AE766" si="2304">Z754*Z756</f>
        <v>0</v>
      </c>
      <c r="AA766" s="371">
        <f t="shared" si="2304"/>
        <v>0</v>
      </c>
      <c r="AB766" s="371">
        <f t="shared" si="2304"/>
        <v>0</v>
      </c>
      <c r="AC766" s="371">
        <f t="shared" si="2304"/>
        <v>0</v>
      </c>
      <c r="AD766" s="371">
        <f t="shared" si="2304"/>
        <v>0</v>
      </c>
      <c r="AE766" s="371">
        <f t="shared" si="2304"/>
        <v>0</v>
      </c>
      <c r="AF766" s="371">
        <f t="shared" ref="AF766:AL766" si="2305">AF754*AF756</f>
        <v>0</v>
      </c>
      <c r="AG766" s="371">
        <f t="shared" si="2305"/>
        <v>0</v>
      </c>
      <c r="AH766" s="371">
        <f t="shared" si="2305"/>
        <v>0</v>
      </c>
      <c r="AI766" s="371">
        <f t="shared" si="2305"/>
        <v>0</v>
      </c>
      <c r="AJ766" s="371">
        <f t="shared" si="2305"/>
        <v>0</v>
      </c>
      <c r="AK766" s="371">
        <f t="shared" si="2305"/>
        <v>0</v>
      </c>
      <c r="AL766" s="371">
        <f t="shared" si="2305"/>
        <v>0</v>
      </c>
      <c r="AM766" s="372">
        <f>SUM(Y766:AL766)</f>
        <v>0</v>
      </c>
      <c r="AN766" s="463"/>
    </row>
    <row r="767" spans="2:40" ht="15.6">
      <c r="B767" s="373" t="s">
        <v>327</v>
      </c>
      <c r="C767" s="369"/>
      <c r="D767" s="374"/>
      <c r="E767" s="358"/>
      <c r="F767" s="358"/>
      <c r="G767" s="358"/>
      <c r="H767" s="358"/>
      <c r="I767" s="358"/>
      <c r="J767" s="358"/>
      <c r="K767" s="358"/>
      <c r="L767" s="358"/>
      <c r="M767" s="358"/>
      <c r="N767" s="358"/>
      <c r="O767" s="325"/>
      <c r="P767" s="358"/>
      <c r="Q767" s="358"/>
      <c r="R767" s="358"/>
      <c r="S767" s="374"/>
      <c r="T767" s="374"/>
      <c r="U767" s="374"/>
      <c r="V767" s="374"/>
      <c r="W767" s="358"/>
      <c r="X767" s="358"/>
      <c r="Y767" s="375"/>
      <c r="Z767" s="375"/>
      <c r="AA767" s="375"/>
      <c r="AB767" s="375"/>
      <c r="AC767" s="375"/>
      <c r="AD767" s="375"/>
      <c r="AE767" s="375"/>
      <c r="AF767" s="375"/>
      <c r="AG767" s="375"/>
      <c r="AH767" s="375"/>
      <c r="AI767" s="375"/>
      <c r="AJ767" s="375"/>
      <c r="AK767" s="375"/>
      <c r="AL767" s="375"/>
      <c r="AM767" s="372">
        <f>AM765-AM766</f>
        <v>0</v>
      </c>
      <c r="AN767" s="463"/>
    </row>
    <row r="768" spans="2:40" ht="15">
      <c r="B768" s="349"/>
      <c r="C768" s="374"/>
      <c r="D768" s="374"/>
      <c r="E768" s="358"/>
      <c r="F768" s="358"/>
      <c r="G768" s="358"/>
      <c r="H768" s="358"/>
      <c r="I768" s="358"/>
      <c r="J768" s="358"/>
      <c r="K768" s="358"/>
      <c r="L768" s="358"/>
      <c r="M768" s="358"/>
      <c r="N768" s="358"/>
      <c r="O768" s="325"/>
      <c r="P768" s="358"/>
      <c r="Q768" s="358"/>
      <c r="R768" s="358"/>
      <c r="S768" s="374"/>
      <c r="T768" s="369"/>
      <c r="U768" s="374"/>
      <c r="V768" s="374"/>
      <c r="W768" s="358"/>
      <c r="X768" s="358"/>
      <c r="Y768" s="376"/>
      <c r="Z768" s="376"/>
      <c r="AA768" s="376"/>
      <c r="AB768" s="376"/>
      <c r="AC768" s="376"/>
      <c r="AD768" s="376"/>
      <c r="AE768" s="376"/>
      <c r="AF768" s="376"/>
      <c r="AG768" s="376"/>
      <c r="AH768" s="376"/>
      <c r="AI768" s="376"/>
      <c r="AJ768" s="376"/>
      <c r="AK768" s="376"/>
      <c r="AL768" s="376"/>
      <c r="AM768" s="372"/>
      <c r="AN768" s="463"/>
    </row>
    <row r="769" spans="1:39" ht="15">
      <c r="B769" s="459" t="s">
        <v>328</v>
      </c>
      <c r="C769" s="329"/>
      <c r="D769" s="304"/>
      <c r="E769" s="304"/>
      <c r="F769" s="304"/>
      <c r="G769" s="304"/>
      <c r="H769" s="304"/>
      <c r="I769" s="304"/>
      <c r="J769" s="304"/>
      <c r="K769" s="304"/>
      <c r="L769" s="304"/>
      <c r="M769" s="304"/>
      <c r="N769" s="304"/>
      <c r="O769" s="381"/>
      <c r="P769" s="304"/>
      <c r="Q769" s="304"/>
      <c r="R769" s="304"/>
      <c r="S769" s="329"/>
      <c r="T769" s="334"/>
      <c r="U769" s="334"/>
      <c r="V769" s="304"/>
      <c r="W769" s="304"/>
      <c r="X769" s="334"/>
      <c r="Y769" s="316">
        <f>SUMPRODUCT(E596:E751,Y596:Y751)</f>
        <v>0</v>
      </c>
      <c r="Z769" s="316">
        <f>SUMPRODUCT(E596:E751,Z596:Z751)</f>
        <v>0</v>
      </c>
      <c r="AA769" s="316">
        <f t="shared" ref="AA769:AL769" si="2306">IF(AA594="kw",SUMPRODUCT($N$596:$N$751,$P$596:$P$751,AA596:AA751),SUMPRODUCT($E$596:$E$751,AA596:AA751))</f>
        <v>0</v>
      </c>
      <c r="AB769" s="316">
        <f t="shared" si="2306"/>
        <v>0</v>
      </c>
      <c r="AC769" s="316">
        <f t="shared" si="2306"/>
        <v>0</v>
      </c>
      <c r="AD769" s="316">
        <f t="shared" si="2306"/>
        <v>0</v>
      </c>
      <c r="AE769" s="316">
        <f t="shared" si="2306"/>
        <v>0</v>
      </c>
      <c r="AF769" s="316">
        <f t="shared" si="2306"/>
        <v>0</v>
      </c>
      <c r="AG769" s="316">
        <f t="shared" si="2306"/>
        <v>0</v>
      </c>
      <c r="AH769" s="316">
        <f t="shared" si="2306"/>
        <v>0</v>
      </c>
      <c r="AI769" s="316">
        <f t="shared" si="2306"/>
        <v>0</v>
      </c>
      <c r="AJ769" s="316">
        <f t="shared" si="2306"/>
        <v>0</v>
      </c>
      <c r="AK769" s="316">
        <f t="shared" si="2306"/>
        <v>0</v>
      </c>
      <c r="AL769" s="316">
        <f t="shared" si="2306"/>
        <v>0</v>
      </c>
      <c r="AM769" s="361"/>
    </row>
    <row r="770" spans="1:39" ht="15">
      <c r="B770" s="460" t="s">
        <v>329</v>
      </c>
      <c r="C770" s="388"/>
      <c r="D770" s="408"/>
      <c r="E770" s="408"/>
      <c r="F770" s="408"/>
      <c r="G770" s="408"/>
      <c r="H770" s="408"/>
      <c r="I770" s="408"/>
      <c r="J770" s="408"/>
      <c r="K770" s="408"/>
      <c r="L770" s="408"/>
      <c r="M770" s="408"/>
      <c r="N770" s="408"/>
      <c r="O770" s="407"/>
      <c r="P770" s="408"/>
      <c r="Q770" s="408"/>
      <c r="R770" s="408"/>
      <c r="S770" s="388"/>
      <c r="T770" s="409"/>
      <c r="U770" s="409"/>
      <c r="V770" s="408"/>
      <c r="W770" s="408"/>
      <c r="X770" s="409"/>
      <c r="Y770" s="351">
        <f>SUMPRODUCT(F596:F751,Y596:Y751)</f>
        <v>0</v>
      </c>
      <c r="Z770" s="351">
        <f>SUMPRODUCT(F596:F751,Z596:Z751)</f>
        <v>0</v>
      </c>
      <c r="AA770" s="351">
        <f t="shared" ref="AA770:AL770" si="2307">IF(AA594="kw",SUMPRODUCT($N$596:$N$751,$Q$596:$Q$751,AA596:AA751),SUMPRODUCT($F$596:$F$751,AA596:AA751))</f>
        <v>0</v>
      </c>
      <c r="AB770" s="351">
        <f t="shared" si="2307"/>
        <v>0</v>
      </c>
      <c r="AC770" s="351">
        <f t="shared" si="2307"/>
        <v>0</v>
      </c>
      <c r="AD770" s="351">
        <f t="shared" si="2307"/>
        <v>0</v>
      </c>
      <c r="AE770" s="351">
        <f t="shared" si="2307"/>
        <v>0</v>
      </c>
      <c r="AF770" s="351">
        <f t="shared" si="2307"/>
        <v>0</v>
      </c>
      <c r="AG770" s="351">
        <f t="shared" si="2307"/>
        <v>0</v>
      </c>
      <c r="AH770" s="351">
        <f t="shared" si="2307"/>
        <v>0</v>
      </c>
      <c r="AI770" s="351">
        <f t="shared" si="2307"/>
        <v>0</v>
      </c>
      <c r="AJ770" s="351">
        <f t="shared" si="2307"/>
        <v>0</v>
      </c>
      <c r="AK770" s="351">
        <f t="shared" si="2307"/>
        <v>0</v>
      </c>
      <c r="AL770" s="351">
        <f t="shared" si="2307"/>
        <v>0</v>
      </c>
      <c r="AM770" s="410"/>
    </row>
    <row r="771" spans="1:39" ht="20.25" customHeight="1">
      <c r="B771" s="392" t="s">
        <v>226</v>
      </c>
      <c r="C771" s="411"/>
      <c r="D771" s="412"/>
      <c r="E771" s="412"/>
      <c r="F771" s="412"/>
      <c r="G771" s="412"/>
      <c r="H771" s="412"/>
      <c r="I771" s="412"/>
      <c r="J771" s="412"/>
      <c r="K771" s="412"/>
      <c r="L771" s="412"/>
      <c r="M771" s="412"/>
      <c r="N771" s="412"/>
      <c r="O771" s="412"/>
      <c r="P771" s="412"/>
      <c r="Q771" s="412"/>
      <c r="R771" s="412"/>
      <c r="S771" s="395"/>
      <c r="T771" s="396"/>
      <c r="U771" s="412"/>
      <c r="V771" s="412"/>
      <c r="W771" s="412"/>
      <c r="X771" s="412"/>
      <c r="Y771" s="429"/>
      <c r="Z771" s="429"/>
      <c r="AA771" s="429"/>
      <c r="AB771" s="429"/>
      <c r="AC771" s="429"/>
      <c r="AD771" s="429"/>
      <c r="AE771" s="429"/>
      <c r="AF771" s="429"/>
      <c r="AG771" s="429"/>
      <c r="AH771" s="429"/>
      <c r="AI771" s="429"/>
      <c r="AJ771" s="429"/>
      <c r="AK771" s="429"/>
      <c r="AL771" s="429"/>
      <c r="AM771" s="413"/>
    </row>
    <row r="774" spans="1:39" ht="15.6">
      <c r="B774" s="305" t="s">
        <v>330</v>
      </c>
      <c r="C774" s="306"/>
      <c r="D774" s="619" t="s">
        <v>588</v>
      </c>
      <c r="E774" s="278"/>
      <c r="F774" s="619" t="s">
        <v>599</v>
      </c>
      <c r="G774" s="278"/>
      <c r="H774" s="278"/>
      <c r="I774" s="278"/>
      <c r="J774" s="278"/>
      <c r="K774" s="278"/>
      <c r="L774" s="278"/>
      <c r="M774" s="278"/>
      <c r="N774" s="278"/>
      <c r="O774" s="306"/>
      <c r="P774" s="278"/>
      <c r="Q774" s="278"/>
      <c r="R774" s="278"/>
      <c r="S774" s="278"/>
      <c r="T774" s="278"/>
      <c r="U774" s="278"/>
      <c r="V774" s="278"/>
      <c r="W774" s="278"/>
      <c r="X774" s="278"/>
      <c r="Y774" s="295"/>
      <c r="Z774" s="292"/>
      <c r="AA774" s="292"/>
      <c r="AB774" s="292"/>
      <c r="AC774" s="292"/>
      <c r="AD774" s="292"/>
      <c r="AE774" s="292"/>
      <c r="AF774" s="292"/>
      <c r="AG774" s="292"/>
      <c r="AH774" s="292"/>
      <c r="AI774" s="292"/>
      <c r="AJ774" s="292"/>
      <c r="AK774" s="292"/>
      <c r="AL774" s="292"/>
    </row>
    <row r="775" spans="1:39" ht="33" customHeight="1">
      <c r="B775" s="1220" t="s">
        <v>213</v>
      </c>
      <c r="C775" s="1222" t="s">
        <v>33</v>
      </c>
      <c r="D775" s="309" t="s">
        <v>427</v>
      </c>
      <c r="E775" s="1224" t="s">
        <v>211</v>
      </c>
      <c r="F775" s="1225"/>
      <c r="G775" s="1225"/>
      <c r="H775" s="1225"/>
      <c r="I775" s="1225"/>
      <c r="J775" s="1225"/>
      <c r="K775" s="1225"/>
      <c r="L775" s="1225"/>
      <c r="M775" s="1226"/>
      <c r="N775" s="1227" t="s">
        <v>215</v>
      </c>
      <c r="O775" s="309" t="s">
        <v>428</v>
      </c>
      <c r="P775" s="1224" t="s">
        <v>214</v>
      </c>
      <c r="Q775" s="1225"/>
      <c r="R775" s="1225"/>
      <c r="S775" s="1225"/>
      <c r="T775" s="1225"/>
      <c r="U775" s="1225"/>
      <c r="V775" s="1225"/>
      <c r="W775" s="1225"/>
      <c r="X775" s="1226"/>
      <c r="Y775" s="1217" t="s">
        <v>246</v>
      </c>
      <c r="Z775" s="1218"/>
      <c r="AA775" s="1218"/>
      <c r="AB775" s="1218"/>
      <c r="AC775" s="1218"/>
      <c r="AD775" s="1218"/>
      <c r="AE775" s="1218"/>
      <c r="AF775" s="1218"/>
      <c r="AG775" s="1218"/>
      <c r="AH775" s="1218"/>
      <c r="AI775" s="1218"/>
      <c r="AJ775" s="1218"/>
      <c r="AK775" s="1218"/>
      <c r="AL775" s="1218"/>
      <c r="AM775" s="1219"/>
    </row>
    <row r="776" spans="1:39" ht="65.25" customHeight="1">
      <c r="B776" s="1221"/>
      <c r="C776" s="1223"/>
      <c r="D776" s="310">
        <v>2019</v>
      </c>
      <c r="E776" s="310">
        <v>2020</v>
      </c>
      <c r="F776" s="310">
        <v>2021</v>
      </c>
      <c r="G776" s="310">
        <v>2022</v>
      </c>
      <c r="H776" s="310">
        <v>2023</v>
      </c>
      <c r="I776" s="310">
        <v>2024</v>
      </c>
      <c r="J776" s="310">
        <v>2025</v>
      </c>
      <c r="K776" s="310">
        <v>2026</v>
      </c>
      <c r="L776" s="310">
        <v>2027</v>
      </c>
      <c r="M776" s="310">
        <v>2028</v>
      </c>
      <c r="N776" s="1228"/>
      <c r="O776" s="310">
        <v>2019</v>
      </c>
      <c r="P776" s="310">
        <v>2020</v>
      </c>
      <c r="Q776" s="310">
        <v>2021</v>
      </c>
      <c r="R776" s="310">
        <v>2022</v>
      </c>
      <c r="S776" s="310">
        <v>2023</v>
      </c>
      <c r="T776" s="310">
        <v>2024</v>
      </c>
      <c r="U776" s="310">
        <v>2025</v>
      </c>
      <c r="V776" s="310">
        <v>2026</v>
      </c>
      <c r="W776" s="310">
        <v>2027</v>
      </c>
      <c r="X776" s="310">
        <v>2028</v>
      </c>
      <c r="Y776" s="310" t="str">
        <f>'1.  LRAMVA Summary'!D51</f>
        <v>Residential</v>
      </c>
      <c r="Z776" s="310" t="str">
        <f>'1.  LRAMVA Summary'!E51</f>
        <v>GS&lt;50 kW</v>
      </c>
      <c r="AA776" s="310" t="str">
        <f>'1.  LRAMVA Summary'!F51</f>
        <v>GS&gt;50 kW</v>
      </c>
      <c r="AB776" s="310" t="str">
        <f>'1.  LRAMVA Summary'!G51</f>
        <v>Large Use</v>
      </c>
      <c r="AC776" s="310" t="str">
        <f>'1.  LRAMVA Summary'!H51</f>
        <v>Unmetered Scattered Load</v>
      </c>
      <c r="AD776" s="310" t="str">
        <f>'1.  LRAMVA Summary'!I51</f>
        <v>Sentinel Lighting</v>
      </c>
      <c r="AE776" s="310" t="str">
        <f>'1.  LRAMVA Summary'!J51</f>
        <v>Street Lighting</v>
      </c>
      <c r="AF776" s="310" t="str">
        <f>'1.  LRAMVA Summary'!K51</f>
        <v/>
      </c>
      <c r="AG776" s="310" t="str">
        <f>'1.  LRAMVA Summary'!L51</f>
        <v/>
      </c>
      <c r="AH776" s="310" t="str">
        <f>'1.  LRAMVA Summary'!M51</f>
        <v/>
      </c>
      <c r="AI776" s="310" t="str">
        <f>'1.  LRAMVA Summary'!N51</f>
        <v/>
      </c>
      <c r="AJ776" s="310" t="str">
        <f>'1.  LRAMVA Summary'!O51</f>
        <v/>
      </c>
      <c r="AK776" s="310" t="str">
        <f>'1.  LRAMVA Summary'!P51</f>
        <v/>
      </c>
      <c r="AL776" s="310" t="str">
        <f>'1.  LRAMVA Summary'!Q51</f>
        <v/>
      </c>
      <c r="AM776" s="312" t="str">
        <f>'1.  LRAMVA Summary'!R51</f>
        <v>Total</v>
      </c>
    </row>
    <row r="777" spans="1:39" ht="15.75" customHeight="1">
      <c r="A777" s="560"/>
      <c r="B777" s="547" t="s">
        <v>518</v>
      </c>
      <c r="C777" s="314"/>
      <c r="D777" s="314"/>
      <c r="E777" s="314"/>
      <c r="F777" s="314"/>
      <c r="G777" s="314"/>
      <c r="H777" s="314"/>
      <c r="I777" s="314"/>
      <c r="J777" s="314"/>
      <c r="K777" s="314"/>
      <c r="L777" s="314"/>
      <c r="M777" s="314"/>
      <c r="N777" s="315"/>
      <c r="O777" s="314"/>
      <c r="P777" s="314"/>
      <c r="Q777" s="314"/>
      <c r="R777" s="314"/>
      <c r="S777" s="314"/>
      <c r="T777" s="314"/>
      <c r="U777" s="314"/>
      <c r="V777" s="314"/>
      <c r="W777" s="314"/>
      <c r="X777" s="314"/>
      <c r="Y777" s="316" t="str">
        <f>'1.  LRAMVA Summary'!D52</f>
        <v>kWh</v>
      </c>
      <c r="Z777" s="316" t="str">
        <f>'1.  LRAMVA Summary'!E52</f>
        <v>kWh</v>
      </c>
      <c r="AA777" s="316" t="str">
        <f>'1.  LRAMVA Summary'!F52</f>
        <v>kW</v>
      </c>
      <c r="AB777" s="316" t="str">
        <f>'1.  LRAMVA Summary'!G52</f>
        <v>kW</v>
      </c>
      <c r="AC777" s="316" t="str">
        <f>'1.  LRAMVA Summary'!H52</f>
        <v>kWh</v>
      </c>
      <c r="AD777" s="316" t="str">
        <f>'1.  LRAMVA Summary'!I52</f>
        <v>kW</v>
      </c>
      <c r="AE777" s="316" t="str">
        <f>'1.  LRAMVA Summary'!J52</f>
        <v>kW</v>
      </c>
      <c r="AF777" s="316" t="str">
        <f>'1.  LRAMVA Summary'!K52</f>
        <v/>
      </c>
      <c r="AG777" s="316" t="str">
        <f>'1.  LRAMVA Summary'!L52</f>
        <v/>
      </c>
      <c r="AH777" s="316" t="str">
        <f>'1.  LRAMVA Summary'!M52</f>
        <v/>
      </c>
      <c r="AI777" s="316" t="str">
        <f>'1.  LRAMVA Summary'!N52</f>
        <v/>
      </c>
      <c r="AJ777" s="316" t="str">
        <f>'1.  LRAMVA Summary'!O52</f>
        <v/>
      </c>
      <c r="AK777" s="316" t="str">
        <f>'1.  LRAMVA Summary'!P52</f>
        <v/>
      </c>
      <c r="AL777" s="316" t="str">
        <f>'1.  LRAMVA Summary'!Q52</f>
        <v/>
      </c>
      <c r="AM777" s="317"/>
    </row>
    <row r="778" spans="1:39" ht="15.6" hidden="1" outlineLevel="1">
      <c r="A778" s="560"/>
      <c r="B778" s="533" t="s">
        <v>511</v>
      </c>
      <c r="C778" s="314"/>
      <c r="D778" s="314"/>
      <c r="E778" s="314"/>
      <c r="F778" s="314"/>
      <c r="G778" s="314"/>
      <c r="H778" s="314"/>
      <c r="I778" s="314"/>
      <c r="J778" s="314"/>
      <c r="K778" s="314"/>
      <c r="L778" s="314"/>
      <c r="M778" s="314"/>
      <c r="N778" s="315"/>
      <c r="O778" s="314"/>
      <c r="P778" s="314"/>
      <c r="Q778" s="314"/>
      <c r="R778" s="314"/>
      <c r="S778" s="314"/>
      <c r="T778" s="314"/>
      <c r="U778" s="314"/>
      <c r="V778" s="314"/>
      <c r="W778" s="314"/>
      <c r="X778" s="314"/>
      <c r="Y778" s="316"/>
      <c r="Z778" s="316"/>
      <c r="AA778" s="316"/>
      <c r="AB778" s="316"/>
      <c r="AC778" s="316"/>
      <c r="AD778" s="316"/>
      <c r="AE778" s="316"/>
      <c r="AF778" s="316"/>
      <c r="AG778" s="316"/>
      <c r="AH778" s="316"/>
      <c r="AI778" s="316"/>
      <c r="AJ778" s="316"/>
      <c r="AK778" s="316"/>
      <c r="AL778" s="316"/>
      <c r="AM778" s="317"/>
    </row>
    <row r="779" spans="1:39" ht="15" hidden="1" outlineLevel="1">
      <c r="A779" s="560">
        <v>1</v>
      </c>
      <c r="B779" s="448" t="s">
        <v>95</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0"/>
      <c r="Z779" s="430"/>
      <c r="AA779" s="430"/>
      <c r="AB779" s="430"/>
      <c r="AC779" s="430"/>
      <c r="AD779" s="430"/>
      <c r="AE779" s="430"/>
      <c r="AF779" s="430"/>
      <c r="AG779" s="430"/>
      <c r="AH779" s="430"/>
      <c r="AI779" s="430"/>
      <c r="AJ779" s="430"/>
      <c r="AK779" s="430"/>
      <c r="AL779" s="430"/>
      <c r="AM779" s="321">
        <f>SUM(Y779:AL779)</f>
        <v>0</v>
      </c>
    </row>
    <row r="780" spans="1:39" ht="15"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08">Z779</f>
        <v>0</v>
      </c>
      <c r="AA780" s="431">
        <f t="shared" ref="AA780" si="2309">AA779</f>
        <v>0</v>
      </c>
      <c r="AB780" s="431">
        <f t="shared" ref="AB780" si="2310">AB779</f>
        <v>0</v>
      </c>
      <c r="AC780" s="431">
        <f t="shared" ref="AC780" si="2311">AC779</f>
        <v>0</v>
      </c>
      <c r="AD780" s="431">
        <f t="shared" ref="AD780" si="2312">AD779</f>
        <v>0</v>
      </c>
      <c r="AE780" s="431">
        <f t="shared" ref="AE780" si="2313">AE779</f>
        <v>0</v>
      </c>
      <c r="AF780" s="431">
        <f t="shared" ref="AF780" si="2314">AF779</f>
        <v>0</v>
      </c>
      <c r="AG780" s="431">
        <f t="shared" ref="AG780" si="2315">AG779</f>
        <v>0</v>
      </c>
      <c r="AH780" s="431">
        <f t="shared" ref="AH780" si="2316">AH779</f>
        <v>0</v>
      </c>
      <c r="AI780" s="431">
        <f t="shared" ref="AI780" si="2317">AI779</f>
        <v>0</v>
      </c>
      <c r="AJ780" s="431">
        <f t="shared" ref="AJ780" si="2318">AJ779</f>
        <v>0</v>
      </c>
      <c r="AK780" s="431">
        <f t="shared" ref="AK780" si="2319">AK779</f>
        <v>0</v>
      </c>
      <c r="AL780" s="431">
        <f t="shared" ref="AL780" si="2320">AL779</f>
        <v>0</v>
      </c>
      <c r="AM780" s="322"/>
    </row>
    <row r="781" spans="1:39" ht="15.6" hidden="1" outlineLevel="1">
      <c r="A781" s="560"/>
      <c r="B781" s="323"/>
      <c r="C781" s="324"/>
      <c r="D781" s="324"/>
      <c r="E781" s="324"/>
      <c r="F781" s="324"/>
      <c r="G781" s="324"/>
      <c r="H781" s="324"/>
      <c r="I781" s="324"/>
      <c r="J781" s="324"/>
      <c r="K781" s="324"/>
      <c r="L781" s="324"/>
      <c r="M781" s="324"/>
      <c r="N781" s="325"/>
      <c r="O781" s="324"/>
      <c r="P781" s="324"/>
      <c r="Q781" s="324"/>
      <c r="R781" s="324"/>
      <c r="S781" s="324"/>
      <c r="T781" s="324"/>
      <c r="U781" s="324"/>
      <c r="V781" s="324"/>
      <c r="W781" s="324"/>
      <c r="X781" s="324"/>
      <c r="Y781" s="432"/>
      <c r="Z781" s="433"/>
      <c r="AA781" s="433"/>
      <c r="AB781" s="433"/>
      <c r="AC781" s="433"/>
      <c r="AD781" s="433"/>
      <c r="AE781" s="433"/>
      <c r="AF781" s="433"/>
      <c r="AG781" s="433"/>
      <c r="AH781" s="433"/>
      <c r="AI781" s="433"/>
      <c r="AJ781" s="433"/>
      <c r="AK781" s="433"/>
      <c r="AL781" s="433"/>
      <c r="AM781" s="327"/>
    </row>
    <row r="782" spans="1:39" ht="15" hidden="1" outlineLevel="1">
      <c r="A782" s="560">
        <v>2</v>
      </c>
      <c r="B782" s="448" t="s">
        <v>96</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0"/>
      <c r="Z782" s="430"/>
      <c r="AA782" s="430"/>
      <c r="AB782" s="430"/>
      <c r="AC782" s="430"/>
      <c r="AD782" s="430"/>
      <c r="AE782" s="430"/>
      <c r="AF782" s="430"/>
      <c r="AG782" s="430"/>
      <c r="AH782" s="430"/>
      <c r="AI782" s="430"/>
      <c r="AJ782" s="430"/>
      <c r="AK782" s="430"/>
      <c r="AL782" s="430"/>
      <c r="AM782" s="321">
        <f>SUM(Y782:AL782)</f>
        <v>0</v>
      </c>
    </row>
    <row r="783" spans="1:39" ht="15" hidden="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21">Z782</f>
        <v>0</v>
      </c>
      <c r="AA783" s="431">
        <f t="shared" ref="AA783" si="2322">AA782</f>
        <v>0</v>
      </c>
      <c r="AB783" s="431">
        <f t="shared" ref="AB783" si="2323">AB782</f>
        <v>0</v>
      </c>
      <c r="AC783" s="431">
        <f t="shared" ref="AC783" si="2324">AC782</f>
        <v>0</v>
      </c>
      <c r="AD783" s="431">
        <f t="shared" ref="AD783" si="2325">AD782</f>
        <v>0</v>
      </c>
      <c r="AE783" s="431">
        <f t="shared" ref="AE783" si="2326">AE782</f>
        <v>0</v>
      </c>
      <c r="AF783" s="431">
        <f t="shared" ref="AF783" si="2327">AF782</f>
        <v>0</v>
      </c>
      <c r="AG783" s="431">
        <f t="shared" ref="AG783" si="2328">AG782</f>
        <v>0</v>
      </c>
      <c r="AH783" s="431">
        <f t="shared" ref="AH783" si="2329">AH782</f>
        <v>0</v>
      </c>
      <c r="AI783" s="431">
        <f t="shared" ref="AI783" si="2330">AI782</f>
        <v>0</v>
      </c>
      <c r="AJ783" s="431">
        <f t="shared" ref="AJ783" si="2331">AJ782</f>
        <v>0</v>
      </c>
      <c r="AK783" s="431">
        <f t="shared" ref="AK783" si="2332">AK782</f>
        <v>0</v>
      </c>
      <c r="AL783" s="431">
        <f t="shared" ref="AL783" si="2333">AL782</f>
        <v>0</v>
      </c>
      <c r="AM783" s="322"/>
    </row>
    <row r="784" spans="1:39" ht="15.6" hidden="1" outlineLevel="1">
      <c r="A784" s="560"/>
      <c r="B784" s="323"/>
      <c r="C784" s="324"/>
      <c r="D784" s="329"/>
      <c r="E784" s="329"/>
      <c r="F784" s="329"/>
      <c r="G784" s="329"/>
      <c r="H784" s="329"/>
      <c r="I784" s="329"/>
      <c r="J784" s="329"/>
      <c r="K784" s="329"/>
      <c r="L784" s="329"/>
      <c r="M784" s="329"/>
      <c r="N784" s="325"/>
      <c r="O784" s="329"/>
      <c r="P784" s="329"/>
      <c r="Q784" s="329"/>
      <c r="R784" s="329"/>
      <c r="S784" s="329"/>
      <c r="T784" s="329"/>
      <c r="U784" s="329"/>
      <c r="V784" s="329"/>
      <c r="W784" s="329"/>
      <c r="X784" s="329"/>
      <c r="Y784" s="432"/>
      <c r="Z784" s="433"/>
      <c r="AA784" s="433"/>
      <c r="AB784" s="433"/>
      <c r="AC784" s="433"/>
      <c r="AD784" s="433"/>
      <c r="AE784" s="433"/>
      <c r="AF784" s="433"/>
      <c r="AG784" s="433"/>
      <c r="AH784" s="433"/>
      <c r="AI784" s="433"/>
      <c r="AJ784" s="433"/>
      <c r="AK784" s="433"/>
      <c r="AL784" s="433"/>
      <c r="AM784" s="327"/>
    </row>
    <row r="785" spans="1:39" ht="15" hidden="1" outlineLevel="1">
      <c r="A785" s="560">
        <v>3</v>
      </c>
      <c r="B785" s="448" t="s">
        <v>97</v>
      </c>
      <c r="C785" s="316" t="s">
        <v>25</v>
      </c>
      <c r="D785" s="320"/>
      <c r="E785" s="320"/>
      <c r="F785" s="320"/>
      <c r="G785" s="320"/>
      <c r="H785" s="320"/>
      <c r="I785" s="320"/>
      <c r="J785" s="320"/>
      <c r="K785" s="320"/>
      <c r="L785" s="320"/>
      <c r="M785" s="320"/>
      <c r="N785" s="316"/>
      <c r="O785" s="320"/>
      <c r="P785" s="320"/>
      <c r="Q785" s="320"/>
      <c r="R785" s="320"/>
      <c r="S785" s="320"/>
      <c r="T785" s="320"/>
      <c r="U785" s="320"/>
      <c r="V785" s="320"/>
      <c r="W785" s="320"/>
      <c r="X785" s="320"/>
      <c r="Y785" s="430"/>
      <c r="Z785" s="430"/>
      <c r="AA785" s="430"/>
      <c r="AB785" s="430"/>
      <c r="AC785" s="430"/>
      <c r="AD785" s="430"/>
      <c r="AE785" s="430"/>
      <c r="AF785" s="430"/>
      <c r="AG785" s="430"/>
      <c r="AH785" s="430"/>
      <c r="AI785" s="430"/>
      <c r="AJ785" s="430"/>
      <c r="AK785" s="430"/>
      <c r="AL785" s="430"/>
      <c r="AM785" s="321">
        <f>SUM(Y785:AL785)</f>
        <v>0</v>
      </c>
    </row>
    <row r="786" spans="1:39" ht="15" hidden="1" outlineLevel="1">
      <c r="A786" s="560"/>
      <c r="B786" s="319" t="s">
        <v>345</v>
      </c>
      <c r="C786" s="316" t="s">
        <v>164</v>
      </c>
      <c r="D786" s="320"/>
      <c r="E786" s="320"/>
      <c r="F786" s="320"/>
      <c r="G786" s="320"/>
      <c r="H786" s="320"/>
      <c r="I786" s="320"/>
      <c r="J786" s="320"/>
      <c r="K786" s="320"/>
      <c r="L786" s="320"/>
      <c r="M786" s="320"/>
      <c r="N786" s="488"/>
      <c r="O786" s="320"/>
      <c r="P786" s="320"/>
      <c r="Q786" s="320"/>
      <c r="R786" s="320"/>
      <c r="S786" s="320"/>
      <c r="T786" s="320"/>
      <c r="U786" s="320"/>
      <c r="V786" s="320"/>
      <c r="W786" s="320"/>
      <c r="X786" s="320"/>
      <c r="Y786" s="431">
        <f>Y785</f>
        <v>0</v>
      </c>
      <c r="Z786" s="431">
        <f t="shared" ref="Z786" si="2334">Z785</f>
        <v>0</v>
      </c>
      <c r="AA786" s="431">
        <f t="shared" ref="AA786" si="2335">AA785</f>
        <v>0</v>
      </c>
      <c r="AB786" s="431">
        <f t="shared" ref="AB786" si="2336">AB785</f>
        <v>0</v>
      </c>
      <c r="AC786" s="431">
        <f t="shared" ref="AC786" si="2337">AC785</f>
        <v>0</v>
      </c>
      <c r="AD786" s="431">
        <f t="shared" ref="AD786" si="2338">AD785</f>
        <v>0</v>
      </c>
      <c r="AE786" s="431">
        <f t="shared" ref="AE786" si="2339">AE785</f>
        <v>0</v>
      </c>
      <c r="AF786" s="431">
        <f t="shared" ref="AF786" si="2340">AF785</f>
        <v>0</v>
      </c>
      <c r="AG786" s="431">
        <f t="shared" ref="AG786" si="2341">AG785</f>
        <v>0</v>
      </c>
      <c r="AH786" s="431">
        <f t="shared" ref="AH786" si="2342">AH785</f>
        <v>0</v>
      </c>
      <c r="AI786" s="431">
        <f t="shared" ref="AI786" si="2343">AI785</f>
        <v>0</v>
      </c>
      <c r="AJ786" s="431">
        <f t="shared" ref="AJ786" si="2344">AJ785</f>
        <v>0</v>
      </c>
      <c r="AK786" s="431">
        <f t="shared" ref="AK786" si="2345">AK785</f>
        <v>0</v>
      </c>
      <c r="AL786" s="431">
        <f t="shared" ref="AL786" si="2346">AL785</f>
        <v>0</v>
      </c>
      <c r="AM786" s="322"/>
    </row>
    <row r="787" spans="1:39" ht="15" hidden="1" outlineLevel="1">
      <c r="A787" s="560"/>
      <c r="B787" s="319"/>
      <c r="C787" s="330"/>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432"/>
      <c r="Z787" s="432"/>
      <c r="AA787" s="432"/>
      <c r="AB787" s="432"/>
      <c r="AC787" s="432"/>
      <c r="AD787" s="432"/>
      <c r="AE787" s="432"/>
      <c r="AF787" s="432"/>
      <c r="AG787" s="432"/>
      <c r="AH787" s="432"/>
      <c r="AI787" s="432"/>
      <c r="AJ787" s="432"/>
      <c r="AK787" s="432"/>
      <c r="AL787" s="432"/>
      <c r="AM787" s="331"/>
    </row>
    <row r="788" spans="1:39" ht="15" hidden="1" outlineLevel="1">
      <c r="A788" s="560">
        <v>4</v>
      </c>
      <c r="B788" s="448" t="s">
        <v>98</v>
      </c>
      <c r="C788" s="316" t="s">
        <v>25</v>
      </c>
      <c r="D788" s="320"/>
      <c r="E788" s="320"/>
      <c r="F788" s="320"/>
      <c r="G788" s="320"/>
      <c r="H788" s="320"/>
      <c r="I788" s="320"/>
      <c r="J788" s="320"/>
      <c r="K788" s="320"/>
      <c r="L788" s="320"/>
      <c r="M788" s="320"/>
      <c r="N788" s="316"/>
      <c r="O788" s="320"/>
      <c r="P788" s="320"/>
      <c r="Q788" s="320"/>
      <c r="R788" s="320"/>
      <c r="S788" s="320"/>
      <c r="T788" s="320"/>
      <c r="U788" s="320"/>
      <c r="V788" s="320"/>
      <c r="W788" s="320"/>
      <c r="X788" s="320"/>
      <c r="Y788" s="435"/>
      <c r="Z788" s="435"/>
      <c r="AA788" s="435"/>
      <c r="AB788" s="435"/>
      <c r="AC788" s="435"/>
      <c r="AD788" s="435"/>
      <c r="AE788" s="435"/>
      <c r="AF788" s="430"/>
      <c r="AG788" s="430"/>
      <c r="AH788" s="430"/>
      <c r="AI788" s="430"/>
      <c r="AJ788" s="430"/>
      <c r="AK788" s="430"/>
      <c r="AL788" s="430"/>
      <c r="AM788" s="321">
        <f>SUM(Y788:AL788)</f>
        <v>0</v>
      </c>
    </row>
    <row r="789" spans="1:39" ht="15" hidden="1" outlineLevel="1">
      <c r="A789" s="560"/>
      <c r="B789" s="319" t="s">
        <v>345</v>
      </c>
      <c r="C789" s="316" t="s">
        <v>164</v>
      </c>
      <c r="D789" s="320"/>
      <c r="E789" s="320"/>
      <c r="F789" s="320"/>
      <c r="G789" s="320"/>
      <c r="H789" s="320"/>
      <c r="I789" s="320"/>
      <c r="J789" s="320"/>
      <c r="K789" s="320"/>
      <c r="L789" s="320"/>
      <c r="M789" s="320"/>
      <c r="N789" s="488"/>
      <c r="O789" s="320"/>
      <c r="P789" s="320"/>
      <c r="Q789" s="320"/>
      <c r="R789" s="320"/>
      <c r="S789" s="320"/>
      <c r="T789" s="320"/>
      <c r="U789" s="320"/>
      <c r="V789" s="320"/>
      <c r="W789" s="320"/>
      <c r="X789" s="320"/>
      <c r="Y789" s="431">
        <f>Y788</f>
        <v>0</v>
      </c>
      <c r="Z789" s="431">
        <f t="shared" ref="Z789" si="2347">Z788</f>
        <v>0</v>
      </c>
      <c r="AA789" s="431">
        <f t="shared" ref="AA789" si="2348">AA788</f>
        <v>0</v>
      </c>
      <c r="AB789" s="431">
        <f t="shared" ref="AB789" si="2349">AB788</f>
        <v>0</v>
      </c>
      <c r="AC789" s="431">
        <f t="shared" ref="AC789" si="2350">AC788</f>
        <v>0</v>
      </c>
      <c r="AD789" s="431">
        <f t="shared" ref="AD789" si="2351">AD788</f>
        <v>0</v>
      </c>
      <c r="AE789" s="431">
        <f t="shared" ref="AE789" si="2352">AE788</f>
        <v>0</v>
      </c>
      <c r="AF789" s="431">
        <f t="shared" ref="AF789" si="2353">AF788</f>
        <v>0</v>
      </c>
      <c r="AG789" s="431">
        <f t="shared" ref="AG789" si="2354">AG788</f>
        <v>0</v>
      </c>
      <c r="AH789" s="431">
        <f t="shared" ref="AH789" si="2355">AH788</f>
        <v>0</v>
      </c>
      <c r="AI789" s="431">
        <f t="shared" ref="AI789" si="2356">AI788</f>
        <v>0</v>
      </c>
      <c r="AJ789" s="431">
        <f t="shared" ref="AJ789" si="2357">AJ788</f>
        <v>0</v>
      </c>
      <c r="AK789" s="431">
        <f t="shared" ref="AK789" si="2358">AK788</f>
        <v>0</v>
      </c>
      <c r="AL789" s="431">
        <f t="shared" ref="AL789" si="2359">AL788</f>
        <v>0</v>
      </c>
      <c r="AM789" s="322"/>
    </row>
    <row r="790" spans="1:39" ht="15" hidden="1" outlineLevel="1">
      <c r="A790" s="560"/>
      <c r="B790" s="319"/>
      <c r="C790" s="330"/>
      <c r="D790" s="329"/>
      <c r="E790" s="329"/>
      <c r="F790" s="329"/>
      <c r="G790" s="329"/>
      <c r="H790" s="329"/>
      <c r="I790" s="329"/>
      <c r="J790" s="329"/>
      <c r="K790" s="329"/>
      <c r="L790" s="329"/>
      <c r="M790" s="329"/>
      <c r="N790" s="316"/>
      <c r="O790" s="329"/>
      <c r="P790" s="329"/>
      <c r="Q790" s="329"/>
      <c r="R790" s="329"/>
      <c r="S790" s="329"/>
      <c r="T790" s="329"/>
      <c r="U790" s="329"/>
      <c r="V790" s="329"/>
      <c r="W790" s="329"/>
      <c r="X790" s="329"/>
      <c r="Y790" s="432"/>
      <c r="Z790" s="432"/>
      <c r="AA790" s="432"/>
      <c r="AB790" s="432"/>
      <c r="AC790" s="432"/>
      <c r="AD790" s="432"/>
      <c r="AE790" s="432"/>
      <c r="AF790" s="432"/>
      <c r="AG790" s="432"/>
      <c r="AH790" s="432"/>
      <c r="AI790" s="432"/>
      <c r="AJ790" s="432"/>
      <c r="AK790" s="432"/>
      <c r="AL790" s="432"/>
      <c r="AM790" s="331"/>
    </row>
    <row r="791" spans="1:39" ht="15.75" hidden="1" customHeight="1" outlineLevel="1">
      <c r="A791" s="560">
        <v>5</v>
      </c>
      <c r="B791" s="448" t="s">
        <v>99</v>
      </c>
      <c r="C791" s="316" t="s">
        <v>25</v>
      </c>
      <c r="D791" s="320"/>
      <c r="E791" s="320"/>
      <c r="F791" s="320"/>
      <c r="G791" s="320"/>
      <c r="H791" s="320"/>
      <c r="I791" s="320"/>
      <c r="J791" s="320"/>
      <c r="K791" s="320"/>
      <c r="L791" s="320"/>
      <c r="M791" s="320"/>
      <c r="N791" s="316"/>
      <c r="O791" s="320"/>
      <c r="P791" s="320"/>
      <c r="Q791" s="320"/>
      <c r="R791" s="320"/>
      <c r="S791" s="320"/>
      <c r="T791" s="320"/>
      <c r="U791" s="320"/>
      <c r="V791" s="320"/>
      <c r="W791" s="320"/>
      <c r="X791" s="320"/>
      <c r="Y791" s="435"/>
      <c r="Z791" s="435"/>
      <c r="AA791" s="435"/>
      <c r="AB791" s="435"/>
      <c r="AC791" s="435"/>
      <c r="AD791" s="435"/>
      <c r="AE791" s="435"/>
      <c r="AF791" s="430"/>
      <c r="AG791" s="430"/>
      <c r="AH791" s="430"/>
      <c r="AI791" s="430"/>
      <c r="AJ791" s="430"/>
      <c r="AK791" s="430"/>
      <c r="AL791" s="430"/>
      <c r="AM791" s="321">
        <f>SUM(Y791:AL791)</f>
        <v>0</v>
      </c>
    </row>
    <row r="792" spans="1:39" ht="20.25" hidden="1" customHeight="1" outlineLevel="1">
      <c r="A792" s="560"/>
      <c r="B792" s="319" t="s">
        <v>345</v>
      </c>
      <c r="C792" s="316" t="s">
        <v>164</v>
      </c>
      <c r="D792" s="320"/>
      <c r="E792" s="320"/>
      <c r="F792" s="320"/>
      <c r="G792" s="320"/>
      <c r="H792" s="320"/>
      <c r="I792" s="320"/>
      <c r="J792" s="320"/>
      <c r="K792" s="320"/>
      <c r="L792" s="320"/>
      <c r="M792" s="320"/>
      <c r="N792" s="488"/>
      <c r="O792" s="320"/>
      <c r="P792" s="320"/>
      <c r="Q792" s="320"/>
      <c r="R792" s="320"/>
      <c r="S792" s="320"/>
      <c r="T792" s="320"/>
      <c r="U792" s="320"/>
      <c r="V792" s="320"/>
      <c r="W792" s="320"/>
      <c r="X792" s="320"/>
      <c r="Y792" s="431">
        <f>Y791</f>
        <v>0</v>
      </c>
      <c r="Z792" s="431">
        <f t="shared" ref="Z792" si="2360">Z791</f>
        <v>0</v>
      </c>
      <c r="AA792" s="431">
        <f t="shared" ref="AA792" si="2361">AA791</f>
        <v>0</v>
      </c>
      <c r="AB792" s="431">
        <f t="shared" ref="AB792" si="2362">AB791</f>
        <v>0</v>
      </c>
      <c r="AC792" s="431">
        <f t="shared" ref="AC792" si="2363">AC791</f>
        <v>0</v>
      </c>
      <c r="AD792" s="431">
        <f t="shared" ref="AD792" si="2364">AD791</f>
        <v>0</v>
      </c>
      <c r="AE792" s="431">
        <f t="shared" ref="AE792" si="2365">AE791</f>
        <v>0</v>
      </c>
      <c r="AF792" s="431">
        <f t="shared" ref="AF792" si="2366">AF791</f>
        <v>0</v>
      </c>
      <c r="AG792" s="431">
        <f t="shared" ref="AG792" si="2367">AG791</f>
        <v>0</v>
      </c>
      <c r="AH792" s="431">
        <f t="shared" ref="AH792" si="2368">AH791</f>
        <v>0</v>
      </c>
      <c r="AI792" s="431">
        <f t="shared" ref="AI792" si="2369">AI791</f>
        <v>0</v>
      </c>
      <c r="AJ792" s="431">
        <f t="shared" ref="AJ792" si="2370">AJ791</f>
        <v>0</v>
      </c>
      <c r="AK792" s="431">
        <f t="shared" ref="AK792" si="2371">AK791</f>
        <v>0</v>
      </c>
      <c r="AL792" s="431">
        <f t="shared" ref="AL792" si="2372">AL791</f>
        <v>0</v>
      </c>
      <c r="AM792" s="322"/>
    </row>
    <row r="793" spans="1:39" ht="15" hidden="1" outlineLevel="1">
      <c r="A793" s="560"/>
      <c r="B793" s="319"/>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442"/>
      <c r="Z793" s="443"/>
      <c r="AA793" s="443"/>
      <c r="AB793" s="443"/>
      <c r="AC793" s="443"/>
      <c r="AD793" s="443"/>
      <c r="AE793" s="443"/>
      <c r="AF793" s="443"/>
      <c r="AG793" s="443"/>
      <c r="AH793" s="443"/>
      <c r="AI793" s="443"/>
      <c r="AJ793" s="443"/>
      <c r="AK793" s="443"/>
      <c r="AL793" s="443"/>
      <c r="AM793" s="322"/>
    </row>
    <row r="794" spans="1:39" ht="15.6" hidden="1" outlineLevel="1">
      <c r="A794" s="560"/>
      <c r="B794" s="344" t="s">
        <v>512</v>
      </c>
      <c r="C794" s="314"/>
      <c r="D794" s="314"/>
      <c r="E794" s="314"/>
      <c r="F794" s="314"/>
      <c r="G794" s="314"/>
      <c r="H794" s="314"/>
      <c r="I794" s="314"/>
      <c r="J794" s="314"/>
      <c r="K794" s="314"/>
      <c r="L794" s="314"/>
      <c r="M794" s="314"/>
      <c r="N794" s="315"/>
      <c r="O794" s="314"/>
      <c r="P794" s="314"/>
      <c r="Q794" s="314"/>
      <c r="R794" s="314"/>
      <c r="S794" s="314"/>
      <c r="T794" s="314"/>
      <c r="U794" s="314"/>
      <c r="V794" s="314"/>
      <c r="W794" s="314"/>
      <c r="X794" s="314"/>
      <c r="Y794" s="434"/>
      <c r="Z794" s="434"/>
      <c r="AA794" s="434"/>
      <c r="AB794" s="434"/>
      <c r="AC794" s="434"/>
      <c r="AD794" s="434"/>
      <c r="AE794" s="434"/>
      <c r="AF794" s="434"/>
      <c r="AG794" s="434"/>
      <c r="AH794" s="434"/>
      <c r="AI794" s="434"/>
      <c r="AJ794" s="434"/>
      <c r="AK794" s="434"/>
      <c r="AL794" s="434"/>
      <c r="AM794" s="317"/>
    </row>
    <row r="795" spans="1:39" ht="15" hidden="1" outlineLevel="1">
      <c r="A795" s="560">
        <v>6</v>
      </c>
      <c r="B795" s="448" t="s">
        <v>100</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t="15"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373">Z795</f>
        <v>0</v>
      </c>
      <c r="AA796" s="431">
        <f t="shared" ref="AA796" si="2374">AA795</f>
        <v>0</v>
      </c>
      <c r="AB796" s="431">
        <f t="shared" ref="AB796" si="2375">AB795</f>
        <v>0</v>
      </c>
      <c r="AC796" s="431">
        <f t="shared" ref="AC796" si="2376">AC795</f>
        <v>0</v>
      </c>
      <c r="AD796" s="431">
        <f t="shared" ref="AD796" si="2377">AD795</f>
        <v>0</v>
      </c>
      <c r="AE796" s="431">
        <f t="shared" ref="AE796" si="2378">AE795</f>
        <v>0</v>
      </c>
      <c r="AF796" s="431">
        <f t="shared" ref="AF796" si="2379">AF795</f>
        <v>0</v>
      </c>
      <c r="AG796" s="431">
        <f t="shared" ref="AG796" si="2380">AG795</f>
        <v>0</v>
      </c>
      <c r="AH796" s="431">
        <f t="shared" ref="AH796" si="2381">AH795</f>
        <v>0</v>
      </c>
      <c r="AI796" s="431">
        <f t="shared" ref="AI796" si="2382">AI795</f>
        <v>0</v>
      </c>
      <c r="AJ796" s="431">
        <f t="shared" ref="AJ796" si="2383">AJ795</f>
        <v>0</v>
      </c>
      <c r="AK796" s="431">
        <f t="shared" ref="AK796" si="2384">AK795</f>
        <v>0</v>
      </c>
      <c r="AL796" s="431">
        <f t="shared" ref="AL796" si="2385">AL795</f>
        <v>0</v>
      </c>
      <c r="AM796" s="336"/>
    </row>
    <row r="797" spans="1:39" ht="15" hidden="1" outlineLevel="1">
      <c r="A797" s="560"/>
      <c r="B797" s="335"/>
      <c r="C797" s="337"/>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436"/>
      <c r="Z797" s="436"/>
      <c r="AA797" s="436"/>
      <c r="AB797" s="436"/>
      <c r="AC797" s="436"/>
      <c r="AD797" s="436"/>
      <c r="AE797" s="436"/>
      <c r="AF797" s="436"/>
      <c r="AG797" s="436"/>
      <c r="AH797" s="436"/>
      <c r="AI797" s="436"/>
      <c r="AJ797" s="436"/>
      <c r="AK797" s="436"/>
      <c r="AL797" s="436"/>
      <c r="AM797" s="338"/>
    </row>
    <row r="798" spans="1:39" ht="30" hidden="1" outlineLevel="1">
      <c r="A798" s="560">
        <v>7</v>
      </c>
      <c r="B798" s="448" t="s">
        <v>101</v>
      </c>
      <c r="C798" s="316" t="s">
        <v>25</v>
      </c>
      <c r="D798" s="320"/>
      <c r="E798" s="320"/>
      <c r="F798" s="320"/>
      <c r="G798" s="320"/>
      <c r="H798" s="320"/>
      <c r="I798" s="320"/>
      <c r="J798" s="320"/>
      <c r="K798" s="320"/>
      <c r="L798" s="320"/>
      <c r="M798" s="320"/>
      <c r="N798" s="320">
        <v>12</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t="15" hidden="1" outlineLevel="1">
      <c r="A799" s="560"/>
      <c r="B799" s="319" t="s">
        <v>345</v>
      </c>
      <c r="C799" s="316" t="s">
        <v>164</v>
      </c>
      <c r="D799" s="320"/>
      <c r="E799" s="320"/>
      <c r="F799" s="320"/>
      <c r="G799" s="320"/>
      <c r="H799" s="320"/>
      <c r="I799" s="320"/>
      <c r="J799" s="320"/>
      <c r="K799" s="320"/>
      <c r="L799" s="320"/>
      <c r="M799" s="320"/>
      <c r="N799" s="320">
        <f>N798</f>
        <v>12</v>
      </c>
      <c r="O799" s="320"/>
      <c r="P799" s="320"/>
      <c r="Q799" s="320"/>
      <c r="R799" s="320"/>
      <c r="S799" s="320"/>
      <c r="T799" s="320"/>
      <c r="U799" s="320"/>
      <c r="V799" s="320"/>
      <c r="W799" s="320"/>
      <c r="X799" s="320"/>
      <c r="Y799" s="431">
        <f>Y798</f>
        <v>0</v>
      </c>
      <c r="Z799" s="431">
        <f t="shared" ref="Z799" si="2386">Z798</f>
        <v>0</v>
      </c>
      <c r="AA799" s="431">
        <f t="shared" ref="AA799" si="2387">AA798</f>
        <v>0</v>
      </c>
      <c r="AB799" s="431">
        <f t="shared" ref="AB799" si="2388">AB798</f>
        <v>0</v>
      </c>
      <c r="AC799" s="431">
        <f t="shared" ref="AC799" si="2389">AC798</f>
        <v>0</v>
      </c>
      <c r="AD799" s="431">
        <f t="shared" ref="AD799" si="2390">AD798</f>
        <v>0</v>
      </c>
      <c r="AE799" s="431">
        <f t="shared" ref="AE799" si="2391">AE798</f>
        <v>0</v>
      </c>
      <c r="AF799" s="431">
        <f t="shared" ref="AF799" si="2392">AF798</f>
        <v>0</v>
      </c>
      <c r="AG799" s="431">
        <f t="shared" ref="AG799" si="2393">AG798</f>
        <v>0</v>
      </c>
      <c r="AH799" s="431">
        <f t="shared" ref="AH799" si="2394">AH798</f>
        <v>0</v>
      </c>
      <c r="AI799" s="431">
        <f t="shared" ref="AI799" si="2395">AI798</f>
        <v>0</v>
      </c>
      <c r="AJ799" s="431">
        <f t="shared" ref="AJ799" si="2396">AJ798</f>
        <v>0</v>
      </c>
      <c r="AK799" s="431">
        <f t="shared" ref="AK799" si="2397">AK798</f>
        <v>0</v>
      </c>
      <c r="AL799" s="431">
        <f t="shared" ref="AL799" si="2398">AL798</f>
        <v>0</v>
      </c>
      <c r="AM799" s="336"/>
    </row>
    <row r="800" spans="1:39" ht="15" hidden="1" outlineLevel="1">
      <c r="A800" s="560"/>
      <c r="B800" s="339"/>
      <c r="C800" s="337"/>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436"/>
      <c r="Z800" s="437"/>
      <c r="AA800" s="436"/>
      <c r="AB800" s="436"/>
      <c r="AC800" s="436"/>
      <c r="AD800" s="436"/>
      <c r="AE800" s="436"/>
      <c r="AF800" s="436"/>
      <c r="AG800" s="436"/>
      <c r="AH800" s="436"/>
      <c r="AI800" s="436"/>
      <c r="AJ800" s="436"/>
      <c r="AK800" s="436"/>
      <c r="AL800" s="436"/>
      <c r="AM800" s="338"/>
    </row>
    <row r="801" spans="1:39" ht="30" hidden="1" outlineLevel="1">
      <c r="A801" s="560">
        <v>8</v>
      </c>
      <c r="B801" s="448" t="s">
        <v>102</v>
      </c>
      <c r="C801" s="316" t="s">
        <v>25</v>
      </c>
      <c r="D801" s="320"/>
      <c r="E801" s="320"/>
      <c r="F801" s="320"/>
      <c r="G801" s="320"/>
      <c r="H801" s="320"/>
      <c r="I801" s="320"/>
      <c r="J801" s="320"/>
      <c r="K801" s="320"/>
      <c r="L801" s="320"/>
      <c r="M801" s="320"/>
      <c r="N801" s="320">
        <v>12</v>
      </c>
      <c r="O801" s="320"/>
      <c r="P801" s="320"/>
      <c r="Q801" s="320"/>
      <c r="R801" s="320"/>
      <c r="S801" s="320"/>
      <c r="T801" s="320"/>
      <c r="U801" s="320"/>
      <c r="V801" s="320"/>
      <c r="W801" s="320"/>
      <c r="X801" s="320"/>
      <c r="Y801" s="435"/>
      <c r="Z801" s="435"/>
      <c r="AA801" s="435"/>
      <c r="AB801" s="435"/>
      <c r="AC801" s="435"/>
      <c r="AD801" s="435"/>
      <c r="AE801" s="435"/>
      <c r="AF801" s="435"/>
      <c r="AG801" s="435"/>
      <c r="AH801" s="435"/>
      <c r="AI801" s="435"/>
      <c r="AJ801" s="435"/>
      <c r="AK801" s="435"/>
      <c r="AL801" s="435"/>
      <c r="AM801" s="321">
        <f>SUM(Y801:AL801)</f>
        <v>0</v>
      </c>
    </row>
    <row r="802" spans="1:39" ht="15" hidden="1" outlineLevel="1">
      <c r="A802" s="560"/>
      <c r="B802" s="319" t="s">
        <v>345</v>
      </c>
      <c r="C802" s="316" t="s">
        <v>164</v>
      </c>
      <c r="D802" s="320"/>
      <c r="E802" s="320"/>
      <c r="F802" s="320"/>
      <c r="G802" s="320"/>
      <c r="H802" s="320"/>
      <c r="I802" s="320"/>
      <c r="J802" s="320"/>
      <c r="K802" s="320"/>
      <c r="L802" s="320"/>
      <c r="M802" s="320"/>
      <c r="N802" s="320">
        <f>N801</f>
        <v>12</v>
      </c>
      <c r="O802" s="320"/>
      <c r="P802" s="320"/>
      <c r="Q802" s="320"/>
      <c r="R802" s="320"/>
      <c r="S802" s="320"/>
      <c r="T802" s="320"/>
      <c r="U802" s="320"/>
      <c r="V802" s="320"/>
      <c r="W802" s="320"/>
      <c r="X802" s="320"/>
      <c r="Y802" s="431">
        <f>Y801</f>
        <v>0</v>
      </c>
      <c r="Z802" s="431">
        <f t="shared" ref="Z802" si="2399">Z801</f>
        <v>0</v>
      </c>
      <c r="AA802" s="431">
        <f t="shared" ref="AA802" si="2400">AA801</f>
        <v>0</v>
      </c>
      <c r="AB802" s="431">
        <f t="shared" ref="AB802" si="2401">AB801</f>
        <v>0</v>
      </c>
      <c r="AC802" s="431">
        <f t="shared" ref="AC802" si="2402">AC801</f>
        <v>0</v>
      </c>
      <c r="AD802" s="431">
        <f t="shared" ref="AD802" si="2403">AD801</f>
        <v>0</v>
      </c>
      <c r="AE802" s="431">
        <f t="shared" ref="AE802" si="2404">AE801</f>
        <v>0</v>
      </c>
      <c r="AF802" s="431">
        <f t="shared" ref="AF802" si="2405">AF801</f>
        <v>0</v>
      </c>
      <c r="AG802" s="431">
        <f t="shared" ref="AG802" si="2406">AG801</f>
        <v>0</v>
      </c>
      <c r="AH802" s="431">
        <f t="shared" ref="AH802" si="2407">AH801</f>
        <v>0</v>
      </c>
      <c r="AI802" s="431">
        <f t="shared" ref="AI802" si="2408">AI801</f>
        <v>0</v>
      </c>
      <c r="AJ802" s="431">
        <f t="shared" ref="AJ802" si="2409">AJ801</f>
        <v>0</v>
      </c>
      <c r="AK802" s="431">
        <f t="shared" ref="AK802" si="2410">AK801</f>
        <v>0</v>
      </c>
      <c r="AL802" s="431">
        <f t="shared" ref="AL802" si="2411">AL801</f>
        <v>0</v>
      </c>
      <c r="AM802" s="336"/>
    </row>
    <row r="803" spans="1:39" ht="15" hidden="1" outlineLevel="1">
      <c r="A803" s="560"/>
      <c r="B803" s="339"/>
      <c r="C803" s="337"/>
      <c r="D803" s="341"/>
      <c r="E803" s="341"/>
      <c r="F803" s="341"/>
      <c r="G803" s="341"/>
      <c r="H803" s="341"/>
      <c r="I803" s="341"/>
      <c r="J803" s="341"/>
      <c r="K803" s="341"/>
      <c r="L803" s="341"/>
      <c r="M803" s="341"/>
      <c r="N803" s="316"/>
      <c r="O803" s="341"/>
      <c r="P803" s="341"/>
      <c r="Q803" s="341"/>
      <c r="R803" s="341"/>
      <c r="S803" s="341"/>
      <c r="T803" s="341"/>
      <c r="U803" s="341"/>
      <c r="V803" s="341"/>
      <c r="W803" s="341"/>
      <c r="X803" s="341"/>
      <c r="Y803" s="436"/>
      <c r="Z803" s="437"/>
      <c r="AA803" s="436"/>
      <c r="AB803" s="436"/>
      <c r="AC803" s="436"/>
      <c r="AD803" s="436"/>
      <c r="AE803" s="436"/>
      <c r="AF803" s="436"/>
      <c r="AG803" s="436"/>
      <c r="AH803" s="436"/>
      <c r="AI803" s="436"/>
      <c r="AJ803" s="436"/>
      <c r="AK803" s="436"/>
      <c r="AL803" s="436"/>
      <c r="AM803" s="338"/>
    </row>
    <row r="804" spans="1:39" ht="30" hidden="1" outlineLevel="1">
      <c r="A804" s="560">
        <v>9</v>
      </c>
      <c r="B804" s="448" t="s">
        <v>103</v>
      </c>
      <c r="C804" s="316" t="s">
        <v>25</v>
      </c>
      <c r="D804" s="320"/>
      <c r="E804" s="320"/>
      <c r="F804" s="320"/>
      <c r="G804" s="320"/>
      <c r="H804" s="320"/>
      <c r="I804" s="320"/>
      <c r="J804" s="320"/>
      <c r="K804" s="320"/>
      <c r="L804" s="320"/>
      <c r="M804" s="320"/>
      <c r="N804" s="320">
        <v>12</v>
      </c>
      <c r="O804" s="320"/>
      <c r="P804" s="320"/>
      <c r="Q804" s="320"/>
      <c r="R804" s="320"/>
      <c r="S804" s="320"/>
      <c r="T804" s="320"/>
      <c r="U804" s="320"/>
      <c r="V804" s="320"/>
      <c r="W804" s="320"/>
      <c r="X804" s="320"/>
      <c r="Y804" s="435"/>
      <c r="Z804" s="435"/>
      <c r="AA804" s="435"/>
      <c r="AB804" s="435"/>
      <c r="AC804" s="435"/>
      <c r="AD804" s="435"/>
      <c r="AE804" s="435"/>
      <c r="AF804" s="435"/>
      <c r="AG804" s="435"/>
      <c r="AH804" s="435"/>
      <c r="AI804" s="435"/>
      <c r="AJ804" s="435"/>
      <c r="AK804" s="435"/>
      <c r="AL804" s="435"/>
      <c r="AM804" s="321">
        <f>SUM(Y804:AL804)</f>
        <v>0</v>
      </c>
    </row>
    <row r="805" spans="1:39" ht="15" hidden="1" outlineLevel="1">
      <c r="A805" s="560"/>
      <c r="B805" s="319" t="s">
        <v>345</v>
      </c>
      <c r="C805" s="316" t="s">
        <v>164</v>
      </c>
      <c r="D805" s="320"/>
      <c r="E805" s="320"/>
      <c r="F805" s="320"/>
      <c r="G805" s="320"/>
      <c r="H805" s="320"/>
      <c r="I805" s="320"/>
      <c r="J805" s="320"/>
      <c r="K805" s="320"/>
      <c r="L805" s="320"/>
      <c r="M805" s="320"/>
      <c r="N805" s="320">
        <f>N804</f>
        <v>12</v>
      </c>
      <c r="O805" s="320"/>
      <c r="P805" s="320"/>
      <c r="Q805" s="320"/>
      <c r="R805" s="320"/>
      <c r="S805" s="320"/>
      <c r="T805" s="320"/>
      <c r="U805" s="320"/>
      <c r="V805" s="320"/>
      <c r="W805" s="320"/>
      <c r="X805" s="320"/>
      <c r="Y805" s="431">
        <f>Y804</f>
        <v>0</v>
      </c>
      <c r="Z805" s="431">
        <f t="shared" ref="Z805" si="2412">Z804</f>
        <v>0</v>
      </c>
      <c r="AA805" s="431">
        <f t="shared" ref="AA805" si="2413">AA804</f>
        <v>0</v>
      </c>
      <c r="AB805" s="431">
        <f t="shared" ref="AB805" si="2414">AB804</f>
        <v>0</v>
      </c>
      <c r="AC805" s="431">
        <f t="shared" ref="AC805" si="2415">AC804</f>
        <v>0</v>
      </c>
      <c r="AD805" s="431">
        <f t="shared" ref="AD805" si="2416">AD804</f>
        <v>0</v>
      </c>
      <c r="AE805" s="431">
        <f t="shared" ref="AE805" si="2417">AE804</f>
        <v>0</v>
      </c>
      <c r="AF805" s="431">
        <f t="shared" ref="AF805" si="2418">AF804</f>
        <v>0</v>
      </c>
      <c r="AG805" s="431">
        <f t="shared" ref="AG805" si="2419">AG804</f>
        <v>0</v>
      </c>
      <c r="AH805" s="431">
        <f t="shared" ref="AH805" si="2420">AH804</f>
        <v>0</v>
      </c>
      <c r="AI805" s="431">
        <f t="shared" ref="AI805" si="2421">AI804</f>
        <v>0</v>
      </c>
      <c r="AJ805" s="431">
        <f t="shared" ref="AJ805" si="2422">AJ804</f>
        <v>0</v>
      </c>
      <c r="AK805" s="431">
        <f t="shared" ref="AK805" si="2423">AK804</f>
        <v>0</v>
      </c>
      <c r="AL805" s="431">
        <f t="shared" ref="AL805" si="2424">AL804</f>
        <v>0</v>
      </c>
      <c r="AM805" s="336"/>
    </row>
    <row r="806" spans="1:39" ht="15" hidden="1" outlineLevel="1">
      <c r="A806" s="560"/>
      <c r="B806" s="339"/>
      <c r="C806" s="337"/>
      <c r="D806" s="341"/>
      <c r="E806" s="341"/>
      <c r="F806" s="341"/>
      <c r="G806" s="341"/>
      <c r="H806" s="341"/>
      <c r="I806" s="341"/>
      <c r="J806" s="341"/>
      <c r="K806" s="341"/>
      <c r="L806" s="341"/>
      <c r="M806" s="341"/>
      <c r="N806" s="316"/>
      <c r="O806" s="341"/>
      <c r="P806" s="341"/>
      <c r="Q806" s="341"/>
      <c r="R806" s="341"/>
      <c r="S806" s="341"/>
      <c r="T806" s="341"/>
      <c r="U806" s="341"/>
      <c r="V806" s="341"/>
      <c r="W806" s="341"/>
      <c r="X806" s="341"/>
      <c r="Y806" s="436"/>
      <c r="Z806" s="436"/>
      <c r="AA806" s="436"/>
      <c r="AB806" s="436"/>
      <c r="AC806" s="436"/>
      <c r="AD806" s="436"/>
      <c r="AE806" s="436"/>
      <c r="AF806" s="436"/>
      <c r="AG806" s="436"/>
      <c r="AH806" s="436"/>
      <c r="AI806" s="436"/>
      <c r="AJ806" s="436"/>
      <c r="AK806" s="436"/>
      <c r="AL806" s="436"/>
      <c r="AM806" s="338"/>
    </row>
    <row r="807" spans="1:39" ht="30" hidden="1" outlineLevel="1">
      <c r="A807" s="560">
        <v>10</v>
      </c>
      <c r="B807" s="448" t="s">
        <v>104</v>
      </c>
      <c r="C807" s="316" t="s">
        <v>25</v>
      </c>
      <c r="D807" s="320"/>
      <c r="E807" s="320"/>
      <c r="F807" s="320"/>
      <c r="G807" s="320"/>
      <c r="H807" s="320"/>
      <c r="I807" s="320"/>
      <c r="J807" s="320"/>
      <c r="K807" s="320"/>
      <c r="L807" s="320"/>
      <c r="M807" s="320"/>
      <c r="N807" s="320">
        <v>3</v>
      </c>
      <c r="O807" s="320"/>
      <c r="P807" s="320"/>
      <c r="Q807" s="320"/>
      <c r="R807" s="320"/>
      <c r="S807" s="320"/>
      <c r="T807" s="320"/>
      <c r="U807" s="320"/>
      <c r="V807" s="320"/>
      <c r="W807" s="320"/>
      <c r="X807" s="320"/>
      <c r="Y807" s="435"/>
      <c r="Z807" s="435"/>
      <c r="AA807" s="435"/>
      <c r="AB807" s="435"/>
      <c r="AC807" s="435"/>
      <c r="AD807" s="435"/>
      <c r="AE807" s="435"/>
      <c r="AF807" s="435"/>
      <c r="AG807" s="435"/>
      <c r="AH807" s="435"/>
      <c r="AI807" s="435"/>
      <c r="AJ807" s="435"/>
      <c r="AK807" s="435"/>
      <c r="AL807" s="435"/>
      <c r="AM807" s="321">
        <f>SUM(Y807:AL807)</f>
        <v>0</v>
      </c>
    </row>
    <row r="808" spans="1:39" ht="15" hidden="1" outlineLevel="1">
      <c r="A808" s="560"/>
      <c r="B808" s="319" t="s">
        <v>345</v>
      </c>
      <c r="C808" s="316" t="s">
        <v>164</v>
      </c>
      <c r="D808" s="320"/>
      <c r="E808" s="320"/>
      <c r="F808" s="320"/>
      <c r="G808" s="320"/>
      <c r="H808" s="320"/>
      <c r="I808" s="320"/>
      <c r="J808" s="320"/>
      <c r="K808" s="320"/>
      <c r="L808" s="320"/>
      <c r="M808" s="320"/>
      <c r="N808" s="320">
        <f>N807</f>
        <v>3</v>
      </c>
      <c r="O808" s="320"/>
      <c r="P808" s="320"/>
      <c r="Q808" s="320"/>
      <c r="R808" s="320"/>
      <c r="S808" s="320"/>
      <c r="T808" s="320"/>
      <c r="U808" s="320"/>
      <c r="V808" s="320"/>
      <c r="W808" s="320"/>
      <c r="X808" s="320"/>
      <c r="Y808" s="431">
        <f>Y807</f>
        <v>0</v>
      </c>
      <c r="Z808" s="431">
        <f t="shared" ref="Z808" si="2425">Z807</f>
        <v>0</v>
      </c>
      <c r="AA808" s="431">
        <f t="shared" ref="AA808" si="2426">AA807</f>
        <v>0</v>
      </c>
      <c r="AB808" s="431">
        <f t="shared" ref="AB808" si="2427">AB807</f>
        <v>0</v>
      </c>
      <c r="AC808" s="431">
        <f t="shared" ref="AC808" si="2428">AC807</f>
        <v>0</v>
      </c>
      <c r="AD808" s="431">
        <f t="shared" ref="AD808" si="2429">AD807</f>
        <v>0</v>
      </c>
      <c r="AE808" s="431">
        <f t="shared" ref="AE808" si="2430">AE807</f>
        <v>0</v>
      </c>
      <c r="AF808" s="431">
        <f t="shared" ref="AF808" si="2431">AF807</f>
        <v>0</v>
      </c>
      <c r="AG808" s="431">
        <f t="shared" ref="AG808" si="2432">AG807</f>
        <v>0</v>
      </c>
      <c r="AH808" s="431">
        <f t="shared" ref="AH808" si="2433">AH807</f>
        <v>0</v>
      </c>
      <c r="AI808" s="431">
        <f t="shared" ref="AI808" si="2434">AI807</f>
        <v>0</v>
      </c>
      <c r="AJ808" s="431">
        <f t="shared" ref="AJ808" si="2435">AJ807</f>
        <v>0</v>
      </c>
      <c r="AK808" s="431">
        <f t="shared" ref="AK808" si="2436">AK807</f>
        <v>0</v>
      </c>
      <c r="AL808" s="431">
        <f t="shared" ref="AL808" si="2437">AL807</f>
        <v>0</v>
      </c>
      <c r="AM808" s="336"/>
    </row>
    <row r="809" spans="1:39" ht="15" hidden="1" outlineLevel="1">
      <c r="A809" s="560"/>
      <c r="B809" s="339"/>
      <c r="C809" s="337"/>
      <c r="D809" s="341"/>
      <c r="E809" s="341"/>
      <c r="F809" s="341"/>
      <c r="G809" s="341"/>
      <c r="H809" s="341"/>
      <c r="I809" s="341"/>
      <c r="J809" s="341"/>
      <c r="K809" s="341"/>
      <c r="L809" s="341"/>
      <c r="M809" s="341"/>
      <c r="N809" s="316"/>
      <c r="O809" s="341"/>
      <c r="P809" s="341"/>
      <c r="Q809" s="341"/>
      <c r="R809" s="341"/>
      <c r="S809" s="341"/>
      <c r="T809" s="341"/>
      <c r="U809" s="341"/>
      <c r="V809" s="341"/>
      <c r="W809" s="341"/>
      <c r="X809" s="341"/>
      <c r="Y809" s="436"/>
      <c r="Z809" s="437"/>
      <c r="AA809" s="436"/>
      <c r="AB809" s="436"/>
      <c r="AC809" s="436"/>
      <c r="AD809" s="436"/>
      <c r="AE809" s="436"/>
      <c r="AF809" s="436"/>
      <c r="AG809" s="436"/>
      <c r="AH809" s="436"/>
      <c r="AI809" s="436"/>
      <c r="AJ809" s="436"/>
      <c r="AK809" s="436"/>
      <c r="AL809" s="436"/>
      <c r="AM809" s="338"/>
    </row>
    <row r="810" spans="1:39" ht="15.6" hidden="1" outlineLevel="1">
      <c r="A810" s="560"/>
      <c r="B810" s="313" t="s">
        <v>10</v>
      </c>
      <c r="C810" s="314"/>
      <c r="D810" s="314"/>
      <c r="E810" s="314"/>
      <c r="F810" s="314"/>
      <c r="G810" s="314"/>
      <c r="H810" s="314"/>
      <c r="I810" s="314"/>
      <c r="J810" s="314"/>
      <c r="K810" s="314"/>
      <c r="L810" s="314"/>
      <c r="M810" s="314"/>
      <c r="N810" s="315"/>
      <c r="O810" s="314"/>
      <c r="P810" s="314"/>
      <c r="Q810" s="314"/>
      <c r="R810" s="314"/>
      <c r="S810" s="314"/>
      <c r="T810" s="314"/>
      <c r="U810" s="314"/>
      <c r="V810" s="314"/>
      <c r="W810" s="314"/>
      <c r="X810" s="314"/>
      <c r="Y810" s="434"/>
      <c r="Z810" s="434"/>
      <c r="AA810" s="434"/>
      <c r="AB810" s="434"/>
      <c r="AC810" s="434"/>
      <c r="AD810" s="434"/>
      <c r="AE810" s="434"/>
      <c r="AF810" s="434"/>
      <c r="AG810" s="434"/>
      <c r="AH810" s="434"/>
      <c r="AI810" s="434"/>
      <c r="AJ810" s="434"/>
      <c r="AK810" s="434"/>
      <c r="AL810" s="434"/>
      <c r="AM810" s="317"/>
    </row>
    <row r="811" spans="1:39" ht="30" hidden="1" outlineLevel="1">
      <c r="A811" s="560">
        <v>11</v>
      </c>
      <c r="B811" s="448" t="s">
        <v>105</v>
      </c>
      <c r="C811" s="316" t="s">
        <v>25</v>
      </c>
      <c r="D811" s="320"/>
      <c r="E811" s="320"/>
      <c r="F811" s="320"/>
      <c r="G811" s="320"/>
      <c r="H811" s="320"/>
      <c r="I811" s="320"/>
      <c r="J811" s="320"/>
      <c r="K811" s="320"/>
      <c r="L811" s="320"/>
      <c r="M811" s="320"/>
      <c r="N811" s="320">
        <v>12</v>
      </c>
      <c r="O811" s="320"/>
      <c r="P811" s="320"/>
      <c r="Q811" s="320"/>
      <c r="R811" s="320"/>
      <c r="S811" s="320"/>
      <c r="T811" s="320"/>
      <c r="U811" s="320"/>
      <c r="V811" s="320"/>
      <c r="W811" s="320"/>
      <c r="X811" s="320"/>
      <c r="Y811" s="446"/>
      <c r="Z811" s="435"/>
      <c r="AA811" s="435"/>
      <c r="AB811" s="435"/>
      <c r="AC811" s="435"/>
      <c r="AD811" s="435"/>
      <c r="AE811" s="435"/>
      <c r="AF811" s="435"/>
      <c r="AG811" s="435"/>
      <c r="AH811" s="435"/>
      <c r="AI811" s="435"/>
      <c r="AJ811" s="435"/>
      <c r="AK811" s="435"/>
      <c r="AL811" s="435"/>
      <c r="AM811" s="321">
        <f>SUM(Y811:AL811)</f>
        <v>0</v>
      </c>
    </row>
    <row r="812" spans="1:39" ht="15" hidden="1" outlineLevel="1">
      <c r="A812" s="560"/>
      <c r="B812" s="319" t="s">
        <v>345</v>
      </c>
      <c r="C812" s="316" t="s">
        <v>164</v>
      </c>
      <c r="D812" s="320"/>
      <c r="E812" s="320"/>
      <c r="F812" s="320"/>
      <c r="G812" s="320"/>
      <c r="H812" s="320"/>
      <c r="I812" s="320"/>
      <c r="J812" s="320"/>
      <c r="K812" s="320"/>
      <c r="L812" s="320"/>
      <c r="M812" s="320"/>
      <c r="N812" s="320">
        <f>N811</f>
        <v>12</v>
      </c>
      <c r="O812" s="320"/>
      <c r="P812" s="320"/>
      <c r="Q812" s="320"/>
      <c r="R812" s="320"/>
      <c r="S812" s="320"/>
      <c r="T812" s="320"/>
      <c r="U812" s="320"/>
      <c r="V812" s="320"/>
      <c r="W812" s="320"/>
      <c r="X812" s="320"/>
      <c r="Y812" s="431">
        <f>Y811</f>
        <v>0</v>
      </c>
      <c r="Z812" s="431">
        <f t="shared" ref="Z812" si="2438">Z811</f>
        <v>0</v>
      </c>
      <c r="AA812" s="431">
        <f t="shared" ref="AA812" si="2439">AA811</f>
        <v>0</v>
      </c>
      <c r="AB812" s="431">
        <f t="shared" ref="AB812" si="2440">AB811</f>
        <v>0</v>
      </c>
      <c r="AC812" s="431">
        <f t="shared" ref="AC812" si="2441">AC811</f>
        <v>0</v>
      </c>
      <c r="AD812" s="431">
        <f t="shared" ref="AD812" si="2442">AD811</f>
        <v>0</v>
      </c>
      <c r="AE812" s="431">
        <f t="shared" ref="AE812" si="2443">AE811</f>
        <v>0</v>
      </c>
      <c r="AF812" s="431">
        <f t="shared" ref="AF812" si="2444">AF811</f>
        <v>0</v>
      </c>
      <c r="AG812" s="431">
        <f t="shared" ref="AG812" si="2445">AG811</f>
        <v>0</v>
      </c>
      <c r="AH812" s="431">
        <f t="shared" ref="AH812" si="2446">AH811</f>
        <v>0</v>
      </c>
      <c r="AI812" s="431">
        <f t="shared" ref="AI812" si="2447">AI811</f>
        <v>0</v>
      </c>
      <c r="AJ812" s="431">
        <f t="shared" ref="AJ812" si="2448">AJ811</f>
        <v>0</v>
      </c>
      <c r="AK812" s="431">
        <f t="shared" ref="AK812" si="2449">AK811</f>
        <v>0</v>
      </c>
      <c r="AL812" s="431">
        <f t="shared" ref="AL812" si="2450">AL811</f>
        <v>0</v>
      </c>
      <c r="AM812" s="322"/>
    </row>
    <row r="813" spans="1:39" ht="15" hidden="1" outlineLevel="1">
      <c r="A813" s="560"/>
      <c r="B813" s="340"/>
      <c r="C813" s="330"/>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432"/>
      <c r="Z813" s="441"/>
      <c r="AA813" s="441"/>
      <c r="AB813" s="441"/>
      <c r="AC813" s="441"/>
      <c r="AD813" s="441"/>
      <c r="AE813" s="441"/>
      <c r="AF813" s="441"/>
      <c r="AG813" s="441"/>
      <c r="AH813" s="441"/>
      <c r="AI813" s="441"/>
      <c r="AJ813" s="441"/>
      <c r="AK813" s="441"/>
      <c r="AL813" s="441"/>
      <c r="AM813" s="331"/>
    </row>
    <row r="814" spans="1:39" ht="30" hidden="1" outlineLevel="1">
      <c r="A814" s="560">
        <v>12</v>
      </c>
      <c r="B814" s="448" t="s">
        <v>106</v>
      </c>
      <c r="C814" s="316" t="s">
        <v>25</v>
      </c>
      <c r="D814" s="320"/>
      <c r="E814" s="320"/>
      <c r="F814" s="320"/>
      <c r="G814" s="320"/>
      <c r="H814" s="320"/>
      <c r="I814" s="320"/>
      <c r="J814" s="320"/>
      <c r="K814" s="320"/>
      <c r="L814" s="320"/>
      <c r="M814" s="320"/>
      <c r="N814" s="320">
        <v>12</v>
      </c>
      <c r="O814" s="320"/>
      <c r="P814" s="320"/>
      <c r="Q814" s="320"/>
      <c r="R814" s="320"/>
      <c r="S814" s="320"/>
      <c r="T814" s="320"/>
      <c r="U814" s="320"/>
      <c r="V814" s="320"/>
      <c r="W814" s="320"/>
      <c r="X814" s="320"/>
      <c r="Y814" s="430"/>
      <c r="Z814" s="435"/>
      <c r="AA814" s="435"/>
      <c r="AB814" s="435"/>
      <c r="AC814" s="435"/>
      <c r="AD814" s="435"/>
      <c r="AE814" s="435"/>
      <c r="AF814" s="435"/>
      <c r="AG814" s="435"/>
      <c r="AH814" s="435"/>
      <c r="AI814" s="435"/>
      <c r="AJ814" s="435"/>
      <c r="AK814" s="435"/>
      <c r="AL814" s="435"/>
      <c r="AM814" s="321">
        <f>SUM(Y814:AL814)</f>
        <v>0</v>
      </c>
    </row>
    <row r="815" spans="1:39" ht="15" hidden="1" outlineLevel="1">
      <c r="A815" s="560"/>
      <c r="B815" s="319" t="s">
        <v>345</v>
      </c>
      <c r="C815" s="316" t="s">
        <v>164</v>
      </c>
      <c r="D815" s="320"/>
      <c r="E815" s="320"/>
      <c r="F815" s="320"/>
      <c r="G815" s="320"/>
      <c r="H815" s="320"/>
      <c r="I815" s="320"/>
      <c r="J815" s="320"/>
      <c r="K815" s="320"/>
      <c r="L815" s="320"/>
      <c r="M815" s="320"/>
      <c r="N815" s="320">
        <f>N814</f>
        <v>12</v>
      </c>
      <c r="O815" s="320"/>
      <c r="P815" s="320"/>
      <c r="Q815" s="320"/>
      <c r="R815" s="320"/>
      <c r="S815" s="320"/>
      <c r="T815" s="320"/>
      <c r="U815" s="320"/>
      <c r="V815" s="320"/>
      <c r="W815" s="320"/>
      <c r="X815" s="320"/>
      <c r="Y815" s="431">
        <f>Y814</f>
        <v>0</v>
      </c>
      <c r="Z815" s="431">
        <f t="shared" ref="Z815" si="2451">Z814</f>
        <v>0</v>
      </c>
      <c r="AA815" s="431">
        <f t="shared" ref="AA815" si="2452">AA814</f>
        <v>0</v>
      </c>
      <c r="AB815" s="431">
        <f t="shared" ref="AB815" si="2453">AB814</f>
        <v>0</v>
      </c>
      <c r="AC815" s="431">
        <f t="shared" ref="AC815" si="2454">AC814</f>
        <v>0</v>
      </c>
      <c r="AD815" s="431">
        <f t="shared" ref="AD815" si="2455">AD814</f>
        <v>0</v>
      </c>
      <c r="AE815" s="431">
        <f t="shared" ref="AE815" si="2456">AE814</f>
        <v>0</v>
      </c>
      <c r="AF815" s="431">
        <f t="shared" ref="AF815" si="2457">AF814</f>
        <v>0</v>
      </c>
      <c r="AG815" s="431">
        <f t="shared" ref="AG815" si="2458">AG814</f>
        <v>0</v>
      </c>
      <c r="AH815" s="431">
        <f t="shared" ref="AH815" si="2459">AH814</f>
        <v>0</v>
      </c>
      <c r="AI815" s="431">
        <f t="shared" ref="AI815" si="2460">AI814</f>
        <v>0</v>
      </c>
      <c r="AJ815" s="431">
        <f t="shared" ref="AJ815" si="2461">AJ814</f>
        <v>0</v>
      </c>
      <c r="AK815" s="431">
        <f t="shared" ref="AK815" si="2462">AK814</f>
        <v>0</v>
      </c>
      <c r="AL815" s="431">
        <f t="shared" ref="AL815" si="2463">AL814</f>
        <v>0</v>
      </c>
      <c r="AM815" s="322"/>
    </row>
    <row r="816" spans="1:39" ht="15" hidden="1" outlineLevel="1">
      <c r="A816" s="560"/>
      <c r="B816" s="340"/>
      <c r="C816" s="330"/>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442"/>
      <c r="Z816" s="442"/>
      <c r="AA816" s="432"/>
      <c r="AB816" s="432"/>
      <c r="AC816" s="432"/>
      <c r="AD816" s="432"/>
      <c r="AE816" s="432"/>
      <c r="AF816" s="432"/>
      <c r="AG816" s="432"/>
      <c r="AH816" s="432"/>
      <c r="AI816" s="432"/>
      <c r="AJ816" s="432"/>
      <c r="AK816" s="432"/>
      <c r="AL816" s="432"/>
      <c r="AM816" s="331"/>
    </row>
    <row r="817" spans="1:39" ht="30" hidden="1" outlineLevel="1">
      <c r="A817" s="560">
        <v>13</v>
      </c>
      <c r="B817" s="448" t="s">
        <v>107</v>
      </c>
      <c r="C817" s="316" t="s">
        <v>25</v>
      </c>
      <c r="D817" s="320"/>
      <c r="E817" s="320"/>
      <c r="F817" s="320"/>
      <c r="G817" s="320"/>
      <c r="H817" s="320"/>
      <c r="I817" s="320"/>
      <c r="J817" s="320"/>
      <c r="K817" s="320"/>
      <c r="L817" s="320"/>
      <c r="M817" s="320"/>
      <c r="N817" s="320">
        <v>12</v>
      </c>
      <c r="O817" s="320"/>
      <c r="P817" s="320"/>
      <c r="Q817" s="320"/>
      <c r="R817" s="320"/>
      <c r="S817" s="320"/>
      <c r="T817" s="320"/>
      <c r="U817" s="320"/>
      <c r="V817" s="320"/>
      <c r="W817" s="320"/>
      <c r="X817" s="320"/>
      <c r="Y817" s="430"/>
      <c r="Z817" s="435"/>
      <c r="AA817" s="435"/>
      <c r="AB817" s="435"/>
      <c r="AC817" s="435"/>
      <c r="AD817" s="435"/>
      <c r="AE817" s="435"/>
      <c r="AF817" s="435"/>
      <c r="AG817" s="435"/>
      <c r="AH817" s="435"/>
      <c r="AI817" s="435"/>
      <c r="AJ817" s="435"/>
      <c r="AK817" s="435"/>
      <c r="AL817" s="435"/>
      <c r="AM817" s="321">
        <f>SUM(Y817:AL817)</f>
        <v>0</v>
      </c>
    </row>
    <row r="818" spans="1:39" ht="15" hidden="1" outlineLevel="1">
      <c r="A818" s="560"/>
      <c r="B818" s="319" t="s">
        <v>345</v>
      </c>
      <c r="C818" s="316" t="s">
        <v>164</v>
      </c>
      <c r="D818" s="320"/>
      <c r="E818" s="320"/>
      <c r="F818" s="320"/>
      <c r="G818" s="320"/>
      <c r="H818" s="320"/>
      <c r="I818" s="320"/>
      <c r="J818" s="320"/>
      <c r="K818" s="320"/>
      <c r="L818" s="320"/>
      <c r="M818" s="320"/>
      <c r="N818" s="320">
        <f>N817</f>
        <v>12</v>
      </c>
      <c r="O818" s="320"/>
      <c r="P818" s="320"/>
      <c r="Q818" s="320"/>
      <c r="R818" s="320"/>
      <c r="S818" s="320"/>
      <c r="T818" s="320"/>
      <c r="U818" s="320"/>
      <c r="V818" s="320"/>
      <c r="W818" s="320"/>
      <c r="X818" s="320"/>
      <c r="Y818" s="431">
        <f>Y817</f>
        <v>0</v>
      </c>
      <c r="Z818" s="431">
        <f t="shared" ref="Z818" si="2464">Z817</f>
        <v>0</v>
      </c>
      <c r="AA818" s="431">
        <f t="shared" ref="AA818" si="2465">AA817</f>
        <v>0</v>
      </c>
      <c r="AB818" s="431">
        <f t="shared" ref="AB818" si="2466">AB817</f>
        <v>0</v>
      </c>
      <c r="AC818" s="431">
        <f t="shared" ref="AC818" si="2467">AC817</f>
        <v>0</v>
      </c>
      <c r="AD818" s="431">
        <f t="shared" ref="AD818" si="2468">AD817</f>
        <v>0</v>
      </c>
      <c r="AE818" s="431">
        <f t="shared" ref="AE818" si="2469">AE817</f>
        <v>0</v>
      </c>
      <c r="AF818" s="431">
        <f t="shared" ref="AF818" si="2470">AF817</f>
        <v>0</v>
      </c>
      <c r="AG818" s="431">
        <f t="shared" ref="AG818" si="2471">AG817</f>
        <v>0</v>
      </c>
      <c r="AH818" s="431">
        <f t="shared" ref="AH818" si="2472">AH817</f>
        <v>0</v>
      </c>
      <c r="AI818" s="431">
        <f t="shared" ref="AI818" si="2473">AI817</f>
        <v>0</v>
      </c>
      <c r="AJ818" s="431">
        <f t="shared" ref="AJ818" si="2474">AJ817</f>
        <v>0</v>
      </c>
      <c r="AK818" s="431">
        <f t="shared" ref="AK818" si="2475">AK817</f>
        <v>0</v>
      </c>
      <c r="AL818" s="431">
        <f t="shared" ref="AL818" si="2476">AL817</f>
        <v>0</v>
      </c>
      <c r="AM818" s="331"/>
    </row>
    <row r="819" spans="1:39" ht="15" hidden="1" outlineLevel="1">
      <c r="A819" s="560"/>
      <c r="B819" s="340"/>
      <c r="C819" s="330"/>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432"/>
      <c r="Z819" s="432"/>
      <c r="AA819" s="432"/>
      <c r="AB819" s="432"/>
      <c r="AC819" s="432"/>
      <c r="AD819" s="432"/>
      <c r="AE819" s="432"/>
      <c r="AF819" s="432"/>
      <c r="AG819" s="432"/>
      <c r="AH819" s="432"/>
      <c r="AI819" s="432"/>
      <c r="AJ819" s="432"/>
      <c r="AK819" s="432"/>
      <c r="AL819" s="432"/>
      <c r="AM819" s="331"/>
    </row>
    <row r="820" spans="1:39" ht="15.6" hidden="1" outlineLevel="1">
      <c r="A820" s="560"/>
      <c r="B820" s="313" t="s">
        <v>108</v>
      </c>
      <c r="C820" s="314"/>
      <c r="D820" s="315"/>
      <c r="E820" s="315"/>
      <c r="F820" s="315"/>
      <c r="G820" s="315"/>
      <c r="H820" s="315"/>
      <c r="I820" s="315"/>
      <c r="J820" s="315"/>
      <c r="K820" s="315"/>
      <c r="L820" s="315"/>
      <c r="M820" s="315"/>
      <c r="N820" s="315"/>
      <c r="O820" s="315"/>
      <c r="P820" s="314"/>
      <c r="Q820" s="314"/>
      <c r="R820" s="314"/>
      <c r="S820" s="314"/>
      <c r="T820" s="314"/>
      <c r="U820" s="314"/>
      <c r="V820" s="314"/>
      <c r="W820" s="314"/>
      <c r="X820" s="314"/>
      <c r="Y820" s="434"/>
      <c r="Z820" s="434"/>
      <c r="AA820" s="434"/>
      <c r="AB820" s="434"/>
      <c r="AC820" s="434"/>
      <c r="AD820" s="434"/>
      <c r="AE820" s="434"/>
      <c r="AF820" s="434"/>
      <c r="AG820" s="434"/>
      <c r="AH820" s="434"/>
      <c r="AI820" s="434"/>
      <c r="AJ820" s="434"/>
      <c r="AK820" s="434"/>
      <c r="AL820" s="434"/>
      <c r="AM820" s="317"/>
    </row>
    <row r="821" spans="1:39" ht="15" hidden="1" outlineLevel="1">
      <c r="A821" s="560">
        <v>14</v>
      </c>
      <c r="B821" s="340" t="s">
        <v>109</v>
      </c>
      <c r="C821" s="316" t="s">
        <v>25</v>
      </c>
      <c r="D821" s="320"/>
      <c r="E821" s="320"/>
      <c r="F821" s="320"/>
      <c r="G821" s="320"/>
      <c r="H821" s="320"/>
      <c r="I821" s="320"/>
      <c r="J821" s="320"/>
      <c r="K821" s="320"/>
      <c r="L821" s="320"/>
      <c r="M821" s="320"/>
      <c r="N821" s="320">
        <v>12</v>
      </c>
      <c r="O821" s="320"/>
      <c r="P821" s="320"/>
      <c r="Q821" s="320"/>
      <c r="R821" s="320"/>
      <c r="S821" s="320"/>
      <c r="T821" s="320"/>
      <c r="U821" s="320"/>
      <c r="V821" s="320"/>
      <c r="W821" s="320"/>
      <c r="X821" s="320"/>
      <c r="Y821" s="435"/>
      <c r="Z821" s="435"/>
      <c r="AA821" s="435"/>
      <c r="AB821" s="435"/>
      <c r="AC821" s="435"/>
      <c r="AD821" s="435"/>
      <c r="AE821" s="435"/>
      <c r="AF821" s="430"/>
      <c r="AG821" s="430"/>
      <c r="AH821" s="430"/>
      <c r="AI821" s="430"/>
      <c r="AJ821" s="430"/>
      <c r="AK821" s="430"/>
      <c r="AL821" s="430"/>
      <c r="AM821" s="321">
        <f>SUM(Y821:AL821)</f>
        <v>0</v>
      </c>
    </row>
    <row r="822" spans="1:39" ht="15" hidden="1" outlineLevel="1">
      <c r="A822" s="560"/>
      <c r="B822" s="319" t="s">
        <v>345</v>
      </c>
      <c r="C822" s="316" t="s">
        <v>164</v>
      </c>
      <c r="D822" s="320"/>
      <c r="E822" s="320"/>
      <c r="F822" s="320"/>
      <c r="G822" s="320"/>
      <c r="H822" s="320"/>
      <c r="I822" s="320"/>
      <c r="J822" s="320"/>
      <c r="K822" s="320"/>
      <c r="L822" s="320"/>
      <c r="M822" s="320"/>
      <c r="N822" s="320">
        <f>N821</f>
        <v>12</v>
      </c>
      <c r="O822" s="320"/>
      <c r="P822" s="320"/>
      <c r="Q822" s="320"/>
      <c r="R822" s="320"/>
      <c r="S822" s="320"/>
      <c r="T822" s="320"/>
      <c r="U822" s="320"/>
      <c r="V822" s="320"/>
      <c r="W822" s="320"/>
      <c r="X822" s="320"/>
      <c r="Y822" s="431">
        <f>Y821</f>
        <v>0</v>
      </c>
      <c r="Z822" s="431">
        <f t="shared" ref="Z822" si="2477">Z821</f>
        <v>0</v>
      </c>
      <c r="AA822" s="431">
        <f t="shared" ref="AA822" si="2478">AA821</f>
        <v>0</v>
      </c>
      <c r="AB822" s="431">
        <f t="shared" ref="AB822" si="2479">AB821</f>
        <v>0</v>
      </c>
      <c r="AC822" s="431">
        <f t="shared" ref="AC822" si="2480">AC821</f>
        <v>0</v>
      </c>
      <c r="AD822" s="431">
        <f t="shared" ref="AD822" si="2481">AD821</f>
        <v>0</v>
      </c>
      <c r="AE822" s="431">
        <f t="shared" ref="AE822" si="2482">AE821</f>
        <v>0</v>
      </c>
      <c r="AF822" s="431">
        <f t="shared" ref="AF822" si="2483">AF821</f>
        <v>0</v>
      </c>
      <c r="AG822" s="431">
        <f t="shared" ref="AG822" si="2484">AG821</f>
        <v>0</v>
      </c>
      <c r="AH822" s="431">
        <f t="shared" ref="AH822" si="2485">AH821</f>
        <v>0</v>
      </c>
      <c r="AI822" s="431">
        <f t="shared" ref="AI822" si="2486">AI821</f>
        <v>0</v>
      </c>
      <c r="AJ822" s="431">
        <f t="shared" ref="AJ822" si="2487">AJ821</f>
        <v>0</v>
      </c>
      <c r="AK822" s="431">
        <f t="shared" ref="AK822" si="2488">AK821</f>
        <v>0</v>
      </c>
      <c r="AL822" s="431">
        <f t="shared" ref="AL822" si="2489">AL821</f>
        <v>0</v>
      </c>
      <c r="AM822" s="322"/>
    </row>
    <row r="823" spans="1:39" ht="15" hidden="1" outlineLevel="1">
      <c r="A823" s="560"/>
      <c r="B823" s="340"/>
      <c r="C823" s="330"/>
      <c r="D823" s="316"/>
      <c r="E823" s="316"/>
      <c r="F823" s="316"/>
      <c r="G823" s="316"/>
      <c r="H823" s="316"/>
      <c r="I823" s="316"/>
      <c r="J823" s="316"/>
      <c r="K823" s="316"/>
      <c r="L823" s="316"/>
      <c r="M823" s="316"/>
      <c r="N823" s="488"/>
      <c r="O823" s="316"/>
      <c r="P823" s="316"/>
      <c r="Q823" s="316"/>
      <c r="R823" s="316"/>
      <c r="S823" s="316"/>
      <c r="T823" s="316"/>
      <c r="U823" s="316"/>
      <c r="V823" s="316"/>
      <c r="W823" s="316"/>
      <c r="X823" s="316"/>
      <c r="Y823" s="432"/>
      <c r="Z823" s="432"/>
      <c r="AA823" s="432"/>
      <c r="AB823" s="432"/>
      <c r="AC823" s="432"/>
      <c r="AD823" s="432"/>
      <c r="AE823" s="432"/>
      <c r="AF823" s="432"/>
      <c r="AG823" s="432"/>
      <c r="AH823" s="432"/>
      <c r="AI823" s="432"/>
      <c r="AJ823" s="432"/>
      <c r="AK823" s="432"/>
      <c r="AL823" s="432"/>
      <c r="AM823" s="331"/>
    </row>
    <row r="824" spans="1:39" s="334" customFormat="1" ht="15.6" hidden="1" outlineLevel="1">
      <c r="A824" s="560"/>
      <c r="B824" s="313" t="s">
        <v>504</v>
      </c>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432"/>
      <c r="Z824" s="432"/>
      <c r="AA824" s="432"/>
      <c r="AB824" s="432"/>
      <c r="AC824" s="432"/>
      <c r="AD824" s="432"/>
      <c r="AE824" s="436"/>
      <c r="AF824" s="436"/>
      <c r="AG824" s="436"/>
      <c r="AH824" s="436"/>
      <c r="AI824" s="436"/>
      <c r="AJ824" s="436"/>
      <c r="AK824" s="436"/>
      <c r="AL824" s="436"/>
      <c r="AM824" s="546"/>
    </row>
    <row r="825" spans="1:39" ht="15" hidden="1" outlineLevel="1">
      <c r="A825" s="560">
        <v>15</v>
      </c>
      <c r="B825" s="319" t="s">
        <v>509</v>
      </c>
      <c r="C825" s="316" t="s">
        <v>25</v>
      </c>
      <c r="D825" s="320"/>
      <c r="E825" s="320"/>
      <c r="F825" s="320"/>
      <c r="G825" s="320"/>
      <c r="H825" s="320"/>
      <c r="I825" s="320"/>
      <c r="J825" s="320"/>
      <c r="K825" s="320"/>
      <c r="L825" s="320"/>
      <c r="M825" s="320"/>
      <c r="N825" s="320">
        <v>0</v>
      </c>
      <c r="O825" s="320"/>
      <c r="P825" s="320"/>
      <c r="Q825" s="320"/>
      <c r="R825" s="320"/>
      <c r="S825" s="320"/>
      <c r="T825" s="320"/>
      <c r="U825" s="320"/>
      <c r="V825" s="320"/>
      <c r="W825" s="320"/>
      <c r="X825" s="320"/>
      <c r="Y825" s="435"/>
      <c r="Z825" s="435"/>
      <c r="AA825" s="435"/>
      <c r="AB825" s="435"/>
      <c r="AC825" s="435"/>
      <c r="AD825" s="435"/>
      <c r="AE825" s="435"/>
      <c r="AF825" s="430"/>
      <c r="AG825" s="430"/>
      <c r="AH825" s="430"/>
      <c r="AI825" s="430"/>
      <c r="AJ825" s="430"/>
      <c r="AK825" s="430"/>
      <c r="AL825" s="430"/>
      <c r="AM825" s="321">
        <f>SUM(Y825:AL825)</f>
        <v>0</v>
      </c>
    </row>
    <row r="826" spans="1:39" ht="15" hidden="1" outlineLevel="1">
      <c r="A826" s="560"/>
      <c r="B826" s="319" t="s">
        <v>345</v>
      </c>
      <c r="C826" s="316" t="s">
        <v>164</v>
      </c>
      <c r="D826" s="320"/>
      <c r="E826" s="320"/>
      <c r="F826" s="320"/>
      <c r="G826" s="320"/>
      <c r="H826" s="320"/>
      <c r="I826" s="320"/>
      <c r="J826" s="320"/>
      <c r="K826" s="320"/>
      <c r="L826" s="320"/>
      <c r="M826" s="320"/>
      <c r="N826" s="320">
        <f>N825</f>
        <v>0</v>
      </c>
      <c r="O826" s="320"/>
      <c r="P826" s="320"/>
      <c r="Q826" s="320"/>
      <c r="R826" s="320"/>
      <c r="S826" s="320"/>
      <c r="T826" s="320"/>
      <c r="U826" s="320"/>
      <c r="V826" s="320"/>
      <c r="W826" s="320"/>
      <c r="X826" s="320"/>
      <c r="Y826" s="431">
        <f>Y825</f>
        <v>0</v>
      </c>
      <c r="Z826" s="431">
        <f t="shared" ref="Z826:AL826" si="2490">Z825</f>
        <v>0</v>
      </c>
      <c r="AA826" s="431">
        <f t="shared" si="2490"/>
        <v>0</v>
      </c>
      <c r="AB826" s="431">
        <f t="shared" si="2490"/>
        <v>0</v>
      </c>
      <c r="AC826" s="431">
        <f t="shared" si="2490"/>
        <v>0</v>
      </c>
      <c r="AD826" s="431">
        <f t="shared" si="2490"/>
        <v>0</v>
      </c>
      <c r="AE826" s="431">
        <f t="shared" si="2490"/>
        <v>0</v>
      </c>
      <c r="AF826" s="431">
        <f t="shared" si="2490"/>
        <v>0</v>
      </c>
      <c r="AG826" s="431">
        <f t="shared" si="2490"/>
        <v>0</v>
      </c>
      <c r="AH826" s="431">
        <f t="shared" si="2490"/>
        <v>0</v>
      </c>
      <c r="AI826" s="431">
        <f t="shared" si="2490"/>
        <v>0</v>
      </c>
      <c r="AJ826" s="431">
        <f t="shared" si="2490"/>
        <v>0</v>
      </c>
      <c r="AK826" s="431">
        <f t="shared" si="2490"/>
        <v>0</v>
      </c>
      <c r="AL826" s="431">
        <f t="shared" si="2490"/>
        <v>0</v>
      </c>
      <c r="AM826" s="322"/>
    </row>
    <row r="827" spans="1:39" ht="15" hidden="1" outlineLevel="1">
      <c r="A827" s="560"/>
      <c r="B827" s="340"/>
      <c r="C827" s="330"/>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432"/>
      <c r="Z827" s="432"/>
      <c r="AA827" s="432"/>
      <c r="AB827" s="432"/>
      <c r="AC827" s="432"/>
      <c r="AD827" s="432"/>
      <c r="AE827" s="432"/>
      <c r="AF827" s="432"/>
      <c r="AG827" s="432"/>
      <c r="AH827" s="432"/>
      <c r="AI827" s="432"/>
      <c r="AJ827" s="432"/>
      <c r="AK827" s="432"/>
      <c r="AL827" s="432"/>
      <c r="AM827" s="331"/>
    </row>
    <row r="828" spans="1:39" s="308" customFormat="1" ht="15" hidden="1" outlineLevel="1">
      <c r="A828" s="560">
        <v>16</v>
      </c>
      <c r="B828" s="349" t="s">
        <v>505</v>
      </c>
      <c r="C828" s="316" t="s">
        <v>25</v>
      </c>
      <c r="D828" s="320"/>
      <c r="E828" s="320"/>
      <c r="F828" s="320"/>
      <c r="G828" s="320"/>
      <c r="H828" s="320"/>
      <c r="I828" s="320"/>
      <c r="J828" s="320"/>
      <c r="K828" s="320"/>
      <c r="L828" s="320"/>
      <c r="M828" s="320"/>
      <c r="N828" s="320">
        <v>0</v>
      </c>
      <c r="O828" s="320"/>
      <c r="P828" s="320"/>
      <c r="Q828" s="320"/>
      <c r="R828" s="320"/>
      <c r="S828" s="320"/>
      <c r="T828" s="320"/>
      <c r="U828" s="320"/>
      <c r="V828" s="320"/>
      <c r="W828" s="320"/>
      <c r="X828" s="320"/>
      <c r="Y828" s="435"/>
      <c r="Z828" s="435"/>
      <c r="AA828" s="435"/>
      <c r="AB828" s="435"/>
      <c r="AC828" s="435"/>
      <c r="AD828" s="435"/>
      <c r="AE828" s="435"/>
      <c r="AF828" s="430"/>
      <c r="AG828" s="430"/>
      <c r="AH828" s="430"/>
      <c r="AI828" s="430"/>
      <c r="AJ828" s="430"/>
      <c r="AK828" s="430"/>
      <c r="AL828" s="430"/>
      <c r="AM828" s="321">
        <f>SUM(Y828:AL828)</f>
        <v>0</v>
      </c>
    </row>
    <row r="829" spans="1:39" s="308" customFormat="1" ht="15" hidden="1" outlineLevel="1">
      <c r="A829" s="560"/>
      <c r="B829" s="319" t="s">
        <v>345</v>
      </c>
      <c r="C829" s="316" t="s">
        <v>164</v>
      </c>
      <c r="D829" s="320"/>
      <c r="E829" s="320"/>
      <c r="F829" s="320"/>
      <c r="G829" s="320"/>
      <c r="H829" s="320"/>
      <c r="I829" s="320"/>
      <c r="J829" s="320"/>
      <c r="K829" s="320"/>
      <c r="L829" s="320"/>
      <c r="M829" s="320"/>
      <c r="N829" s="320">
        <f>N828</f>
        <v>0</v>
      </c>
      <c r="O829" s="320"/>
      <c r="P829" s="320"/>
      <c r="Q829" s="320"/>
      <c r="R829" s="320"/>
      <c r="S829" s="320"/>
      <c r="T829" s="320"/>
      <c r="U829" s="320"/>
      <c r="V829" s="320"/>
      <c r="W829" s="320"/>
      <c r="X829" s="320"/>
      <c r="Y829" s="431">
        <f>Y828</f>
        <v>0</v>
      </c>
      <c r="Z829" s="431">
        <f t="shared" ref="Z829:AL829" si="2491">Z828</f>
        <v>0</v>
      </c>
      <c r="AA829" s="431">
        <f t="shared" si="2491"/>
        <v>0</v>
      </c>
      <c r="AB829" s="431">
        <f t="shared" si="2491"/>
        <v>0</v>
      </c>
      <c r="AC829" s="431">
        <f t="shared" si="2491"/>
        <v>0</v>
      </c>
      <c r="AD829" s="431">
        <f t="shared" si="2491"/>
        <v>0</v>
      </c>
      <c r="AE829" s="431">
        <f t="shared" si="2491"/>
        <v>0</v>
      </c>
      <c r="AF829" s="431">
        <f t="shared" si="2491"/>
        <v>0</v>
      </c>
      <c r="AG829" s="431">
        <f t="shared" si="2491"/>
        <v>0</v>
      </c>
      <c r="AH829" s="431">
        <f t="shared" si="2491"/>
        <v>0</v>
      </c>
      <c r="AI829" s="431">
        <f t="shared" si="2491"/>
        <v>0</v>
      </c>
      <c r="AJ829" s="431">
        <f t="shared" si="2491"/>
        <v>0</v>
      </c>
      <c r="AK829" s="431">
        <f t="shared" si="2491"/>
        <v>0</v>
      </c>
      <c r="AL829" s="431">
        <f t="shared" si="2491"/>
        <v>0</v>
      </c>
      <c r="AM829" s="322"/>
    </row>
    <row r="830" spans="1:39" s="308" customFormat="1" ht="15" hidden="1" outlineLevel="1">
      <c r="A830" s="560"/>
      <c r="B830" s="349"/>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432"/>
      <c r="Z830" s="432"/>
      <c r="AA830" s="432"/>
      <c r="AB830" s="432"/>
      <c r="AC830" s="432"/>
      <c r="AD830" s="432"/>
      <c r="AE830" s="436"/>
      <c r="AF830" s="436"/>
      <c r="AG830" s="436"/>
      <c r="AH830" s="436"/>
      <c r="AI830" s="436"/>
      <c r="AJ830" s="436"/>
      <c r="AK830" s="436"/>
      <c r="AL830" s="436"/>
      <c r="AM830" s="338"/>
    </row>
    <row r="831" spans="1:39" ht="15.6" hidden="1" outlineLevel="1">
      <c r="A831" s="560"/>
      <c r="B831" s="548" t="s">
        <v>510</v>
      </c>
      <c r="C831" s="345"/>
      <c r="D831" s="315"/>
      <c r="E831" s="314"/>
      <c r="F831" s="314"/>
      <c r="G831" s="314"/>
      <c r="H831" s="314"/>
      <c r="I831" s="314"/>
      <c r="J831" s="314"/>
      <c r="K831" s="314"/>
      <c r="L831" s="314"/>
      <c r="M831" s="314"/>
      <c r="N831" s="315"/>
      <c r="O831" s="314"/>
      <c r="P831" s="314"/>
      <c r="Q831" s="314"/>
      <c r="R831" s="314"/>
      <c r="S831" s="314"/>
      <c r="T831" s="314"/>
      <c r="U831" s="314"/>
      <c r="V831" s="314"/>
      <c r="W831" s="314"/>
      <c r="X831" s="314"/>
      <c r="Y831" s="434"/>
      <c r="Z831" s="434"/>
      <c r="AA831" s="434"/>
      <c r="AB831" s="434"/>
      <c r="AC831" s="434"/>
      <c r="AD831" s="434"/>
      <c r="AE831" s="434"/>
      <c r="AF831" s="434"/>
      <c r="AG831" s="434"/>
      <c r="AH831" s="434"/>
      <c r="AI831" s="434"/>
      <c r="AJ831" s="434"/>
      <c r="AK831" s="434"/>
      <c r="AL831" s="434"/>
      <c r="AM831" s="317"/>
    </row>
    <row r="832" spans="1:39" ht="15" hidden="1" outlineLevel="1">
      <c r="A832" s="560">
        <v>17</v>
      </c>
      <c r="B832" s="448" t="s">
        <v>113</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t="15"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2">Z832</f>
        <v>0</v>
      </c>
      <c r="AA833" s="431">
        <f t="shared" si="2492"/>
        <v>0</v>
      </c>
      <c r="AB833" s="431">
        <f t="shared" si="2492"/>
        <v>0</v>
      </c>
      <c r="AC833" s="431">
        <f t="shared" si="2492"/>
        <v>0</v>
      </c>
      <c r="AD833" s="431">
        <f t="shared" si="2492"/>
        <v>0</v>
      </c>
      <c r="AE833" s="431">
        <f t="shared" si="2492"/>
        <v>0</v>
      </c>
      <c r="AF833" s="431">
        <f t="shared" si="2492"/>
        <v>0</v>
      </c>
      <c r="AG833" s="431">
        <f t="shared" si="2492"/>
        <v>0</v>
      </c>
      <c r="AH833" s="431">
        <f t="shared" si="2492"/>
        <v>0</v>
      </c>
      <c r="AI833" s="431">
        <f t="shared" si="2492"/>
        <v>0</v>
      </c>
      <c r="AJ833" s="431">
        <f t="shared" si="2492"/>
        <v>0</v>
      </c>
      <c r="AK833" s="431">
        <f t="shared" si="2492"/>
        <v>0</v>
      </c>
      <c r="AL833" s="431">
        <f t="shared" si="2492"/>
        <v>0</v>
      </c>
      <c r="AM833" s="331"/>
    </row>
    <row r="834" spans="1:39" ht="15" hidden="1" outlineLevel="1">
      <c r="A834" s="560"/>
      <c r="B834" s="319"/>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442"/>
      <c r="Z834" s="445"/>
      <c r="AA834" s="445"/>
      <c r="AB834" s="445"/>
      <c r="AC834" s="445"/>
      <c r="AD834" s="445"/>
      <c r="AE834" s="445"/>
      <c r="AF834" s="445"/>
      <c r="AG834" s="445"/>
      <c r="AH834" s="445"/>
      <c r="AI834" s="445"/>
      <c r="AJ834" s="445"/>
      <c r="AK834" s="445"/>
      <c r="AL834" s="445"/>
      <c r="AM834" s="331"/>
    </row>
    <row r="835" spans="1:39" ht="15" hidden="1" outlineLevel="1">
      <c r="A835" s="560">
        <v>18</v>
      </c>
      <c r="B835" s="448" t="s">
        <v>110</v>
      </c>
      <c r="C835" s="316" t="s">
        <v>25</v>
      </c>
      <c r="D835" s="320"/>
      <c r="E835" s="320"/>
      <c r="F835" s="320"/>
      <c r="G835" s="320"/>
      <c r="H835" s="320"/>
      <c r="I835" s="320"/>
      <c r="J835" s="320"/>
      <c r="K835" s="320"/>
      <c r="L835" s="320"/>
      <c r="M835" s="320"/>
      <c r="N835" s="320">
        <v>0</v>
      </c>
      <c r="O835" s="320"/>
      <c r="P835" s="320"/>
      <c r="Q835" s="320"/>
      <c r="R835" s="320"/>
      <c r="S835" s="320"/>
      <c r="T835" s="320"/>
      <c r="U835" s="320"/>
      <c r="V835" s="320"/>
      <c r="W835" s="320"/>
      <c r="X835" s="320"/>
      <c r="Y835" s="446"/>
      <c r="Z835" s="430"/>
      <c r="AA835" s="430"/>
      <c r="AB835" s="430"/>
      <c r="AC835" s="430"/>
      <c r="AD835" s="430"/>
      <c r="AE835" s="430"/>
      <c r="AF835" s="435"/>
      <c r="AG835" s="435"/>
      <c r="AH835" s="435"/>
      <c r="AI835" s="435"/>
      <c r="AJ835" s="435"/>
      <c r="AK835" s="435"/>
      <c r="AL835" s="435"/>
      <c r="AM835" s="321">
        <f>SUM(Y835:AL835)</f>
        <v>0</v>
      </c>
    </row>
    <row r="836" spans="1:39" ht="15" hidden="1" outlineLevel="1">
      <c r="A836" s="560"/>
      <c r="B836" s="319" t="s">
        <v>345</v>
      </c>
      <c r="C836" s="316" t="s">
        <v>164</v>
      </c>
      <c r="D836" s="320"/>
      <c r="E836" s="320"/>
      <c r="F836" s="320"/>
      <c r="G836" s="320"/>
      <c r="H836" s="320"/>
      <c r="I836" s="320"/>
      <c r="J836" s="320"/>
      <c r="K836" s="320"/>
      <c r="L836" s="320"/>
      <c r="M836" s="320"/>
      <c r="N836" s="320">
        <f>N835</f>
        <v>0</v>
      </c>
      <c r="O836" s="320"/>
      <c r="P836" s="320"/>
      <c r="Q836" s="320"/>
      <c r="R836" s="320"/>
      <c r="S836" s="320"/>
      <c r="T836" s="320"/>
      <c r="U836" s="320"/>
      <c r="V836" s="320"/>
      <c r="W836" s="320"/>
      <c r="X836" s="320"/>
      <c r="Y836" s="431">
        <f>Y835</f>
        <v>0</v>
      </c>
      <c r="Z836" s="431">
        <f t="shared" ref="Z836:AL836" si="2493">Z835</f>
        <v>0</v>
      </c>
      <c r="AA836" s="431">
        <f t="shared" si="2493"/>
        <v>0</v>
      </c>
      <c r="AB836" s="431">
        <f t="shared" si="2493"/>
        <v>0</v>
      </c>
      <c r="AC836" s="431">
        <f t="shared" si="2493"/>
        <v>0</v>
      </c>
      <c r="AD836" s="431">
        <f t="shared" si="2493"/>
        <v>0</v>
      </c>
      <c r="AE836" s="431">
        <f t="shared" si="2493"/>
        <v>0</v>
      </c>
      <c r="AF836" s="431">
        <f t="shared" si="2493"/>
        <v>0</v>
      </c>
      <c r="AG836" s="431">
        <f t="shared" si="2493"/>
        <v>0</v>
      </c>
      <c r="AH836" s="431">
        <f t="shared" si="2493"/>
        <v>0</v>
      </c>
      <c r="AI836" s="431">
        <f t="shared" si="2493"/>
        <v>0</v>
      </c>
      <c r="AJ836" s="431">
        <f t="shared" si="2493"/>
        <v>0</v>
      </c>
      <c r="AK836" s="431">
        <f t="shared" si="2493"/>
        <v>0</v>
      </c>
      <c r="AL836" s="431">
        <f t="shared" si="2493"/>
        <v>0</v>
      </c>
      <c r="AM836" s="331"/>
    </row>
    <row r="837" spans="1:39" ht="15" hidden="1" outlineLevel="1">
      <c r="A837" s="560"/>
      <c r="B837" s="347"/>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443"/>
      <c r="Z837" s="444"/>
      <c r="AA837" s="444"/>
      <c r="AB837" s="444"/>
      <c r="AC837" s="444"/>
      <c r="AD837" s="444"/>
      <c r="AE837" s="444"/>
      <c r="AF837" s="444"/>
      <c r="AG837" s="444"/>
      <c r="AH837" s="444"/>
      <c r="AI837" s="444"/>
      <c r="AJ837" s="444"/>
      <c r="AK837" s="444"/>
      <c r="AL837" s="444"/>
      <c r="AM837" s="322"/>
    </row>
    <row r="838" spans="1:39" ht="15" hidden="1" outlineLevel="1">
      <c r="A838" s="560">
        <v>19</v>
      </c>
      <c r="B838" s="448" t="s">
        <v>112</v>
      </c>
      <c r="C838" s="316" t="s">
        <v>25</v>
      </c>
      <c r="D838" s="320"/>
      <c r="E838" s="320"/>
      <c r="F838" s="320"/>
      <c r="G838" s="320"/>
      <c r="H838" s="320"/>
      <c r="I838" s="320"/>
      <c r="J838" s="320"/>
      <c r="K838" s="320"/>
      <c r="L838" s="320"/>
      <c r="M838" s="320"/>
      <c r="N838" s="320">
        <v>0</v>
      </c>
      <c r="O838" s="320"/>
      <c r="P838" s="320"/>
      <c r="Q838" s="320"/>
      <c r="R838" s="320"/>
      <c r="S838" s="320"/>
      <c r="T838" s="320"/>
      <c r="U838" s="320"/>
      <c r="V838" s="320"/>
      <c r="W838" s="320"/>
      <c r="X838" s="320"/>
      <c r="Y838" s="446"/>
      <c r="Z838" s="430"/>
      <c r="AA838" s="430"/>
      <c r="AB838" s="430"/>
      <c r="AC838" s="430"/>
      <c r="AD838" s="430"/>
      <c r="AE838" s="430"/>
      <c r="AF838" s="435"/>
      <c r="AG838" s="435"/>
      <c r="AH838" s="435"/>
      <c r="AI838" s="435"/>
      <c r="AJ838" s="435"/>
      <c r="AK838" s="435"/>
      <c r="AL838" s="435"/>
      <c r="AM838" s="321">
        <f>SUM(Y838:AL838)</f>
        <v>0</v>
      </c>
    </row>
    <row r="839" spans="1:39" ht="15" hidden="1" outlineLevel="1">
      <c r="A839" s="560"/>
      <c r="B839" s="319" t="s">
        <v>345</v>
      </c>
      <c r="C839" s="316" t="s">
        <v>164</v>
      </c>
      <c r="D839" s="320"/>
      <c r="E839" s="320"/>
      <c r="F839" s="320"/>
      <c r="G839" s="320"/>
      <c r="H839" s="320"/>
      <c r="I839" s="320"/>
      <c r="J839" s="320"/>
      <c r="K839" s="320"/>
      <c r="L839" s="320"/>
      <c r="M839" s="320"/>
      <c r="N839" s="320">
        <f>N838</f>
        <v>0</v>
      </c>
      <c r="O839" s="320"/>
      <c r="P839" s="320"/>
      <c r="Q839" s="320"/>
      <c r="R839" s="320"/>
      <c r="S839" s="320"/>
      <c r="T839" s="320"/>
      <c r="U839" s="320"/>
      <c r="V839" s="320"/>
      <c r="W839" s="320"/>
      <c r="X839" s="320"/>
      <c r="Y839" s="431">
        <f>Y838</f>
        <v>0</v>
      </c>
      <c r="Z839" s="431">
        <f t="shared" ref="Z839:AL839" si="2494">Z838</f>
        <v>0</v>
      </c>
      <c r="AA839" s="431">
        <f t="shared" si="2494"/>
        <v>0</v>
      </c>
      <c r="AB839" s="431">
        <f t="shared" si="2494"/>
        <v>0</v>
      </c>
      <c r="AC839" s="431">
        <f t="shared" si="2494"/>
        <v>0</v>
      </c>
      <c r="AD839" s="431">
        <f t="shared" si="2494"/>
        <v>0</v>
      </c>
      <c r="AE839" s="431">
        <f t="shared" si="2494"/>
        <v>0</v>
      </c>
      <c r="AF839" s="431">
        <f t="shared" si="2494"/>
        <v>0</v>
      </c>
      <c r="AG839" s="431">
        <f t="shared" si="2494"/>
        <v>0</v>
      </c>
      <c r="AH839" s="431">
        <f t="shared" si="2494"/>
        <v>0</v>
      </c>
      <c r="AI839" s="431">
        <f t="shared" si="2494"/>
        <v>0</v>
      </c>
      <c r="AJ839" s="431">
        <f t="shared" si="2494"/>
        <v>0</v>
      </c>
      <c r="AK839" s="431">
        <f t="shared" si="2494"/>
        <v>0</v>
      </c>
      <c r="AL839" s="431">
        <f t="shared" si="2494"/>
        <v>0</v>
      </c>
      <c r="AM839" s="322"/>
    </row>
    <row r="840" spans="1:39" ht="15" hidden="1" outlineLevel="1">
      <c r="A840" s="560"/>
      <c r="B840" s="347"/>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432"/>
      <c r="Z840" s="432"/>
      <c r="AA840" s="432"/>
      <c r="AB840" s="432"/>
      <c r="AC840" s="432"/>
      <c r="AD840" s="432"/>
      <c r="AE840" s="432"/>
      <c r="AF840" s="432"/>
      <c r="AG840" s="432"/>
      <c r="AH840" s="432"/>
      <c r="AI840" s="432"/>
      <c r="AJ840" s="432"/>
      <c r="AK840" s="432"/>
      <c r="AL840" s="432"/>
      <c r="AM840" s="331"/>
    </row>
    <row r="841" spans="1:39" ht="15" hidden="1" outlineLevel="1">
      <c r="A841" s="560">
        <v>20</v>
      </c>
      <c r="B841" s="448" t="s">
        <v>111</v>
      </c>
      <c r="C841" s="316" t="s">
        <v>25</v>
      </c>
      <c r="D841" s="320"/>
      <c r="E841" s="320"/>
      <c r="F841" s="320"/>
      <c r="G841" s="320"/>
      <c r="H841" s="320"/>
      <c r="I841" s="320"/>
      <c r="J841" s="320"/>
      <c r="K841" s="320"/>
      <c r="L841" s="320"/>
      <c r="M841" s="320"/>
      <c r="N841" s="320">
        <v>0</v>
      </c>
      <c r="O841" s="320"/>
      <c r="P841" s="320"/>
      <c r="Q841" s="320"/>
      <c r="R841" s="320"/>
      <c r="S841" s="320"/>
      <c r="T841" s="320"/>
      <c r="U841" s="320"/>
      <c r="V841" s="320"/>
      <c r="W841" s="320"/>
      <c r="X841" s="320"/>
      <c r="Y841" s="446"/>
      <c r="Z841" s="430"/>
      <c r="AA841" s="430"/>
      <c r="AB841" s="430"/>
      <c r="AC841" s="430"/>
      <c r="AD841" s="430"/>
      <c r="AE841" s="430"/>
      <c r="AF841" s="435"/>
      <c r="AG841" s="435"/>
      <c r="AH841" s="435"/>
      <c r="AI841" s="435"/>
      <c r="AJ841" s="435"/>
      <c r="AK841" s="435"/>
      <c r="AL841" s="435"/>
      <c r="AM841" s="321">
        <f>SUM(Y841:AL841)</f>
        <v>0</v>
      </c>
    </row>
    <row r="842" spans="1:39" ht="15" hidden="1" outlineLevel="1">
      <c r="A842" s="560"/>
      <c r="B842" s="319" t="s">
        <v>345</v>
      </c>
      <c r="C842" s="316" t="s">
        <v>164</v>
      </c>
      <c r="D842" s="320"/>
      <c r="E842" s="320"/>
      <c r="F842" s="320"/>
      <c r="G842" s="320"/>
      <c r="H842" s="320"/>
      <c r="I842" s="320"/>
      <c r="J842" s="320"/>
      <c r="K842" s="320"/>
      <c r="L842" s="320"/>
      <c r="M842" s="320"/>
      <c r="N842" s="320">
        <f>N841</f>
        <v>0</v>
      </c>
      <c r="O842" s="320"/>
      <c r="P842" s="320"/>
      <c r="Q842" s="320"/>
      <c r="R842" s="320"/>
      <c r="S842" s="320"/>
      <c r="T842" s="320"/>
      <c r="U842" s="320"/>
      <c r="V842" s="320"/>
      <c r="W842" s="320"/>
      <c r="X842" s="320"/>
      <c r="Y842" s="431">
        <f>Y841</f>
        <v>0</v>
      </c>
      <c r="Z842" s="431">
        <f t="shared" ref="Z842:AL842" si="2495">Z841</f>
        <v>0</v>
      </c>
      <c r="AA842" s="431">
        <f t="shared" si="2495"/>
        <v>0</v>
      </c>
      <c r="AB842" s="431">
        <f t="shared" si="2495"/>
        <v>0</v>
      </c>
      <c r="AC842" s="431">
        <f t="shared" si="2495"/>
        <v>0</v>
      </c>
      <c r="AD842" s="431">
        <f t="shared" si="2495"/>
        <v>0</v>
      </c>
      <c r="AE842" s="431">
        <f t="shared" si="2495"/>
        <v>0</v>
      </c>
      <c r="AF842" s="431">
        <f t="shared" si="2495"/>
        <v>0</v>
      </c>
      <c r="AG842" s="431">
        <f t="shared" si="2495"/>
        <v>0</v>
      </c>
      <c r="AH842" s="431">
        <f t="shared" si="2495"/>
        <v>0</v>
      </c>
      <c r="AI842" s="431">
        <f t="shared" si="2495"/>
        <v>0</v>
      </c>
      <c r="AJ842" s="431">
        <f t="shared" si="2495"/>
        <v>0</v>
      </c>
      <c r="AK842" s="431">
        <f t="shared" si="2495"/>
        <v>0</v>
      </c>
      <c r="AL842" s="431">
        <f t="shared" si="2495"/>
        <v>0</v>
      </c>
      <c r="AM842" s="331"/>
    </row>
    <row r="843" spans="1:39" ht="15.6" hidden="1" outlineLevel="1">
      <c r="A843" s="560"/>
      <c r="B843" s="348"/>
      <c r="C843" s="325"/>
      <c r="D843" s="316"/>
      <c r="E843" s="316"/>
      <c r="F843" s="316"/>
      <c r="G843" s="316"/>
      <c r="H843" s="316"/>
      <c r="I843" s="316"/>
      <c r="J843" s="316"/>
      <c r="K843" s="316"/>
      <c r="L843" s="316"/>
      <c r="M843" s="316"/>
      <c r="N843" s="325"/>
      <c r="O843" s="316"/>
      <c r="P843" s="316"/>
      <c r="Q843" s="316"/>
      <c r="R843" s="316"/>
      <c r="S843" s="316"/>
      <c r="T843" s="316"/>
      <c r="U843" s="316"/>
      <c r="V843" s="316"/>
      <c r="W843" s="316"/>
      <c r="X843" s="316"/>
      <c r="Y843" s="432"/>
      <c r="Z843" s="432"/>
      <c r="AA843" s="432"/>
      <c r="AB843" s="432"/>
      <c r="AC843" s="432"/>
      <c r="AD843" s="432"/>
      <c r="AE843" s="432"/>
      <c r="AF843" s="432"/>
      <c r="AG843" s="432"/>
      <c r="AH843" s="432"/>
      <c r="AI843" s="432"/>
      <c r="AJ843" s="432"/>
      <c r="AK843" s="432"/>
      <c r="AL843" s="432"/>
      <c r="AM843" s="331"/>
    </row>
    <row r="844" spans="1:39" ht="15.6" hidden="1" outlineLevel="1">
      <c r="A844" s="560"/>
      <c r="B844" s="547" t="s">
        <v>517</v>
      </c>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442"/>
      <c r="Z844" s="445"/>
      <c r="AA844" s="445"/>
      <c r="AB844" s="445"/>
      <c r="AC844" s="445"/>
      <c r="AD844" s="445"/>
      <c r="AE844" s="445"/>
      <c r="AF844" s="445"/>
      <c r="AG844" s="445"/>
      <c r="AH844" s="445"/>
      <c r="AI844" s="445"/>
      <c r="AJ844" s="445"/>
      <c r="AK844" s="445"/>
      <c r="AL844" s="445"/>
      <c r="AM844" s="331"/>
    </row>
    <row r="845" spans="1:39" ht="15.6" hidden="1" outlineLevel="1">
      <c r="A845" s="560"/>
      <c r="B845" s="533" t="s">
        <v>513</v>
      </c>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t="15" hidden="1" outlineLevel="1">
      <c r="A846" s="560">
        <v>21</v>
      </c>
      <c r="B846" s="448" t="s">
        <v>114</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t="15"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496">Z846</f>
        <v>0</v>
      </c>
      <c r="AA847" s="431">
        <f t="shared" ref="AA847" si="2497">AA846</f>
        <v>0</v>
      </c>
      <c r="AB847" s="431">
        <f t="shared" ref="AB847" si="2498">AB846</f>
        <v>0</v>
      </c>
      <c r="AC847" s="431">
        <f t="shared" ref="AC847" si="2499">AC846</f>
        <v>0</v>
      </c>
      <c r="AD847" s="431">
        <f t="shared" ref="AD847" si="2500">AD846</f>
        <v>0</v>
      </c>
      <c r="AE847" s="431">
        <f t="shared" ref="AE847" si="2501">AE846</f>
        <v>0</v>
      </c>
      <c r="AF847" s="431">
        <f t="shared" ref="AF847" si="2502">AF846</f>
        <v>0</v>
      </c>
      <c r="AG847" s="431">
        <f t="shared" ref="AG847" si="2503">AG846</f>
        <v>0</v>
      </c>
      <c r="AH847" s="431">
        <f t="shared" ref="AH847" si="2504">AH846</f>
        <v>0</v>
      </c>
      <c r="AI847" s="431">
        <f t="shared" ref="AI847" si="2505">AI846</f>
        <v>0</v>
      </c>
      <c r="AJ847" s="431">
        <f t="shared" ref="AJ847" si="2506">AJ846</f>
        <v>0</v>
      </c>
      <c r="AK847" s="431">
        <f t="shared" ref="AK847" si="2507">AK846</f>
        <v>0</v>
      </c>
      <c r="AL847" s="431">
        <f t="shared" ref="AL847" si="2508">AL846</f>
        <v>0</v>
      </c>
      <c r="AM847" s="331"/>
    </row>
    <row r="848" spans="1:39" ht="15"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42"/>
      <c r="Z848" s="445"/>
      <c r="AA848" s="445"/>
      <c r="AB848" s="445"/>
      <c r="AC848" s="445"/>
      <c r="AD848" s="445"/>
      <c r="AE848" s="445"/>
      <c r="AF848" s="445"/>
      <c r="AG848" s="445"/>
      <c r="AH848" s="445"/>
      <c r="AI848" s="445"/>
      <c r="AJ848" s="445"/>
      <c r="AK848" s="445"/>
      <c r="AL848" s="445"/>
      <c r="AM848" s="331"/>
    </row>
    <row r="849" spans="1:39" ht="30" hidden="1" outlineLevel="1">
      <c r="A849" s="560">
        <v>22</v>
      </c>
      <c r="B849" s="448" t="s">
        <v>115</v>
      </c>
      <c r="C849" s="316" t="s">
        <v>25</v>
      </c>
      <c r="D849" s="320"/>
      <c r="E849" s="320"/>
      <c r="F849" s="320"/>
      <c r="G849" s="320"/>
      <c r="H849" s="320"/>
      <c r="I849" s="320"/>
      <c r="J849" s="320"/>
      <c r="K849" s="320"/>
      <c r="L849" s="320"/>
      <c r="M849" s="320"/>
      <c r="N849" s="316"/>
      <c r="O849" s="320"/>
      <c r="P849" s="320"/>
      <c r="Q849" s="320"/>
      <c r="R849" s="320"/>
      <c r="S849" s="320"/>
      <c r="T849" s="320"/>
      <c r="U849" s="320"/>
      <c r="V849" s="320"/>
      <c r="W849" s="320"/>
      <c r="X849" s="320"/>
      <c r="Y849" s="435"/>
      <c r="Z849" s="435"/>
      <c r="AA849" s="435"/>
      <c r="AB849" s="435"/>
      <c r="AC849" s="435"/>
      <c r="AD849" s="435"/>
      <c r="AE849" s="435"/>
      <c r="AF849" s="430"/>
      <c r="AG849" s="430"/>
      <c r="AH849" s="430"/>
      <c r="AI849" s="430"/>
      <c r="AJ849" s="430"/>
      <c r="AK849" s="430"/>
      <c r="AL849" s="430"/>
      <c r="AM849" s="321">
        <f>SUM(Y849:AL849)</f>
        <v>0</v>
      </c>
    </row>
    <row r="850" spans="1:39" ht="15" hidden="1" outlineLevel="1">
      <c r="A850" s="560"/>
      <c r="B850" s="319" t="s">
        <v>345</v>
      </c>
      <c r="C850" s="316" t="s">
        <v>164</v>
      </c>
      <c r="D850" s="320"/>
      <c r="E850" s="320"/>
      <c r="F850" s="320"/>
      <c r="G850" s="320"/>
      <c r="H850" s="320"/>
      <c r="I850" s="320"/>
      <c r="J850" s="320"/>
      <c r="K850" s="320"/>
      <c r="L850" s="320"/>
      <c r="M850" s="320"/>
      <c r="N850" s="316"/>
      <c r="O850" s="320"/>
      <c r="P850" s="320"/>
      <c r="Q850" s="320"/>
      <c r="R850" s="320"/>
      <c r="S850" s="320"/>
      <c r="T850" s="320"/>
      <c r="U850" s="320"/>
      <c r="V850" s="320"/>
      <c r="W850" s="320"/>
      <c r="X850" s="320"/>
      <c r="Y850" s="431">
        <f>Y849</f>
        <v>0</v>
      </c>
      <c r="Z850" s="431">
        <f t="shared" ref="Z850" si="2509">Z849</f>
        <v>0</v>
      </c>
      <c r="AA850" s="431">
        <f t="shared" ref="AA850" si="2510">AA849</f>
        <v>0</v>
      </c>
      <c r="AB850" s="431">
        <f t="shared" ref="AB850" si="2511">AB849</f>
        <v>0</v>
      </c>
      <c r="AC850" s="431">
        <f t="shared" ref="AC850" si="2512">AC849</f>
        <v>0</v>
      </c>
      <c r="AD850" s="431">
        <f t="shared" ref="AD850" si="2513">AD849</f>
        <v>0</v>
      </c>
      <c r="AE850" s="431">
        <f t="shared" ref="AE850" si="2514">AE849</f>
        <v>0</v>
      </c>
      <c r="AF850" s="431">
        <f t="shared" ref="AF850" si="2515">AF849</f>
        <v>0</v>
      </c>
      <c r="AG850" s="431">
        <f t="shared" ref="AG850" si="2516">AG849</f>
        <v>0</v>
      </c>
      <c r="AH850" s="431">
        <f t="shared" ref="AH850" si="2517">AH849</f>
        <v>0</v>
      </c>
      <c r="AI850" s="431">
        <f t="shared" ref="AI850" si="2518">AI849</f>
        <v>0</v>
      </c>
      <c r="AJ850" s="431">
        <f t="shared" ref="AJ850" si="2519">AJ849</f>
        <v>0</v>
      </c>
      <c r="AK850" s="431">
        <f t="shared" ref="AK850" si="2520">AK849</f>
        <v>0</v>
      </c>
      <c r="AL850" s="431">
        <f t="shared" ref="AL850" si="2521">AL849</f>
        <v>0</v>
      </c>
      <c r="AM850" s="331"/>
    </row>
    <row r="851" spans="1:39" ht="15" hidden="1" outlineLevel="1">
      <c r="A851" s="560"/>
      <c r="B851" s="319"/>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442"/>
      <c r="Z851" s="445"/>
      <c r="AA851" s="445"/>
      <c r="AB851" s="445"/>
      <c r="AC851" s="445"/>
      <c r="AD851" s="445"/>
      <c r="AE851" s="445"/>
      <c r="AF851" s="445"/>
      <c r="AG851" s="445"/>
      <c r="AH851" s="445"/>
      <c r="AI851" s="445"/>
      <c r="AJ851" s="445"/>
      <c r="AK851" s="445"/>
      <c r="AL851" s="445"/>
      <c r="AM851" s="331"/>
    </row>
    <row r="852" spans="1:39" ht="30" hidden="1" outlineLevel="1">
      <c r="A852" s="560">
        <v>23</v>
      </c>
      <c r="B852" s="448" t="s">
        <v>116</v>
      </c>
      <c r="C852" s="316" t="s">
        <v>25</v>
      </c>
      <c r="D852" s="320"/>
      <c r="E852" s="320"/>
      <c r="F852" s="320"/>
      <c r="G852" s="320"/>
      <c r="H852" s="320"/>
      <c r="I852" s="320"/>
      <c r="J852" s="320"/>
      <c r="K852" s="320"/>
      <c r="L852" s="320"/>
      <c r="M852" s="320"/>
      <c r="N852" s="316"/>
      <c r="O852" s="320"/>
      <c r="P852" s="320"/>
      <c r="Q852" s="320"/>
      <c r="R852" s="320"/>
      <c r="S852" s="320"/>
      <c r="T852" s="320"/>
      <c r="U852" s="320"/>
      <c r="V852" s="320"/>
      <c r="W852" s="320"/>
      <c r="X852" s="320"/>
      <c r="Y852" s="435"/>
      <c r="Z852" s="435"/>
      <c r="AA852" s="435"/>
      <c r="AB852" s="435"/>
      <c r="AC852" s="435"/>
      <c r="AD852" s="435"/>
      <c r="AE852" s="435"/>
      <c r="AF852" s="430"/>
      <c r="AG852" s="430"/>
      <c r="AH852" s="430"/>
      <c r="AI852" s="430"/>
      <c r="AJ852" s="430"/>
      <c r="AK852" s="430"/>
      <c r="AL852" s="430"/>
      <c r="AM852" s="321">
        <f>SUM(Y852:AL852)</f>
        <v>0</v>
      </c>
    </row>
    <row r="853" spans="1:39" ht="15" hidden="1" outlineLevel="1">
      <c r="A853" s="560"/>
      <c r="B853" s="319" t="s">
        <v>345</v>
      </c>
      <c r="C853" s="316" t="s">
        <v>164</v>
      </c>
      <c r="D853" s="320"/>
      <c r="E853" s="320"/>
      <c r="F853" s="320"/>
      <c r="G853" s="320"/>
      <c r="H853" s="320"/>
      <c r="I853" s="320"/>
      <c r="J853" s="320"/>
      <c r="K853" s="320"/>
      <c r="L853" s="320"/>
      <c r="M853" s="320"/>
      <c r="N853" s="316"/>
      <c r="O853" s="320"/>
      <c r="P853" s="320"/>
      <c r="Q853" s="320"/>
      <c r="R853" s="320"/>
      <c r="S853" s="320"/>
      <c r="T853" s="320"/>
      <c r="U853" s="320"/>
      <c r="V853" s="320"/>
      <c r="W853" s="320"/>
      <c r="X853" s="320"/>
      <c r="Y853" s="431">
        <f>Y852</f>
        <v>0</v>
      </c>
      <c r="Z853" s="431">
        <f t="shared" ref="Z853" si="2522">Z852</f>
        <v>0</v>
      </c>
      <c r="AA853" s="431">
        <f t="shared" ref="AA853" si="2523">AA852</f>
        <v>0</v>
      </c>
      <c r="AB853" s="431">
        <f t="shared" ref="AB853" si="2524">AB852</f>
        <v>0</v>
      </c>
      <c r="AC853" s="431">
        <f t="shared" ref="AC853" si="2525">AC852</f>
        <v>0</v>
      </c>
      <c r="AD853" s="431">
        <f t="shared" ref="AD853" si="2526">AD852</f>
        <v>0</v>
      </c>
      <c r="AE853" s="431">
        <f t="shared" ref="AE853" si="2527">AE852</f>
        <v>0</v>
      </c>
      <c r="AF853" s="431">
        <f t="shared" ref="AF853" si="2528">AF852</f>
        <v>0</v>
      </c>
      <c r="AG853" s="431">
        <f t="shared" ref="AG853" si="2529">AG852</f>
        <v>0</v>
      </c>
      <c r="AH853" s="431">
        <f t="shared" ref="AH853" si="2530">AH852</f>
        <v>0</v>
      </c>
      <c r="AI853" s="431">
        <f t="shared" ref="AI853" si="2531">AI852</f>
        <v>0</v>
      </c>
      <c r="AJ853" s="431">
        <f t="shared" ref="AJ853" si="2532">AJ852</f>
        <v>0</v>
      </c>
      <c r="AK853" s="431">
        <f t="shared" ref="AK853" si="2533">AK852</f>
        <v>0</v>
      </c>
      <c r="AL853" s="431">
        <f t="shared" ref="AL853" si="2534">AL852</f>
        <v>0</v>
      </c>
      <c r="AM853" s="331"/>
    </row>
    <row r="854" spans="1:39" ht="15" hidden="1" outlineLevel="1">
      <c r="A854" s="560"/>
      <c r="B854" s="450"/>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442"/>
      <c r="Z854" s="445"/>
      <c r="AA854" s="445"/>
      <c r="AB854" s="445"/>
      <c r="AC854" s="445"/>
      <c r="AD854" s="445"/>
      <c r="AE854" s="445"/>
      <c r="AF854" s="445"/>
      <c r="AG854" s="445"/>
      <c r="AH854" s="445"/>
      <c r="AI854" s="445"/>
      <c r="AJ854" s="445"/>
      <c r="AK854" s="445"/>
      <c r="AL854" s="445"/>
      <c r="AM854" s="331"/>
    </row>
    <row r="855" spans="1:39" ht="15" hidden="1" outlineLevel="1">
      <c r="A855" s="560">
        <v>24</v>
      </c>
      <c r="B855" s="448" t="s">
        <v>117</v>
      </c>
      <c r="C855" s="316" t="s">
        <v>25</v>
      </c>
      <c r="D855" s="320"/>
      <c r="E855" s="320"/>
      <c r="F855" s="320"/>
      <c r="G855" s="320"/>
      <c r="H855" s="320"/>
      <c r="I855" s="320"/>
      <c r="J855" s="320"/>
      <c r="K855" s="320"/>
      <c r="L855" s="320"/>
      <c r="M855" s="320"/>
      <c r="N855" s="316"/>
      <c r="O855" s="320"/>
      <c r="P855" s="320"/>
      <c r="Q855" s="320"/>
      <c r="R855" s="320"/>
      <c r="S855" s="320"/>
      <c r="T855" s="320"/>
      <c r="U855" s="320"/>
      <c r="V855" s="320"/>
      <c r="W855" s="320"/>
      <c r="X855" s="320"/>
      <c r="Y855" s="435"/>
      <c r="Z855" s="435"/>
      <c r="AA855" s="435"/>
      <c r="AB855" s="435"/>
      <c r="AC855" s="435"/>
      <c r="AD855" s="435"/>
      <c r="AE855" s="435"/>
      <c r="AF855" s="430"/>
      <c r="AG855" s="430"/>
      <c r="AH855" s="430"/>
      <c r="AI855" s="430"/>
      <c r="AJ855" s="430"/>
      <c r="AK855" s="430"/>
      <c r="AL855" s="430"/>
      <c r="AM855" s="321">
        <f>SUM(Y855:AL855)</f>
        <v>0</v>
      </c>
    </row>
    <row r="856" spans="1:39" ht="15" hidden="1" outlineLevel="1">
      <c r="A856" s="560"/>
      <c r="B856" s="319" t="s">
        <v>345</v>
      </c>
      <c r="C856" s="316" t="s">
        <v>164</v>
      </c>
      <c r="D856" s="320"/>
      <c r="E856" s="320"/>
      <c r="F856" s="320"/>
      <c r="G856" s="320"/>
      <c r="H856" s="320"/>
      <c r="I856" s="320"/>
      <c r="J856" s="320"/>
      <c r="K856" s="320"/>
      <c r="L856" s="320"/>
      <c r="M856" s="320"/>
      <c r="N856" s="316"/>
      <c r="O856" s="320"/>
      <c r="P856" s="320"/>
      <c r="Q856" s="320"/>
      <c r="R856" s="320"/>
      <c r="S856" s="320"/>
      <c r="T856" s="320"/>
      <c r="U856" s="320"/>
      <c r="V856" s="320"/>
      <c r="W856" s="320"/>
      <c r="X856" s="320"/>
      <c r="Y856" s="431">
        <f>Y855</f>
        <v>0</v>
      </c>
      <c r="Z856" s="431">
        <f t="shared" ref="Z856" si="2535">Z855</f>
        <v>0</v>
      </c>
      <c r="AA856" s="431">
        <f t="shared" ref="AA856" si="2536">AA855</f>
        <v>0</v>
      </c>
      <c r="AB856" s="431">
        <f t="shared" ref="AB856" si="2537">AB855</f>
        <v>0</v>
      </c>
      <c r="AC856" s="431">
        <f t="shared" ref="AC856" si="2538">AC855</f>
        <v>0</v>
      </c>
      <c r="AD856" s="431">
        <f t="shared" ref="AD856" si="2539">AD855</f>
        <v>0</v>
      </c>
      <c r="AE856" s="431">
        <f t="shared" ref="AE856" si="2540">AE855</f>
        <v>0</v>
      </c>
      <c r="AF856" s="431">
        <f t="shared" ref="AF856" si="2541">AF855</f>
        <v>0</v>
      </c>
      <c r="AG856" s="431">
        <f t="shared" ref="AG856" si="2542">AG855</f>
        <v>0</v>
      </c>
      <c r="AH856" s="431">
        <f t="shared" ref="AH856" si="2543">AH855</f>
        <v>0</v>
      </c>
      <c r="AI856" s="431">
        <f t="shared" ref="AI856" si="2544">AI855</f>
        <v>0</v>
      </c>
      <c r="AJ856" s="431">
        <f t="shared" ref="AJ856" si="2545">AJ855</f>
        <v>0</v>
      </c>
      <c r="AK856" s="431">
        <f t="shared" ref="AK856" si="2546">AK855</f>
        <v>0</v>
      </c>
      <c r="AL856" s="431">
        <f t="shared" ref="AL856" si="2547">AL855</f>
        <v>0</v>
      </c>
      <c r="AM856" s="331"/>
    </row>
    <row r="857" spans="1:39" ht="15" hidden="1" outlineLevel="1">
      <c r="A857" s="560"/>
      <c r="B857" s="319"/>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432"/>
      <c r="Z857" s="445"/>
      <c r="AA857" s="445"/>
      <c r="AB857" s="445"/>
      <c r="AC857" s="445"/>
      <c r="AD857" s="445"/>
      <c r="AE857" s="445"/>
      <c r="AF857" s="445"/>
      <c r="AG857" s="445"/>
      <c r="AH857" s="445"/>
      <c r="AI857" s="445"/>
      <c r="AJ857" s="445"/>
      <c r="AK857" s="445"/>
      <c r="AL857" s="445"/>
      <c r="AM857" s="331"/>
    </row>
    <row r="858" spans="1:39" ht="15.6" hidden="1" outlineLevel="1">
      <c r="A858" s="560"/>
      <c r="B858" s="313" t="s">
        <v>514</v>
      </c>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t="15" hidden="1" outlineLevel="1">
      <c r="A859" s="560">
        <v>25</v>
      </c>
      <c r="B859" s="448" t="s">
        <v>118</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t="15"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48">Z859</f>
        <v>0</v>
      </c>
      <c r="AA860" s="431">
        <f t="shared" ref="AA860" si="2549">AA859</f>
        <v>0</v>
      </c>
      <c r="AB860" s="431">
        <f t="shared" ref="AB860" si="2550">AB859</f>
        <v>0</v>
      </c>
      <c r="AC860" s="431">
        <f t="shared" ref="AC860" si="2551">AC859</f>
        <v>0</v>
      </c>
      <c r="AD860" s="431">
        <f t="shared" ref="AD860" si="2552">AD859</f>
        <v>0</v>
      </c>
      <c r="AE860" s="431">
        <f t="shared" ref="AE860" si="2553">AE859</f>
        <v>0</v>
      </c>
      <c r="AF860" s="431">
        <f t="shared" ref="AF860" si="2554">AF859</f>
        <v>0</v>
      </c>
      <c r="AG860" s="431">
        <f t="shared" ref="AG860" si="2555">AG859</f>
        <v>0</v>
      </c>
      <c r="AH860" s="431">
        <f t="shared" ref="AH860" si="2556">AH859</f>
        <v>0</v>
      </c>
      <c r="AI860" s="431">
        <f t="shared" ref="AI860" si="2557">AI859</f>
        <v>0</v>
      </c>
      <c r="AJ860" s="431">
        <f t="shared" ref="AJ860" si="2558">AJ859</f>
        <v>0</v>
      </c>
      <c r="AK860" s="431">
        <f t="shared" ref="AK860" si="2559">AK859</f>
        <v>0</v>
      </c>
      <c r="AL860" s="431">
        <f t="shared" ref="AL860" si="2560">AL859</f>
        <v>0</v>
      </c>
      <c r="AM860" s="331"/>
    </row>
    <row r="861" spans="1:39" ht="15"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t="15" hidden="1" outlineLevel="1">
      <c r="A862" s="560">
        <v>26</v>
      </c>
      <c r="B862" s="448" t="s">
        <v>119</v>
      </c>
      <c r="C862" s="316" t="s">
        <v>25</v>
      </c>
      <c r="D862" s="320"/>
      <c r="E862" s="320"/>
      <c r="F862" s="320"/>
      <c r="G862" s="320"/>
      <c r="H862" s="320"/>
      <c r="I862" s="320"/>
      <c r="J862" s="320"/>
      <c r="K862" s="320"/>
      <c r="L862" s="320"/>
      <c r="M862" s="320"/>
      <c r="N862" s="320">
        <v>12</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t="15" hidden="1" outlineLevel="1">
      <c r="A863" s="560"/>
      <c r="B863" s="319" t="s">
        <v>345</v>
      </c>
      <c r="C863" s="316" t="s">
        <v>164</v>
      </c>
      <c r="D863" s="320"/>
      <c r="E863" s="320"/>
      <c r="F863" s="320"/>
      <c r="G863" s="320"/>
      <c r="H863" s="320"/>
      <c r="I863" s="320"/>
      <c r="J863" s="320"/>
      <c r="K863" s="320"/>
      <c r="L863" s="320"/>
      <c r="M863" s="320"/>
      <c r="N863" s="320">
        <f>N862</f>
        <v>12</v>
      </c>
      <c r="O863" s="320"/>
      <c r="P863" s="320"/>
      <c r="Q863" s="320"/>
      <c r="R863" s="320"/>
      <c r="S863" s="320"/>
      <c r="T863" s="320"/>
      <c r="U863" s="320"/>
      <c r="V863" s="320"/>
      <c r="W863" s="320"/>
      <c r="X863" s="320"/>
      <c r="Y863" s="431">
        <f>Y862</f>
        <v>0</v>
      </c>
      <c r="Z863" s="431">
        <f t="shared" ref="Z863" si="2561">Z862</f>
        <v>0</v>
      </c>
      <c r="AA863" s="431">
        <f t="shared" ref="AA863" si="2562">AA862</f>
        <v>0</v>
      </c>
      <c r="AB863" s="431">
        <f t="shared" ref="AB863" si="2563">AB862</f>
        <v>0</v>
      </c>
      <c r="AC863" s="431">
        <f t="shared" ref="AC863" si="2564">AC862</f>
        <v>0</v>
      </c>
      <c r="AD863" s="431">
        <f t="shared" ref="AD863" si="2565">AD862</f>
        <v>0</v>
      </c>
      <c r="AE863" s="431">
        <f t="shared" ref="AE863" si="2566">AE862</f>
        <v>0</v>
      </c>
      <c r="AF863" s="431">
        <f t="shared" ref="AF863" si="2567">AF862</f>
        <v>0</v>
      </c>
      <c r="AG863" s="431">
        <f t="shared" ref="AG863" si="2568">AG862</f>
        <v>0</v>
      </c>
      <c r="AH863" s="431">
        <f t="shared" ref="AH863" si="2569">AH862</f>
        <v>0</v>
      </c>
      <c r="AI863" s="431">
        <f t="shared" ref="AI863" si="2570">AI862</f>
        <v>0</v>
      </c>
      <c r="AJ863" s="431">
        <f t="shared" ref="AJ863" si="2571">AJ862</f>
        <v>0</v>
      </c>
      <c r="AK863" s="431">
        <f t="shared" ref="AK863" si="2572">AK862</f>
        <v>0</v>
      </c>
      <c r="AL863" s="431">
        <f t="shared" ref="AL863" si="2573">AL862</f>
        <v>0</v>
      </c>
      <c r="AM863" s="331"/>
    </row>
    <row r="864" spans="1:39" ht="15"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27</v>
      </c>
      <c r="B865" s="448" t="s">
        <v>120</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t="15"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574">Z865</f>
        <v>0</v>
      </c>
      <c r="AA866" s="431">
        <f t="shared" ref="AA866" si="2575">AA865</f>
        <v>0</v>
      </c>
      <c r="AB866" s="431">
        <f t="shared" ref="AB866" si="2576">AB865</f>
        <v>0</v>
      </c>
      <c r="AC866" s="431">
        <f t="shared" ref="AC866" si="2577">AC865</f>
        <v>0</v>
      </c>
      <c r="AD866" s="431">
        <f t="shared" ref="AD866" si="2578">AD865</f>
        <v>0</v>
      </c>
      <c r="AE866" s="431">
        <f t="shared" ref="AE866" si="2579">AE865</f>
        <v>0</v>
      </c>
      <c r="AF866" s="431">
        <f t="shared" ref="AF866" si="2580">AF865</f>
        <v>0</v>
      </c>
      <c r="AG866" s="431">
        <f t="shared" ref="AG866" si="2581">AG865</f>
        <v>0</v>
      </c>
      <c r="AH866" s="431">
        <f t="shared" ref="AH866" si="2582">AH865</f>
        <v>0</v>
      </c>
      <c r="AI866" s="431">
        <f t="shared" ref="AI866" si="2583">AI865</f>
        <v>0</v>
      </c>
      <c r="AJ866" s="431">
        <f t="shared" ref="AJ866" si="2584">AJ865</f>
        <v>0</v>
      </c>
      <c r="AK866" s="431">
        <f t="shared" ref="AK866" si="2585">AK865</f>
        <v>0</v>
      </c>
      <c r="AL866" s="431">
        <f t="shared" ref="AL866" si="2586">AL865</f>
        <v>0</v>
      </c>
      <c r="AM866" s="331"/>
    </row>
    <row r="867" spans="1:39" ht="15"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28</v>
      </c>
      <c r="B868" s="448" t="s">
        <v>121</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t="15"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587">Z868</f>
        <v>0</v>
      </c>
      <c r="AA869" s="431">
        <f t="shared" ref="AA869" si="2588">AA868</f>
        <v>0</v>
      </c>
      <c r="AB869" s="431">
        <f t="shared" ref="AB869" si="2589">AB868</f>
        <v>0</v>
      </c>
      <c r="AC869" s="431">
        <f t="shared" ref="AC869" si="2590">AC868</f>
        <v>0</v>
      </c>
      <c r="AD869" s="431">
        <f t="shared" ref="AD869" si="2591">AD868</f>
        <v>0</v>
      </c>
      <c r="AE869" s="431">
        <f t="shared" ref="AE869" si="2592">AE868</f>
        <v>0</v>
      </c>
      <c r="AF869" s="431">
        <f t="shared" ref="AF869" si="2593">AF868</f>
        <v>0</v>
      </c>
      <c r="AG869" s="431">
        <f t="shared" ref="AG869" si="2594">AG868</f>
        <v>0</v>
      </c>
      <c r="AH869" s="431">
        <f t="shared" ref="AH869" si="2595">AH868</f>
        <v>0</v>
      </c>
      <c r="AI869" s="431">
        <f t="shared" ref="AI869" si="2596">AI868</f>
        <v>0</v>
      </c>
      <c r="AJ869" s="431">
        <f t="shared" ref="AJ869" si="2597">AJ868</f>
        <v>0</v>
      </c>
      <c r="AK869" s="431">
        <f t="shared" ref="AK869" si="2598">AK868</f>
        <v>0</v>
      </c>
      <c r="AL869" s="431">
        <f t="shared" ref="AL869" si="2599">AL868</f>
        <v>0</v>
      </c>
      <c r="AM869" s="331"/>
    </row>
    <row r="870" spans="1:39" ht="15" hidden="1" outlineLevel="1">
      <c r="A870" s="560"/>
      <c r="B870" s="319"/>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30" hidden="1" outlineLevel="1">
      <c r="A871" s="560">
        <v>29</v>
      </c>
      <c r="B871" s="448" t="s">
        <v>122</v>
      </c>
      <c r="C871" s="316" t="s">
        <v>25</v>
      </c>
      <c r="D871" s="320"/>
      <c r="E871" s="320"/>
      <c r="F871" s="320"/>
      <c r="G871" s="320"/>
      <c r="H871" s="320"/>
      <c r="I871" s="320"/>
      <c r="J871" s="320"/>
      <c r="K871" s="320"/>
      <c r="L871" s="320"/>
      <c r="M871" s="320"/>
      <c r="N871" s="320">
        <v>3</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t="15" hidden="1" outlineLevel="1">
      <c r="A872" s="560"/>
      <c r="B872" s="319" t="s">
        <v>345</v>
      </c>
      <c r="C872" s="316" t="s">
        <v>164</v>
      </c>
      <c r="D872" s="320"/>
      <c r="E872" s="320"/>
      <c r="F872" s="320"/>
      <c r="G872" s="320"/>
      <c r="H872" s="320"/>
      <c r="I872" s="320"/>
      <c r="J872" s="320"/>
      <c r="K872" s="320"/>
      <c r="L872" s="320"/>
      <c r="M872" s="320"/>
      <c r="N872" s="320">
        <f>N871</f>
        <v>3</v>
      </c>
      <c r="O872" s="320"/>
      <c r="P872" s="320"/>
      <c r="Q872" s="320"/>
      <c r="R872" s="320"/>
      <c r="S872" s="320"/>
      <c r="T872" s="320"/>
      <c r="U872" s="320"/>
      <c r="V872" s="320"/>
      <c r="W872" s="320"/>
      <c r="X872" s="320"/>
      <c r="Y872" s="431">
        <f>Y871</f>
        <v>0</v>
      </c>
      <c r="Z872" s="431">
        <f t="shared" ref="Z872" si="2600">Z871</f>
        <v>0</v>
      </c>
      <c r="AA872" s="431">
        <f t="shared" ref="AA872" si="2601">AA871</f>
        <v>0</v>
      </c>
      <c r="AB872" s="431">
        <f t="shared" ref="AB872" si="2602">AB871</f>
        <v>0</v>
      </c>
      <c r="AC872" s="431">
        <f t="shared" ref="AC872" si="2603">AC871</f>
        <v>0</v>
      </c>
      <c r="AD872" s="431">
        <f t="shared" ref="AD872" si="2604">AD871</f>
        <v>0</v>
      </c>
      <c r="AE872" s="431">
        <f t="shared" ref="AE872" si="2605">AE871</f>
        <v>0</v>
      </c>
      <c r="AF872" s="431">
        <f t="shared" ref="AF872" si="2606">AF871</f>
        <v>0</v>
      </c>
      <c r="AG872" s="431">
        <f t="shared" ref="AG872" si="2607">AG871</f>
        <v>0</v>
      </c>
      <c r="AH872" s="431">
        <f t="shared" ref="AH872" si="2608">AH871</f>
        <v>0</v>
      </c>
      <c r="AI872" s="431">
        <f t="shared" ref="AI872" si="2609">AI871</f>
        <v>0</v>
      </c>
      <c r="AJ872" s="431">
        <f t="shared" ref="AJ872" si="2610">AJ871</f>
        <v>0</v>
      </c>
      <c r="AK872" s="431">
        <f t="shared" ref="AK872" si="2611">AK871</f>
        <v>0</v>
      </c>
      <c r="AL872" s="431">
        <f t="shared" ref="AL872" si="2612">AL871</f>
        <v>0</v>
      </c>
      <c r="AM872" s="331"/>
    </row>
    <row r="873" spans="1:39" ht="15" hidden="1" outlineLevel="1">
      <c r="A873" s="560"/>
      <c r="B873" s="319"/>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30" hidden="1" outlineLevel="1">
      <c r="A874" s="560">
        <v>30</v>
      </c>
      <c r="B874" s="448" t="s">
        <v>123</v>
      </c>
      <c r="C874" s="316" t="s">
        <v>25</v>
      </c>
      <c r="D874" s="320"/>
      <c r="E874" s="320"/>
      <c r="F874" s="320"/>
      <c r="G874" s="320"/>
      <c r="H874" s="320"/>
      <c r="I874" s="320"/>
      <c r="J874" s="320"/>
      <c r="K874" s="320"/>
      <c r="L874" s="320"/>
      <c r="M874" s="320"/>
      <c r="N874" s="320">
        <v>12</v>
      </c>
      <c r="O874" s="320"/>
      <c r="P874" s="320"/>
      <c r="Q874" s="320"/>
      <c r="R874" s="320"/>
      <c r="S874" s="320"/>
      <c r="T874" s="320"/>
      <c r="U874" s="320"/>
      <c r="V874" s="320"/>
      <c r="W874" s="320"/>
      <c r="X874" s="320"/>
      <c r="Y874" s="446"/>
      <c r="Z874" s="435"/>
      <c r="AA874" s="435"/>
      <c r="AB874" s="435"/>
      <c r="AC874" s="435"/>
      <c r="AD874" s="435"/>
      <c r="AE874" s="435"/>
      <c r="AF874" s="435"/>
      <c r="AG874" s="435"/>
      <c r="AH874" s="435"/>
      <c r="AI874" s="435"/>
      <c r="AJ874" s="435"/>
      <c r="AK874" s="435"/>
      <c r="AL874" s="435"/>
      <c r="AM874" s="321">
        <f>SUM(Y874:AL874)</f>
        <v>0</v>
      </c>
    </row>
    <row r="875" spans="1:39" ht="15" hidden="1" outlineLevel="1">
      <c r="A875" s="560"/>
      <c r="B875" s="319" t="s">
        <v>345</v>
      </c>
      <c r="C875" s="316" t="s">
        <v>164</v>
      </c>
      <c r="D875" s="320"/>
      <c r="E875" s="320"/>
      <c r="F875" s="320"/>
      <c r="G875" s="320"/>
      <c r="H875" s="320"/>
      <c r="I875" s="320"/>
      <c r="J875" s="320"/>
      <c r="K875" s="320"/>
      <c r="L875" s="320"/>
      <c r="M875" s="320"/>
      <c r="N875" s="320">
        <f>N874</f>
        <v>12</v>
      </c>
      <c r="O875" s="320"/>
      <c r="P875" s="320"/>
      <c r="Q875" s="320"/>
      <c r="R875" s="320"/>
      <c r="S875" s="320"/>
      <c r="T875" s="320"/>
      <c r="U875" s="320"/>
      <c r="V875" s="320"/>
      <c r="W875" s="320"/>
      <c r="X875" s="320"/>
      <c r="Y875" s="431">
        <f>Y874</f>
        <v>0</v>
      </c>
      <c r="Z875" s="431">
        <f t="shared" ref="Z875" si="2613">Z874</f>
        <v>0</v>
      </c>
      <c r="AA875" s="431">
        <f t="shared" ref="AA875" si="2614">AA874</f>
        <v>0</v>
      </c>
      <c r="AB875" s="431">
        <f t="shared" ref="AB875" si="2615">AB874</f>
        <v>0</v>
      </c>
      <c r="AC875" s="431">
        <f t="shared" ref="AC875" si="2616">AC874</f>
        <v>0</v>
      </c>
      <c r="AD875" s="431">
        <f t="shared" ref="AD875" si="2617">AD874</f>
        <v>0</v>
      </c>
      <c r="AE875" s="431">
        <f t="shared" ref="AE875" si="2618">AE874</f>
        <v>0</v>
      </c>
      <c r="AF875" s="431">
        <f t="shared" ref="AF875" si="2619">AF874</f>
        <v>0</v>
      </c>
      <c r="AG875" s="431">
        <f t="shared" ref="AG875" si="2620">AG874</f>
        <v>0</v>
      </c>
      <c r="AH875" s="431">
        <f t="shared" ref="AH875" si="2621">AH874</f>
        <v>0</v>
      </c>
      <c r="AI875" s="431">
        <f t="shared" ref="AI875" si="2622">AI874</f>
        <v>0</v>
      </c>
      <c r="AJ875" s="431">
        <f t="shared" ref="AJ875" si="2623">AJ874</f>
        <v>0</v>
      </c>
      <c r="AK875" s="431">
        <f t="shared" ref="AK875" si="2624">AK874</f>
        <v>0</v>
      </c>
      <c r="AL875" s="431">
        <f t="shared" ref="AL875" si="2625">AL874</f>
        <v>0</v>
      </c>
      <c r="AM875" s="331"/>
    </row>
    <row r="876" spans="1:39" ht="15" hidden="1" outlineLevel="1">
      <c r="A876" s="560"/>
      <c r="B876" s="319"/>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432"/>
      <c r="Z876" s="445"/>
      <c r="AA876" s="445"/>
      <c r="AB876" s="445"/>
      <c r="AC876" s="445"/>
      <c r="AD876" s="445"/>
      <c r="AE876" s="445"/>
      <c r="AF876" s="445"/>
      <c r="AG876" s="445"/>
      <c r="AH876" s="445"/>
      <c r="AI876" s="445"/>
      <c r="AJ876" s="445"/>
      <c r="AK876" s="445"/>
      <c r="AL876" s="445"/>
      <c r="AM876" s="331"/>
    </row>
    <row r="877" spans="1:39" ht="30" hidden="1" outlineLevel="1">
      <c r="A877" s="560">
        <v>31</v>
      </c>
      <c r="B877" s="448" t="s">
        <v>124</v>
      </c>
      <c r="C877" s="316" t="s">
        <v>25</v>
      </c>
      <c r="D877" s="320"/>
      <c r="E877" s="320"/>
      <c r="F877" s="320"/>
      <c r="G877" s="320"/>
      <c r="H877" s="320"/>
      <c r="I877" s="320"/>
      <c r="J877" s="320"/>
      <c r="K877" s="320"/>
      <c r="L877" s="320"/>
      <c r="M877" s="320"/>
      <c r="N877" s="320">
        <v>12</v>
      </c>
      <c r="O877" s="320"/>
      <c r="P877" s="320"/>
      <c r="Q877" s="320"/>
      <c r="R877" s="320"/>
      <c r="S877" s="320"/>
      <c r="T877" s="320"/>
      <c r="U877" s="320"/>
      <c r="V877" s="320"/>
      <c r="W877" s="320"/>
      <c r="X877" s="320"/>
      <c r="Y877" s="446"/>
      <c r="Z877" s="435"/>
      <c r="AA877" s="435"/>
      <c r="AB877" s="435"/>
      <c r="AC877" s="435"/>
      <c r="AD877" s="435"/>
      <c r="AE877" s="435"/>
      <c r="AF877" s="435"/>
      <c r="AG877" s="435"/>
      <c r="AH877" s="435"/>
      <c r="AI877" s="435"/>
      <c r="AJ877" s="435"/>
      <c r="AK877" s="435"/>
      <c r="AL877" s="435"/>
      <c r="AM877" s="321">
        <f>SUM(Y877:AL877)</f>
        <v>0</v>
      </c>
    </row>
    <row r="878" spans="1:39" ht="15" hidden="1" outlineLevel="1">
      <c r="A878" s="560"/>
      <c r="B878" s="319" t="s">
        <v>345</v>
      </c>
      <c r="C878" s="316" t="s">
        <v>164</v>
      </c>
      <c r="D878" s="320"/>
      <c r="E878" s="320"/>
      <c r="F878" s="320"/>
      <c r="G878" s="320"/>
      <c r="H878" s="320"/>
      <c r="I878" s="320"/>
      <c r="J878" s="320"/>
      <c r="K878" s="320"/>
      <c r="L878" s="320"/>
      <c r="M878" s="320"/>
      <c r="N878" s="320">
        <f>N877</f>
        <v>12</v>
      </c>
      <c r="O878" s="320"/>
      <c r="P878" s="320"/>
      <c r="Q878" s="320"/>
      <c r="R878" s="320"/>
      <c r="S878" s="320"/>
      <c r="T878" s="320"/>
      <c r="U878" s="320"/>
      <c r="V878" s="320"/>
      <c r="W878" s="320"/>
      <c r="X878" s="320"/>
      <c r="Y878" s="431">
        <f>Y877</f>
        <v>0</v>
      </c>
      <c r="Z878" s="431">
        <f t="shared" ref="Z878" si="2626">Z877</f>
        <v>0</v>
      </c>
      <c r="AA878" s="431">
        <f t="shared" ref="AA878" si="2627">AA877</f>
        <v>0</v>
      </c>
      <c r="AB878" s="431">
        <f t="shared" ref="AB878" si="2628">AB877</f>
        <v>0</v>
      </c>
      <c r="AC878" s="431">
        <f t="shared" ref="AC878" si="2629">AC877</f>
        <v>0</v>
      </c>
      <c r="AD878" s="431">
        <f t="shared" ref="AD878" si="2630">AD877</f>
        <v>0</v>
      </c>
      <c r="AE878" s="431">
        <f t="shared" ref="AE878" si="2631">AE877</f>
        <v>0</v>
      </c>
      <c r="AF878" s="431">
        <f t="shared" ref="AF878" si="2632">AF877</f>
        <v>0</v>
      </c>
      <c r="AG878" s="431">
        <f t="shared" ref="AG878" si="2633">AG877</f>
        <v>0</v>
      </c>
      <c r="AH878" s="431">
        <f t="shared" ref="AH878" si="2634">AH877</f>
        <v>0</v>
      </c>
      <c r="AI878" s="431">
        <f t="shared" ref="AI878" si="2635">AI877</f>
        <v>0</v>
      </c>
      <c r="AJ878" s="431">
        <f t="shared" ref="AJ878" si="2636">AJ877</f>
        <v>0</v>
      </c>
      <c r="AK878" s="431">
        <f t="shared" ref="AK878" si="2637">AK877</f>
        <v>0</v>
      </c>
      <c r="AL878" s="431">
        <f t="shared" ref="AL878" si="2638">AL877</f>
        <v>0</v>
      </c>
      <c r="AM878" s="331"/>
    </row>
    <row r="879" spans="1:39" ht="15" hidden="1" outlineLevel="1">
      <c r="A879" s="560"/>
      <c r="B879" s="448"/>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432"/>
      <c r="Z879" s="445"/>
      <c r="AA879" s="445"/>
      <c r="AB879" s="445"/>
      <c r="AC879" s="445"/>
      <c r="AD879" s="445"/>
      <c r="AE879" s="445"/>
      <c r="AF879" s="445"/>
      <c r="AG879" s="445"/>
      <c r="AH879" s="445"/>
      <c r="AI879" s="445"/>
      <c r="AJ879" s="445"/>
      <c r="AK879" s="445"/>
      <c r="AL879" s="445"/>
      <c r="AM879" s="331"/>
    </row>
    <row r="880" spans="1:39" ht="15" hidden="1" outlineLevel="1">
      <c r="A880" s="560">
        <v>32</v>
      </c>
      <c r="B880" s="448" t="s">
        <v>125</v>
      </c>
      <c r="C880" s="316" t="s">
        <v>25</v>
      </c>
      <c r="D880" s="320"/>
      <c r="E880" s="320"/>
      <c r="F880" s="320"/>
      <c r="G880" s="320"/>
      <c r="H880" s="320"/>
      <c r="I880" s="320"/>
      <c r="J880" s="320"/>
      <c r="K880" s="320"/>
      <c r="L880" s="320"/>
      <c r="M880" s="320"/>
      <c r="N880" s="320">
        <v>12</v>
      </c>
      <c r="O880" s="320"/>
      <c r="P880" s="320"/>
      <c r="Q880" s="320"/>
      <c r="R880" s="320"/>
      <c r="S880" s="320"/>
      <c r="T880" s="320"/>
      <c r="U880" s="320"/>
      <c r="V880" s="320"/>
      <c r="W880" s="320"/>
      <c r="X880" s="320"/>
      <c r="Y880" s="446"/>
      <c r="Z880" s="435"/>
      <c r="AA880" s="435"/>
      <c r="AB880" s="435"/>
      <c r="AC880" s="435"/>
      <c r="AD880" s="435"/>
      <c r="AE880" s="435"/>
      <c r="AF880" s="435"/>
      <c r="AG880" s="435"/>
      <c r="AH880" s="435"/>
      <c r="AI880" s="435"/>
      <c r="AJ880" s="435"/>
      <c r="AK880" s="435"/>
      <c r="AL880" s="435"/>
      <c r="AM880" s="321">
        <f>SUM(Y880:AL880)</f>
        <v>0</v>
      </c>
    </row>
    <row r="881" spans="1:39" ht="15" hidden="1" outlineLevel="1">
      <c r="A881" s="560"/>
      <c r="B881" s="319" t="s">
        <v>345</v>
      </c>
      <c r="C881" s="316" t="s">
        <v>164</v>
      </c>
      <c r="D881" s="320"/>
      <c r="E881" s="320"/>
      <c r="F881" s="320"/>
      <c r="G881" s="320"/>
      <c r="H881" s="320"/>
      <c r="I881" s="320"/>
      <c r="J881" s="320"/>
      <c r="K881" s="320"/>
      <c r="L881" s="320"/>
      <c r="M881" s="320"/>
      <c r="N881" s="320">
        <f>N880</f>
        <v>12</v>
      </c>
      <c r="O881" s="320"/>
      <c r="P881" s="320"/>
      <c r="Q881" s="320"/>
      <c r="R881" s="320"/>
      <c r="S881" s="320"/>
      <c r="T881" s="320"/>
      <c r="U881" s="320"/>
      <c r="V881" s="320"/>
      <c r="W881" s="320"/>
      <c r="X881" s="320"/>
      <c r="Y881" s="431">
        <f>Y880</f>
        <v>0</v>
      </c>
      <c r="Z881" s="431">
        <f t="shared" ref="Z881" si="2639">Z880</f>
        <v>0</v>
      </c>
      <c r="AA881" s="431">
        <f t="shared" ref="AA881" si="2640">AA880</f>
        <v>0</v>
      </c>
      <c r="AB881" s="431">
        <f t="shared" ref="AB881" si="2641">AB880</f>
        <v>0</v>
      </c>
      <c r="AC881" s="431">
        <f t="shared" ref="AC881" si="2642">AC880</f>
        <v>0</v>
      </c>
      <c r="AD881" s="431">
        <f t="shared" ref="AD881" si="2643">AD880</f>
        <v>0</v>
      </c>
      <c r="AE881" s="431">
        <f t="shared" ref="AE881" si="2644">AE880</f>
        <v>0</v>
      </c>
      <c r="AF881" s="431">
        <f t="shared" ref="AF881" si="2645">AF880</f>
        <v>0</v>
      </c>
      <c r="AG881" s="431">
        <f t="shared" ref="AG881" si="2646">AG880</f>
        <v>0</v>
      </c>
      <c r="AH881" s="431">
        <f t="shared" ref="AH881" si="2647">AH880</f>
        <v>0</v>
      </c>
      <c r="AI881" s="431">
        <f t="shared" ref="AI881" si="2648">AI880</f>
        <v>0</v>
      </c>
      <c r="AJ881" s="431">
        <f t="shared" ref="AJ881" si="2649">AJ880</f>
        <v>0</v>
      </c>
      <c r="AK881" s="431">
        <f t="shared" ref="AK881" si="2650">AK880</f>
        <v>0</v>
      </c>
      <c r="AL881" s="431">
        <f>AL880</f>
        <v>0</v>
      </c>
      <c r="AM881" s="331"/>
    </row>
    <row r="882" spans="1:39" ht="15" hidden="1" outlineLevel="1">
      <c r="A882" s="560"/>
      <c r="B882" s="448"/>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432"/>
      <c r="Z882" s="445"/>
      <c r="AA882" s="445"/>
      <c r="AB882" s="445"/>
      <c r="AC882" s="445"/>
      <c r="AD882" s="445"/>
      <c r="AE882" s="445"/>
      <c r="AF882" s="445"/>
      <c r="AG882" s="445"/>
      <c r="AH882" s="445"/>
      <c r="AI882" s="445"/>
      <c r="AJ882" s="445"/>
      <c r="AK882" s="445"/>
      <c r="AL882" s="445"/>
      <c r="AM882" s="331"/>
    </row>
    <row r="883" spans="1:39" ht="15.6" hidden="1" outlineLevel="1">
      <c r="A883" s="560"/>
      <c r="B883" s="313" t="s">
        <v>515</v>
      </c>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t="15" hidden="1" outlineLevel="1">
      <c r="A884" s="560">
        <v>33</v>
      </c>
      <c r="B884" s="448" t="s">
        <v>126</v>
      </c>
      <c r="C884" s="316" t="s">
        <v>25</v>
      </c>
      <c r="D884" s="320"/>
      <c r="E884" s="320"/>
      <c r="F884" s="320"/>
      <c r="G884" s="320"/>
      <c r="H884" s="320"/>
      <c r="I884" s="320"/>
      <c r="J884" s="320"/>
      <c r="K884" s="320"/>
      <c r="L884" s="320"/>
      <c r="M884" s="320"/>
      <c r="N884" s="320">
        <v>0</v>
      </c>
      <c r="O884" s="320"/>
      <c r="P884" s="320"/>
      <c r="Q884" s="320"/>
      <c r="R884" s="320"/>
      <c r="S884" s="320"/>
      <c r="T884" s="320"/>
      <c r="U884" s="320"/>
      <c r="V884" s="320"/>
      <c r="W884" s="320"/>
      <c r="X884" s="320"/>
      <c r="Y884" s="446"/>
      <c r="Z884" s="435"/>
      <c r="AA884" s="435"/>
      <c r="AB884" s="435"/>
      <c r="AC884" s="435"/>
      <c r="AD884" s="435"/>
      <c r="AE884" s="435"/>
      <c r="AF884" s="435"/>
      <c r="AG884" s="435"/>
      <c r="AH884" s="435"/>
      <c r="AI884" s="435"/>
      <c r="AJ884" s="435"/>
      <c r="AK884" s="435"/>
      <c r="AL884" s="435"/>
      <c r="AM884" s="321">
        <f>SUM(Y884:AL884)</f>
        <v>0</v>
      </c>
    </row>
    <row r="885" spans="1:39" ht="15" hidden="1" outlineLevel="1">
      <c r="A885" s="560"/>
      <c r="B885" s="319" t="s">
        <v>345</v>
      </c>
      <c r="C885" s="316" t="s">
        <v>164</v>
      </c>
      <c r="D885" s="320"/>
      <c r="E885" s="320"/>
      <c r="F885" s="320"/>
      <c r="G885" s="320"/>
      <c r="H885" s="320"/>
      <c r="I885" s="320"/>
      <c r="J885" s="320"/>
      <c r="K885" s="320"/>
      <c r="L885" s="320"/>
      <c r="M885" s="320"/>
      <c r="N885" s="320">
        <f>N884</f>
        <v>0</v>
      </c>
      <c r="O885" s="320"/>
      <c r="P885" s="320"/>
      <c r="Q885" s="320"/>
      <c r="R885" s="320"/>
      <c r="S885" s="320"/>
      <c r="T885" s="320"/>
      <c r="U885" s="320"/>
      <c r="V885" s="320"/>
      <c r="W885" s="320"/>
      <c r="X885" s="320"/>
      <c r="Y885" s="431">
        <f>Y884</f>
        <v>0</v>
      </c>
      <c r="Z885" s="431">
        <f t="shared" ref="Z885" si="2651">Z884</f>
        <v>0</v>
      </c>
      <c r="AA885" s="431">
        <f t="shared" ref="AA885" si="2652">AA884</f>
        <v>0</v>
      </c>
      <c r="AB885" s="431">
        <f t="shared" ref="AB885" si="2653">AB884</f>
        <v>0</v>
      </c>
      <c r="AC885" s="431">
        <f t="shared" ref="AC885" si="2654">AC884</f>
        <v>0</v>
      </c>
      <c r="AD885" s="431">
        <f t="shared" ref="AD885" si="2655">AD884</f>
        <v>0</v>
      </c>
      <c r="AE885" s="431">
        <f t="shared" ref="AE885" si="2656">AE884</f>
        <v>0</v>
      </c>
      <c r="AF885" s="431">
        <f t="shared" ref="AF885" si="2657">AF884</f>
        <v>0</v>
      </c>
      <c r="AG885" s="431">
        <f t="shared" ref="AG885" si="2658">AG884</f>
        <v>0</v>
      </c>
      <c r="AH885" s="431">
        <f t="shared" ref="AH885" si="2659">AH884</f>
        <v>0</v>
      </c>
      <c r="AI885" s="431">
        <f t="shared" ref="AI885" si="2660">AI884</f>
        <v>0</v>
      </c>
      <c r="AJ885" s="431">
        <f t="shared" ref="AJ885" si="2661">AJ884</f>
        <v>0</v>
      </c>
      <c r="AK885" s="431">
        <f t="shared" ref="AK885" si="2662">AK884</f>
        <v>0</v>
      </c>
      <c r="AL885" s="431">
        <f t="shared" ref="AL885" si="2663">AL884</f>
        <v>0</v>
      </c>
      <c r="AM885" s="331"/>
    </row>
    <row r="886" spans="1:39" ht="15" hidden="1" outlineLevel="1">
      <c r="A886" s="560"/>
      <c r="B886" s="448"/>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432"/>
      <c r="Z886" s="445"/>
      <c r="AA886" s="445"/>
      <c r="AB886" s="445"/>
      <c r="AC886" s="445"/>
      <c r="AD886" s="445"/>
      <c r="AE886" s="445"/>
      <c r="AF886" s="445"/>
      <c r="AG886" s="445"/>
      <c r="AH886" s="445"/>
      <c r="AI886" s="445"/>
      <c r="AJ886" s="445"/>
      <c r="AK886" s="445"/>
      <c r="AL886" s="445"/>
      <c r="AM886" s="331"/>
    </row>
    <row r="887" spans="1:39" ht="15" hidden="1" outlineLevel="1">
      <c r="A887" s="560">
        <v>34</v>
      </c>
      <c r="B887" s="448" t="s">
        <v>127</v>
      </c>
      <c r="C887" s="316" t="s">
        <v>25</v>
      </c>
      <c r="D887" s="320"/>
      <c r="E887" s="320"/>
      <c r="F887" s="320"/>
      <c r="G887" s="320"/>
      <c r="H887" s="320"/>
      <c r="I887" s="320"/>
      <c r="J887" s="320"/>
      <c r="K887" s="320"/>
      <c r="L887" s="320"/>
      <c r="M887" s="320"/>
      <c r="N887" s="320">
        <v>0</v>
      </c>
      <c r="O887" s="320"/>
      <c r="P887" s="320"/>
      <c r="Q887" s="320"/>
      <c r="R887" s="320"/>
      <c r="S887" s="320"/>
      <c r="T887" s="320"/>
      <c r="U887" s="320"/>
      <c r="V887" s="320"/>
      <c r="W887" s="320"/>
      <c r="X887" s="320"/>
      <c r="Y887" s="446"/>
      <c r="Z887" s="435"/>
      <c r="AA887" s="435"/>
      <c r="AB887" s="435"/>
      <c r="AC887" s="435"/>
      <c r="AD887" s="435"/>
      <c r="AE887" s="435"/>
      <c r="AF887" s="435"/>
      <c r="AG887" s="435"/>
      <c r="AH887" s="435"/>
      <c r="AI887" s="435"/>
      <c r="AJ887" s="435"/>
      <c r="AK887" s="435"/>
      <c r="AL887" s="435"/>
      <c r="AM887" s="321">
        <f>SUM(Y887:AL887)</f>
        <v>0</v>
      </c>
    </row>
    <row r="888" spans="1:39" ht="15" hidden="1" outlineLevel="1">
      <c r="A888" s="560"/>
      <c r="B888" s="319" t="s">
        <v>345</v>
      </c>
      <c r="C888" s="316" t="s">
        <v>164</v>
      </c>
      <c r="D888" s="320"/>
      <c r="E888" s="320"/>
      <c r="F888" s="320"/>
      <c r="G888" s="320"/>
      <c r="H888" s="320"/>
      <c r="I888" s="320"/>
      <c r="J888" s="320"/>
      <c r="K888" s="320"/>
      <c r="L888" s="320"/>
      <c r="M888" s="320"/>
      <c r="N888" s="320">
        <f>N887</f>
        <v>0</v>
      </c>
      <c r="O888" s="320"/>
      <c r="P888" s="320"/>
      <c r="Q888" s="320"/>
      <c r="R888" s="320"/>
      <c r="S888" s="320"/>
      <c r="T888" s="320"/>
      <c r="U888" s="320"/>
      <c r="V888" s="320"/>
      <c r="W888" s="320"/>
      <c r="X888" s="320"/>
      <c r="Y888" s="431">
        <f>Y887</f>
        <v>0</v>
      </c>
      <c r="Z888" s="431">
        <f t="shared" ref="Z888" si="2664">Z887</f>
        <v>0</v>
      </c>
      <c r="AA888" s="431">
        <f t="shared" ref="AA888" si="2665">AA887</f>
        <v>0</v>
      </c>
      <c r="AB888" s="431">
        <f t="shared" ref="AB888" si="2666">AB887</f>
        <v>0</v>
      </c>
      <c r="AC888" s="431">
        <f t="shared" ref="AC888" si="2667">AC887</f>
        <v>0</v>
      </c>
      <c r="AD888" s="431">
        <f t="shared" ref="AD888" si="2668">AD887</f>
        <v>0</v>
      </c>
      <c r="AE888" s="431">
        <f t="shared" ref="AE888" si="2669">AE887</f>
        <v>0</v>
      </c>
      <c r="AF888" s="431">
        <f t="shared" ref="AF888" si="2670">AF887</f>
        <v>0</v>
      </c>
      <c r="AG888" s="431">
        <f t="shared" ref="AG888" si="2671">AG887</f>
        <v>0</v>
      </c>
      <c r="AH888" s="431">
        <f t="shared" ref="AH888" si="2672">AH887</f>
        <v>0</v>
      </c>
      <c r="AI888" s="431">
        <f t="shared" ref="AI888" si="2673">AI887</f>
        <v>0</v>
      </c>
      <c r="AJ888" s="431">
        <f t="shared" ref="AJ888" si="2674">AJ887</f>
        <v>0</v>
      </c>
      <c r="AK888" s="431">
        <f t="shared" ref="AK888" si="2675">AK887</f>
        <v>0</v>
      </c>
      <c r="AL888" s="431">
        <f t="shared" ref="AL888" si="2676">AL887</f>
        <v>0</v>
      </c>
      <c r="AM888" s="331"/>
    </row>
    <row r="889" spans="1:39" ht="15" hidden="1" outlineLevel="1">
      <c r="A889" s="560"/>
      <c r="B889" s="448"/>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432"/>
      <c r="Z889" s="445"/>
      <c r="AA889" s="445"/>
      <c r="AB889" s="445"/>
      <c r="AC889" s="445"/>
      <c r="AD889" s="445"/>
      <c r="AE889" s="445"/>
      <c r="AF889" s="445"/>
      <c r="AG889" s="445"/>
      <c r="AH889" s="445"/>
      <c r="AI889" s="445"/>
      <c r="AJ889" s="445"/>
      <c r="AK889" s="445"/>
      <c r="AL889" s="445"/>
      <c r="AM889" s="331"/>
    </row>
    <row r="890" spans="1:39" ht="15" hidden="1" outlineLevel="1">
      <c r="A890" s="560">
        <v>35</v>
      </c>
      <c r="B890" s="448" t="s">
        <v>128</v>
      </c>
      <c r="C890" s="316" t="s">
        <v>25</v>
      </c>
      <c r="D890" s="320"/>
      <c r="E890" s="320"/>
      <c r="F890" s="320"/>
      <c r="G890" s="320"/>
      <c r="H890" s="320"/>
      <c r="I890" s="320"/>
      <c r="J890" s="320"/>
      <c r="K890" s="320"/>
      <c r="L890" s="320"/>
      <c r="M890" s="320"/>
      <c r="N890" s="320">
        <v>0</v>
      </c>
      <c r="O890" s="320"/>
      <c r="P890" s="320"/>
      <c r="Q890" s="320"/>
      <c r="R890" s="320"/>
      <c r="S890" s="320"/>
      <c r="T890" s="320"/>
      <c r="U890" s="320"/>
      <c r="V890" s="320"/>
      <c r="W890" s="320"/>
      <c r="X890" s="320"/>
      <c r="Y890" s="446"/>
      <c r="Z890" s="435"/>
      <c r="AA890" s="435"/>
      <c r="AB890" s="435"/>
      <c r="AC890" s="435"/>
      <c r="AD890" s="435"/>
      <c r="AE890" s="435"/>
      <c r="AF890" s="435"/>
      <c r="AG890" s="435"/>
      <c r="AH890" s="435"/>
      <c r="AI890" s="435"/>
      <c r="AJ890" s="435"/>
      <c r="AK890" s="435"/>
      <c r="AL890" s="435"/>
      <c r="AM890" s="321">
        <f>SUM(Y890:AL890)</f>
        <v>0</v>
      </c>
    </row>
    <row r="891" spans="1:39" ht="15" hidden="1" outlineLevel="1">
      <c r="A891" s="560"/>
      <c r="B891" s="319" t="s">
        <v>345</v>
      </c>
      <c r="C891" s="316" t="s">
        <v>164</v>
      </c>
      <c r="D891" s="320"/>
      <c r="E891" s="320"/>
      <c r="F891" s="320"/>
      <c r="G891" s="320"/>
      <c r="H891" s="320"/>
      <c r="I891" s="320"/>
      <c r="J891" s="320"/>
      <c r="K891" s="320"/>
      <c r="L891" s="320"/>
      <c r="M891" s="320"/>
      <c r="N891" s="320">
        <f>N890</f>
        <v>0</v>
      </c>
      <c r="O891" s="320"/>
      <c r="P891" s="320"/>
      <c r="Q891" s="320"/>
      <c r="R891" s="320"/>
      <c r="S891" s="320"/>
      <c r="T891" s="320"/>
      <c r="U891" s="320"/>
      <c r="V891" s="320"/>
      <c r="W891" s="320"/>
      <c r="X891" s="320"/>
      <c r="Y891" s="431">
        <f>Y890</f>
        <v>0</v>
      </c>
      <c r="Z891" s="431">
        <f t="shared" ref="Z891" si="2677">Z890</f>
        <v>0</v>
      </c>
      <c r="AA891" s="431">
        <f t="shared" ref="AA891" si="2678">AA890</f>
        <v>0</v>
      </c>
      <c r="AB891" s="431">
        <f t="shared" ref="AB891" si="2679">AB890</f>
        <v>0</v>
      </c>
      <c r="AC891" s="431">
        <f t="shared" ref="AC891" si="2680">AC890</f>
        <v>0</v>
      </c>
      <c r="AD891" s="431">
        <f t="shared" ref="AD891" si="2681">AD890</f>
        <v>0</v>
      </c>
      <c r="AE891" s="431">
        <f t="shared" ref="AE891" si="2682">AE890</f>
        <v>0</v>
      </c>
      <c r="AF891" s="431">
        <f t="shared" ref="AF891" si="2683">AF890</f>
        <v>0</v>
      </c>
      <c r="AG891" s="431">
        <f t="shared" ref="AG891" si="2684">AG890</f>
        <v>0</v>
      </c>
      <c r="AH891" s="431">
        <f t="shared" ref="AH891" si="2685">AH890</f>
        <v>0</v>
      </c>
      <c r="AI891" s="431">
        <f t="shared" ref="AI891" si="2686">AI890</f>
        <v>0</v>
      </c>
      <c r="AJ891" s="431">
        <f t="shared" ref="AJ891" si="2687">AJ890</f>
        <v>0</v>
      </c>
      <c r="AK891" s="431">
        <f t="shared" ref="AK891" si="2688">AK890</f>
        <v>0</v>
      </c>
      <c r="AL891" s="431">
        <f t="shared" ref="AL891" si="2689">AL890</f>
        <v>0</v>
      </c>
      <c r="AM891" s="331"/>
    </row>
    <row r="892" spans="1:39" ht="15" hidden="1" outlineLevel="1">
      <c r="A892" s="560"/>
      <c r="B892" s="451"/>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432"/>
      <c r="Z892" s="445"/>
      <c r="AA892" s="445"/>
      <c r="AB892" s="445"/>
      <c r="AC892" s="445"/>
      <c r="AD892" s="445"/>
      <c r="AE892" s="445"/>
      <c r="AF892" s="445"/>
      <c r="AG892" s="445"/>
      <c r="AH892" s="445"/>
      <c r="AI892" s="445"/>
      <c r="AJ892" s="445"/>
      <c r="AK892" s="445"/>
      <c r="AL892" s="445"/>
      <c r="AM892" s="331"/>
    </row>
    <row r="893" spans="1:39" ht="15.6" hidden="1" outlineLevel="1">
      <c r="A893" s="560"/>
      <c r="B893" s="313" t="s">
        <v>516</v>
      </c>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45" hidden="1" outlineLevel="1">
      <c r="A894" s="560">
        <v>36</v>
      </c>
      <c r="B894" s="448" t="s">
        <v>129</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t="15"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690">Z894</f>
        <v>0</v>
      </c>
      <c r="AA895" s="431">
        <f t="shared" ref="AA895" si="2691">AA894</f>
        <v>0</v>
      </c>
      <c r="AB895" s="431">
        <f t="shared" ref="AB895" si="2692">AB894</f>
        <v>0</v>
      </c>
      <c r="AC895" s="431">
        <f t="shared" ref="AC895" si="2693">AC894</f>
        <v>0</v>
      </c>
      <c r="AD895" s="431">
        <f t="shared" ref="AD895" si="2694">AD894</f>
        <v>0</v>
      </c>
      <c r="AE895" s="431">
        <f t="shared" ref="AE895" si="2695">AE894</f>
        <v>0</v>
      </c>
      <c r="AF895" s="431">
        <f t="shared" ref="AF895" si="2696">AF894</f>
        <v>0</v>
      </c>
      <c r="AG895" s="431">
        <f t="shared" ref="AG895" si="2697">AG894</f>
        <v>0</v>
      </c>
      <c r="AH895" s="431">
        <f t="shared" ref="AH895" si="2698">AH894</f>
        <v>0</v>
      </c>
      <c r="AI895" s="431">
        <f t="shared" ref="AI895" si="2699">AI894</f>
        <v>0</v>
      </c>
      <c r="AJ895" s="431">
        <f t="shared" ref="AJ895" si="2700">AJ894</f>
        <v>0</v>
      </c>
      <c r="AK895" s="431">
        <f t="shared" ref="AK895" si="2701">AK894</f>
        <v>0</v>
      </c>
      <c r="AL895" s="431">
        <f t="shared" ref="AL895" si="2702">AL894</f>
        <v>0</v>
      </c>
      <c r="AM895" s="331"/>
    </row>
    <row r="896" spans="1:39" ht="15"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37</v>
      </c>
      <c r="B897" s="448" t="s">
        <v>130</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t="15"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03">Z897</f>
        <v>0</v>
      </c>
      <c r="AA898" s="431">
        <f t="shared" ref="AA898" si="2704">AA897</f>
        <v>0</v>
      </c>
      <c r="AB898" s="431">
        <f t="shared" ref="AB898" si="2705">AB897</f>
        <v>0</v>
      </c>
      <c r="AC898" s="431">
        <f t="shared" ref="AC898" si="2706">AC897</f>
        <v>0</v>
      </c>
      <c r="AD898" s="431">
        <f t="shared" ref="AD898" si="2707">AD897</f>
        <v>0</v>
      </c>
      <c r="AE898" s="431">
        <f t="shared" ref="AE898" si="2708">AE897</f>
        <v>0</v>
      </c>
      <c r="AF898" s="431">
        <f t="shared" ref="AF898" si="2709">AF897</f>
        <v>0</v>
      </c>
      <c r="AG898" s="431">
        <f t="shared" ref="AG898" si="2710">AG897</f>
        <v>0</v>
      </c>
      <c r="AH898" s="431">
        <f t="shared" ref="AH898" si="2711">AH897</f>
        <v>0</v>
      </c>
      <c r="AI898" s="431">
        <f t="shared" ref="AI898" si="2712">AI897</f>
        <v>0</v>
      </c>
      <c r="AJ898" s="431">
        <f t="shared" ref="AJ898" si="2713">AJ897</f>
        <v>0</v>
      </c>
      <c r="AK898" s="431">
        <f t="shared" ref="AK898" si="2714">AK897</f>
        <v>0</v>
      </c>
      <c r="AL898" s="431">
        <f t="shared" ref="AL898" si="2715">AL897</f>
        <v>0</v>
      </c>
      <c r="AM898" s="331"/>
    </row>
    <row r="899" spans="1:39" ht="15"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t="15" hidden="1" outlineLevel="1">
      <c r="A900" s="560">
        <v>38</v>
      </c>
      <c r="B900" s="448" t="s">
        <v>131</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t="15"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16">Z900</f>
        <v>0</v>
      </c>
      <c r="AA901" s="431">
        <f t="shared" ref="AA901" si="2717">AA900</f>
        <v>0</v>
      </c>
      <c r="AB901" s="431">
        <f t="shared" ref="AB901" si="2718">AB900</f>
        <v>0</v>
      </c>
      <c r="AC901" s="431">
        <f t="shared" ref="AC901" si="2719">AC900</f>
        <v>0</v>
      </c>
      <c r="AD901" s="431">
        <f t="shared" ref="AD901" si="2720">AD900</f>
        <v>0</v>
      </c>
      <c r="AE901" s="431">
        <f t="shared" ref="AE901" si="2721">AE900</f>
        <v>0</v>
      </c>
      <c r="AF901" s="431">
        <f t="shared" ref="AF901" si="2722">AF900</f>
        <v>0</v>
      </c>
      <c r="AG901" s="431">
        <f t="shared" ref="AG901" si="2723">AG900</f>
        <v>0</v>
      </c>
      <c r="AH901" s="431">
        <f t="shared" ref="AH901" si="2724">AH900</f>
        <v>0</v>
      </c>
      <c r="AI901" s="431">
        <f t="shared" ref="AI901" si="2725">AI900</f>
        <v>0</v>
      </c>
      <c r="AJ901" s="431">
        <f t="shared" ref="AJ901" si="2726">AJ900</f>
        <v>0</v>
      </c>
      <c r="AK901" s="431">
        <f t="shared" ref="AK901" si="2727">AK900</f>
        <v>0</v>
      </c>
      <c r="AL901" s="431">
        <f t="shared" ref="AL901" si="2728">AL900</f>
        <v>0</v>
      </c>
      <c r="AM901" s="331"/>
    </row>
    <row r="902" spans="1:39" ht="15"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30" hidden="1" outlineLevel="1">
      <c r="A903" s="560">
        <v>39</v>
      </c>
      <c r="B903" s="448" t="s">
        <v>132</v>
      </c>
      <c r="C903" s="316" t="s">
        <v>25</v>
      </c>
      <c r="D903" s="320"/>
      <c r="E903" s="320"/>
      <c r="F903" s="320"/>
      <c r="G903" s="320"/>
      <c r="H903" s="320"/>
      <c r="I903" s="320"/>
      <c r="J903" s="320"/>
      <c r="K903" s="320"/>
      <c r="L903" s="320"/>
      <c r="M903" s="320"/>
      <c r="N903" s="320">
        <v>0</v>
      </c>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t="15" hidden="1" outlineLevel="1">
      <c r="A904" s="560"/>
      <c r="B904" s="319" t="s">
        <v>345</v>
      </c>
      <c r="C904" s="316" t="s">
        <v>164</v>
      </c>
      <c r="D904" s="320"/>
      <c r="E904" s="320"/>
      <c r="F904" s="320"/>
      <c r="G904" s="320"/>
      <c r="H904" s="320"/>
      <c r="I904" s="320"/>
      <c r="J904" s="320"/>
      <c r="K904" s="320"/>
      <c r="L904" s="320"/>
      <c r="M904" s="320"/>
      <c r="N904" s="320">
        <f>N903</f>
        <v>0</v>
      </c>
      <c r="O904" s="320"/>
      <c r="P904" s="320"/>
      <c r="Q904" s="320"/>
      <c r="R904" s="320"/>
      <c r="S904" s="320"/>
      <c r="T904" s="320"/>
      <c r="U904" s="320"/>
      <c r="V904" s="320"/>
      <c r="W904" s="320"/>
      <c r="X904" s="320"/>
      <c r="Y904" s="431">
        <f>Y903</f>
        <v>0</v>
      </c>
      <c r="Z904" s="431">
        <f t="shared" ref="Z904" si="2729">Z903</f>
        <v>0</v>
      </c>
      <c r="AA904" s="431">
        <f t="shared" ref="AA904" si="2730">AA903</f>
        <v>0</v>
      </c>
      <c r="AB904" s="431">
        <f t="shared" ref="AB904" si="2731">AB903</f>
        <v>0</v>
      </c>
      <c r="AC904" s="431">
        <f t="shared" ref="AC904" si="2732">AC903</f>
        <v>0</v>
      </c>
      <c r="AD904" s="431">
        <f t="shared" ref="AD904" si="2733">AD903</f>
        <v>0</v>
      </c>
      <c r="AE904" s="431">
        <f t="shared" ref="AE904" si="2734">AE903</f>
        <v>0</v>
      </c>
      <c r="AF904" s="431">
        <f t="shared" ref="AF904" si="2735">AF903</f>
        <v>0</v>
      </c>
      <c r="AG904" s="431">
        <f t="shared" ref="AG904" si="2736">AG903</f>
        <v>0</v>
      </c>
      <c r="AH904" s="431">
        <f t="shared" ref="AH904" si="2737">AH903</f>
        <v>0</v>
      </c>
      <c r="AI904" s="431">
        <f t="shared" ref="AI904" si="2738">AI903</f>
        <v>0</v>
      </c>
      <c r="AJ904" s="431">
        <f t="shared" ref="AJ904" si="2739">AJ903</f>
        <v>0</v>
      </c>
      <c r="AK904" s="431">
        <f t="shared" ref="AK904" si="2740">AK903</f>
        <v>0</v>
      </c>
      <c r="AL904" s="431">
        <f t="shared" ref="AL904" si="2741">AL903</f>
        <v>0</v>
      </c>
      <c r="AM904" s="331"/>
    </row>
    <row r="905" spans="1:39" ht="15"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30" hidden="1" outlineLevel="1">
      <c r="A906" s="560">
        <v>40</v>
      </c>
      <c r="B906" s="448" t="s">
        <v>133</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t="15"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42">Z906</f>
        <v>0</v>
      </c>
      <c r="AA907" s="431">
        <f t="shared" ref="AA907" si="2743">AA906</f>
        <v>0</v>
      </c>
      <c r="AB907" s="431">
        <f t="shared" ref="AB907" si="2744">AB906</f>
        <v>0</v>
      </c>
      <c r="AC907" s="431">
        <f t="shared" ref="AC907" si="2745">AC906</f>
        <v>0</v>
      </c>
      <c r="AD907" s="431">
        <f t="shared" ref="AD907" si="2746">AD906</f>
        <v>0</v>
      </c>
      <c r="AE907" s="431">
        <f t="shared" ref="AE907" si="2747">AE906</f>
        <v>0</v>
      </c>
      <c r="AF907" s="431">
        <f t="shared" ref="AF907" si="2748">AF906</f>
        <v>0</v>
      </c>
      <c r="AG907" s="431">
        <f t="shared" ref="AG907" si="2749">AG906</f>
        <v>0</v>
      </c>
      <c r="AH907" s="431">
        <f t="shared" ref="AH907" si="2750">AH906</f>
        <v>0</v>
      </c>
      <c r="AI907" s="431">
        <f t="shared" ref="AI907" si="2751">AI906</f>
        <v>0</v>
      </c>
      <c r="AJ907" s="431">
        <f t="shared" ref="AJ907" si="2752">AJ906</f>
        <v>0</v>
      </c>
      <c r="AK907" s="431">
        <f t="shared" ref="AK907" si="2753">AK906</f>
        <v>0</v>
      </c>
      <c r="AL907" s="431">
        <f t="shared" ref="AL907" si="2754">AL906</f>
        <v>0</v>
      </c>
      <c r="AM907" s="331"/>
    </row>
    <row r="908" spans="1:39" ht="15"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41</v>
      </c>
      <c r="B909" s="448" t="s">
        <v>134</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t="15"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55">Z909</f>
        <v>0</v>
      </c>
      <c r="AA910" s="431">
        <f t="shared" ref="AA910" si="2756">AA909</f>
        <v>0</v>
      </c>
      <c r="AB910" s="431">
        <f t="shared" ref="AB910" si="2757">AB909</f>
        <v>0</v>
      </c>
      <c r="AC910" s="431">
        <f t="shared" ref="AC910" si="2758">AC909</f>
        <v>0</v>
      </c>
      <c r="AD910" s="431">
        <f t="shared" ref="AD910" si="2759">AD909</f>
        <v>0</v>
      </c>
      <c r="AE910" s="431">
        <f t="shared" ref="AE910" si="2760">AE909</f>
        <v>0</v>
      </c>
      <c r="AF910" s="431">
        <f t="shared" ref="AF910" si="2761">AF909</f>
        <v>0</v>
      </c>
      <c r="AG910" s="431">
        <f t="shared" ref="AG910" si="2762">AG909</f>
        <v>0</v>
      </c>
      <c r="AH910" s="431">
        <f t="shared" ref="AH910" si="2763">AH909</f>
        <v>0</v>
      </c>
      <c r="AI910" s="431">
        <f t="shared" ref="AI910" si="2764">AI909</f>
        <v>0</v>
      </c>
      <c r="AJ910" s="431">
        <f t="shared" ref="AJ910" si="2765">AJ909</f>
        <v>0</v>
      </c>
      <c r="AK910" s="431">
        <f t="shared" ref="AK910" si="2766">AK909</f>
        <v>0</v>
      </c>
      <c r="AL910" s="431">
        <f t="shared" ref="AL910" si="2767">AL909</f>
        <v>0</v>
      </c>
      <c r="AM910" s="331"/>
    </row>
    <row r="911" spans="1:39" ht="15"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30" hidden="1" outlineLevel="1">
      <c r="A912" s="560">
        <v>42</v>
      </c>
      <c r="B912" s="448" t="s">
        <v>135</v>
      </c>
      <c r="C912" s="316" t="s">
        <v>25</v>
      </c>
      <c r="D912" s="320"/>
      <c r="E912" s="320"/>
      <c r="F912" s="320"/>
      <c r="G912" s="320"/>
      <c r="H912" s="320"/>
      <c r="I912" s="320"/>
      <c r="J912" s="320"/>
      <c r="K912" s="320"/>
      <c r="L912" s="320"/>
      <c r="M912" s="320"/>
      <c r="N912" s="316"/>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t="15" hidden="1" outlineLevel="1">
      <c r="A913" s="560"/>
      <c r="B913" s="319" t="s">
        <v>345</v>
      </c>
      <c r="C913" s="316" t="s">
        <v>164</v>
      </c>
      <c r="D913" s="320"/>
      <c r="E913" s="320"/>
      <c r="F913" s="320"/>
      <c r="G913" s="320"/>
      <c r="H913" s="320"/>
      <c r="I913" s="320"/>
      <c r="J913" s="320"/>
      <c r="K913" s="320"/>
      <c r="L913" s="320"/>
      <c r="M913" s="320"/>
      <c r="N913" s="488"/>
      <c r="O913" s="320"/>
      <c r="P913" s="320"/>
      <c r="Q913" s="320"/>
      <c r="R913" s="320"/>
      <c r="S913" s="320"/>
      <c r="T913" s="320"/>
      <c r="U913" s="320"/>
      <c r="V913" s="320"/>
      <c r="W913" s="320"/>
      <c r="X913" s="320"/>
      <c r="Y913" s="431">
        <f>Y912</f>
        <v>0</v>
      </c>
      <c r="Z913" s="431">
        <f t="shared" ref="Z913" si="2768">Z912</f>
        <v>0</v>
      </c>
      <c r="AA913" s="431">
        <f t="shared" ref="AA913" si="2769">AA912</f>
        <v>0</v>
      </c>
      <c r="AB913" s="431">
        <f t="shared" ref="AB913" si="2770">AB912</f>
        <v>0</v>
      </c>
      <c r="AC913" s="431">
        <f t="shared" ref="AC913" si="2771">AC912</f>
        <v>0</v>
      </c>
      <c r="AD913" s="431">
        <f t="shared" ref="AD913" si="2772">AD912</f>
        <v>0</v>
      </c>
      <c r="AE913" s="431">
        <f t="shared" ref="AE913" si="2773">AE912</f>
        <v>0</v>
      </c>
      <c r="AF913" s="431">
        <f t="shared" ref="AF913" si="2774">AF912</f>
        <v>0</v>
      </c>
      <c r="AG913" s="431">
        <f t="shared" ref="AG913" si="2775">AG912</f>
        <v>0</v>
      </c>
      <c r="AH913" s="431">
        <f t="shared" ref="AH913" si="2776">AH912</f>
        <v>0</v>
      </c>
      <c r="AI913" s="431">
        <f t="shared" ref="AI913" si="2777">AI912</f>
        <v>0</v>
      </c>
      <c r="AJ913" s="431">
        <f t="shared" ref="AJ913" si="2778">AJ912</f>
        <v>0</v>
      </c>
      <c r="AK913" s="431">
        <f t="shared" ref="AK913" si="2779">AK912</f>
        <v>0</v>
      </c>
      <c r="AL913" s="431">
        <f t="shared" ref="AL913" si="2780">AL912</f>
        <v>0</v>
      </c>
      <c r="AM913" s="331"/>
    </row>
    <row r="914" spans="1:39" ht="15"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15" hidden="1" outlineLevel="1">
      <c r="A915" s="560">
        <v>43</v>
      </c>
      <c r="B915" s="448" t="s">
        <v>136</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t="15"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781">Z915</f>
        <v>0</v>
      </c>
      <c r="AA916" s="431">
        <f t="shared" ref="AA916" si="2782">AA915</f>
        <v>0</v>
      </c>
      <c r="AB916" s="431">
        <f t="shared" ref="AB916" si="2783">AB915</f>
        <v>0</v>
      </c>
      <c r="AC916" s="431">
        <f t="shared" ref="AC916" si="2784">AC915</f>
        <v>0</v>
      </c>
      <c r="AD916" s="431">
        <f t="shared" ref="AD916" si="2785">AD915</f>
        <v>0</v>
      </c>
      <c r="AE916" s="431">
        <f t="shared" ref="AE916" si="2786">AE915</f>
        <v>0</v>
      </c>
      <c r="AF916" s="431">
        <f t="shared" ref="AF916" si="2787">AF915</f>
        <v>0</v>
      </c>
      <c r="AG916" s="431">
        <f t="shared" ref="AG916" si="2788">AG915</f>
        <v>0</v>
      </c>
      <c r="AH916" s="431">
        <f t="shared" ref="AH916" si="2789">AH915</f>
        <v>0</v>
      </c>
      <c r="AI916" s="431">
        <f t="shared" ref="AI916" si="2790">AI915</f>
        <v>0</v>
      </c>
      <c r="AJ916" s="431">
        <f t="shared" ref="AJ916" si="2791">AJ915</f>
        <v>0</v>
      </c>
      <c r="AK916" s="431">
        <f t="shared" ref="AK916" si="2792">AK915</f>
        <v>0</v>
      </c>
      <c r="AL916" s="431">
        <f t="shared" ref="AL916" si="2793">AL915</f>
        <v>0</v>
      </c>
      <c r="AM916" s="331"/>
    </row>
    <row r="917" spans="1:39" ht="15"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45" hidden="1" outlineLevel="1">
      <c r="A918" s="560">
        <v>44</v>
      </c>
      <c r="B918" s="448" t="s">
        <v>137</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t="15"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794">Z918</f>
        <v>0</v>
      </c>
      <c r="AA919" s="431">
        <f t="shared" ref="AA919" si="2795">AA918</f>
        <v>0</v>
      </c>
      <c r="AB919" s="431">
        <f t="shared" ref="AB919" si="2796">AB918</f>
        <v>0</v>
      </c>
      <c r="AC919" s="431">
        <f t="shared" ref="AC919" si="2797">AC918</f>
        <v>0</v>
      </c>
      <c r="AD919" s="431">
        <f t="shared" ref="AD919" si="2798">AD918</f>
        <v>0</v>
      </c>
      <c r="AE919" s="431">
        <f t="shared" ref="AE919" si="2799">AE918</f>
        <v>0</v>
      </c>
      <c r="AF919" s="431">
        <f t="shared" ref="AF919" si="2800">AF918</f>
        <v>0</v>
      </c>
      <c r="AG919" s="431">
        <f t="shared" ref="AG919" si="2801">AG918</f>
        <v>0</v>
      </c>
      <c r="AH919" s="431">
        <f t="shared" ref="AH919" si="2802">AH918</f>
        <v>0</v>
      </c>
      <c r="AI919" s="431">
        <f t="shared" ref="AI919" si="2803">AI918</f>
        <v>0</v>
      </c>
      <c r="AJ919" s="431">
        <f t="shared" ref="AJ919" si="2804">AJ918</f>
        <v>0</v>
      </c>
      <c r="AK919" s="431">
        <f t="shared" ref="AK919" si="2805">AK918</f>
        <v>0</v>
      </c>
      <c r="AL919" s="431">
        <f t="shared" ref="AL919" si="2806">AL918</f>
        <v>0</v>
      </c>
      <c r="AM919" s="331"/>
    </row>
    <row r="920" spans="1:39" ht="15"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30" hidden="1" outlineLevel="1">
      <c r="A921" s="560">
        <v>45</v>
      </c>
      <c r="B921" s="448" t="s">
        <v>138</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t="15"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07">Z921</f>
        <v>0</v>
      </c>
      <c r="AA922" s="431">
        <f t="shared" ref="AA922" si="2808">AA921</f>
        <v>0</v>
      </c>
      <c r="AB922" s="431">
        <f t="shared" ref="AB922" si="2809">AB921</f>
        <v>0</v>
      </c>
      <c r="AC922" s="431">
        <f t="shared" ref="AC922" si="2810">AC921</f>
        <v>0</v>
      </c>
      <c r="AD922" s="431">
        <f t="shared" ref="AD922" si="2811">AD921</f>
        <v>0</v>
      </c>
      <c r="AE922" s="431">
        <f t="shared" ref="AE922" si="2812">AE921</f>
        <v>0</v>
      </c>
      <c r="AF922" s="431">
        <f t="shared" ref="AF922" si="2813">AF921</f>
        <v>0</v>
      </c>
      <c r="AG922" s="431">
        <f t="shared" ref="AG922" si="2814">AG921</f>
        <v>0</v>
      </c>
      <c r="AH922" s="431">
        <f t="shared" ref="AH922" si="2815">AH921</f>
        <v>0</v>
      </c>
      <c r="AI922" s="431">
        <f t="shared" ref="AI922" si="2816">AI921</f>
        <v>0</v>
      </c>
      <c r="AJ922" s="431">
        <f t="shared" ref="AJ922" si="2817">AJ921</f>
        <v>0</v>
      </c>
      <c r="AK922" s="431">
        <f t="shared" ref="AK922" si="2818">AK921</f>
        <v>0</v>
      </c>
      <c r="AL922" s="431">
        <f t="shared" ref="AL922" si="2819">AL921</f>
        <v>0</v>
      </c>
      <c r="AM922" s="331"/>
    </row>
    <row r="923" spans="1:39" ht="15"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46</v>
      </c>
      <c r="B924" s="448" t="s">
        <v>139</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t="15"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20">Z924</f>
        <v>0</v>
      </c>
      <c r="AA925" s="431">
        <f t="shared" ref="AA925" si="2821">AA924</f>
        <v>0</v>
      </c>
      <c r="AB925" s="431">
        <f t="shared" ref="AB925" si="2822">AB924</f>
        <v>0</v>
      </c>
      <c r="AC925" s="431">
        <f t="shared" ref="AC925" si="2823">AC924</f>
        <v>0</v>
      </c>
      <c r="AD925" s="431">
        <f t="shared" ref="AD925" si="2824">AD924</f>
        <v>0</v>
      </c>
      <c r="AE925" s="431">
        <f t="shared" ref="AE925" si="2825">AE924</f>
        <v>0</v>
      </c>
      <c r="AF925" s="431">
        <f t="shared" ref="AF925" si="2826">AF924</f>
        <v>0</v>
      </c>
      <c r="AG925" s="431">
        <f t="shared" ref="AG925" si="2827">AG924</f>
        <v>0</v>
      </c>
      <c r="AH925" s="431">
        <f t="shared" ref="AH925" si="2828">AH924</f>
        <v>0</v>
      </c>
      <c r="AI925" s="431">
        <f t="shared" ref="AI925" si="2829">AI924</f>
        <v>0</v>
      </c>
      <c r="AJ925" s="431">
        <f t="shared" ref="AJ925" si="2830">AJ924</f>
        <v>0</v>
      </c>
      <c r="AK925" s="431">
        <f t="shared" ref="AK925" si="2831">AK924</f>
        <v>0</v>
      </c>
      <c r="AL925" s="431">
        <f t="shared" ref="AL925" si="2832">AL924</f>
        <v>0</v>
      </c>
      <c r="AM925" s="331"/>
    </row>
    <row r="926" spans="1:39" ht="15" hidden="1" outlineLevel="1">
      <c r="A926" s="560"/>
      <c r="B926" s="448"/>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432"/>
      <c r="Z926" s="445"/>
      <c r="AA926" s="445"/>
      <c r="AB926" s="445"/>
      <c r="AC926" s="445"/>
      <c r="AD926" s="445"/>
      <c r="AE926" s="445"/>
      <c r="AF926" s="445"/>
      <c r="AG926" s="445"/>
      <c r="AH926" s="445"/>
      <c r="AI926" s="445"/>
      <c r="AJ926" s="445"/>
      <c r="AK926" s="445"/>
      <c r="AL926" s="445"/>
      <c r="AM926" s="331"/>
    </row>
    <row r="927" spans="1:39" ht="30" hidden="1" outlineLevel="1">
      <c r="A927" s="560">
        <v>47</v>
      </c>
      <c r="B927" s="448" t="s">
        <v>140</v>
      </c>
      <c r="C927" s="316" t="s">
        <v>25</v>
      </c>
      <c r="D927" s="320"/>
      <c r="E927" s="320"/>
      <c r="F927" s="320"/>
      <c r="G927" s="320"/>
      <c r="H927" s="320"/>
      <c r="I927" s="320"/>
      <c r="J927" s="320"/>
      <c r="K927" s="320"/>
      <c r="L927" s="320"/>
      <c r="M927" s="320"/>
      <c r="N927" s="320">
        <v>0</v>
      </c>
      <c r="O927" s="320"/>
      <c r="P927" s="320"/>
      <c r="Q927" s="320"/>
      <c r="R927" s="320"/>
      <c r="S927" s="320"/>
      <c r="T927" s="320"/>
      <c r="U927" s="320"/>
      <c r="V927" s="320"/>
      <c r="W927" s="320"/>
      <c r="X927" s="320"/>
      <c r="Y927" s="446"/>
      <c r="Z927" s="435"/>
      <c r="AA927" s="435"/>
      <c r="AB927" s="435"/>
      <c r="AC927" s="435"/>
      <c r="AD927" s="435"/>
      <c r="AE927" s="435"/>
      <c r="AF927" s="435"/>
      <c r="AG927" s="435"/>
      <c r="AH927" s="435"/>
      <c r="AI927" s="435"/>
      <c r="AJ927" s="435"/>
      <c r="AK927" s="435"/>
      <c r="AL927" s="435"/>
      <c r="AM927" s="321">
        <f>SUM(Y927:AL927)</f>
        <v>0</v>
      </c>
    </row>
    <row r="928" spans="1:39" ht="15" hidden="1" outlineLevel="1">
      <c r="A928" s="560"/>
      <c r="B928" s="319" t="s">
        <v>345</v>
      </c>
      <c r="C928" s="316" t="s">
        <v>164</v>
      </c>
      <c r="D928" s="320"/>
      <c r="E928" s="320"/>
      <c r="F928" s="320"/>
      <c r="G928" s="320"/>
      <c r="H928" s="320"/>
      <c r="I928" s="320"/>
      <c r="J928" s="320"/>
      <c r="K928" s="320"/>
      <c r="L928" s="320"/>
      <c r="M928" s="320"/>
      <c r="N928" s="320">
        <f>N927</f>
        <v>0</v>
      </c>
      <c r="O928" s="320"/>
      <c r="P928" s="320"/>
      <c r="Q928" s="320"/>
      <c r="R928" s="320"/>
      <c r="S928" s="320"/>
      <c r="T928" s="320"/>
      <c r="U928" s="320"/>
      <c r="V928" s="320"/>
      <c r="W928" s="320"/>
      <c r="X928" s="320"/>
      <c r="Y928" s="431">
        <f>Y927</f>
        <v>0</v>
      </c>
      <c r="Z928" s="431">
        <f t="shared" ref="Z928" si="2833">Z927</f>
        <v>0</v>
      </c>
      <c r="AA928" s="431">
        <f t="shared" ref="AA928" si="2834">AA927</f>
        <v>0</v>
      </c>
      <c r="AB928" s="431">
        <f t="shared" ref="AB928" si="2835">AB927</f>
        <v>0</v>
      </c>
      <c r="AC928" s="431">
        <f t="shared" ref="AC928" si="2836">AC927</f>
        <v>0</v>
      </c>
      <c r="AD928" s="431">
        <f t="shared" ref="AD928" si="2837">AD927</f>
        <v>0</v>
      </c>
      <c r="AE928" s="431">
        <f t="shared" ref="AE928" si="2838">AE927</f>
        <v>0</v>
      </c>
      <c r="AF928" s="431">
        <f t="shared" ref="AF928" si="2839">AF927</f>
        <v>0</v>
      </c>
      <c r="AG928" s="431">
        <f t="shared" ref="AG928" si="2840">AG927</f>
        <v>0</v>
      </c>
      <c r="AH928" s="431">
        <f t="shared" ref="AH928" si="2841">AH927</f>
        <v>0</v>
      </c>
      <c r="AI928" s="431">
        <f t="shared" ref="AI928" si="2842">AI927</f>
        <v>0</v>
      </c>
      <c r="AJ928" s="431">
        <f t="shared" ref="AJ928" si="2843">AJ927</f>
        <v>0</v>
      </c>
      <c r="AK928" s="431">
        <f t="shared" ref="AK928" si="2844">AK927</f>
        <v>0</v>
      </c>
      <c r="AL928" s="431">
        <f t="shared" ref="AL928" si="2845">AL927</f>
        <v>0</v>
      </c>
      <c r="AM928" s="331"/>
    </row>
    <row r="929" spans="1:39" ht="15" hidden="1" outlineLevel="1">
      <c r="A929" s="560"/>
      <c r="B929" s="448"/>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432"/>
      <c r="Z929" s="445"/>
      <c r="AA929" s="445"/>
      <c r="AB929" s="445"/>
      <c r="AC929" s="445"/>
      <c r="AD929" s="445"/>
      <c r="AE929" s="445"/>
      <c r="AF929" s="445"/>
      <c r="AG929" s="445"/>
      <c r="AH929" s="445"/>
      <c r="AI929" s="445"/>
      <c r="AJ929" s="445"/>
      <c r="AK929" s="445"/>
      <c r="AL929" s="445"/>
      <c r="AM929" s="331"/>
    </row>
    <row r="930" spans="1:39" ht="30" hidden="1" outlineLevel="1">
      <c r="A930" s="560">
        <v>48</v>
      </c>
      <c r="B930" s="448" t="s">
        <v>141</v>
      </c>
      <c r="C930" s="316" t="s">
        <v>25</v>
      </c>
      <c r="D930" s="320"/>
      <c r="E930" s="320"/>
      <c r="F930" s="320"/>
      <c r="G930" s="320"/>
      <c r="H930" s="320"/>
      <c r="I930" s="320"/>
      <c r="J930" s="320"/>
      <c r="K930" s="320"/>
      <c r="L930" s="320"/>
      <c r="M930" s="320"/>
      <c r="N930" s="320">
        <v>0</v>
      </c>
      <c r="O930" s="320"/>
      <c r="P930" s="320"/>
      <c r="Q930" s="320"/>
      <c r="R930" s="320"/>
      <c r="S930" s="320"/>
      <c r="T930" s="320"/>
      <c r="U930" s="320"/>
      <c r="V930" s="320"/>
      <c r="W930" s="320"/>
      <c r="X930" s="320"/>
      <c r="Y930" s="446"/>
      <c r="Z930" s="435"/>
      <c r="AA930" s="435"/>
      <c r="AB930" s="435"/>
      <c r="AC930" s="435"/>
      <c r="AD930" s="435"/>
      <c r="AE930" s="435"/>
      <c r="AF930" s="435"/>
      <c r="AG930" s="435"/>
      <c r="AH930" s="435"/>
      <c r="AI930" s="435"/>
      <c r="AJ930" s="435"/>
      <c r="AK930" s="435"/>
      <c r="AL930" s="435"/>
      <c r="AM930" s="321">
        <f>SUM(Y930:AL930)</f>
        <v>0</v>
      </c>
    </row>
    <row r="931" spans="1:39" ht="15" hidden="1" outlineLevel="1">
      <c r="A931" s="560"/>
      <c r="B931" s="319" t="s">
        <v>345</v>
      </c>
      <c r="C931" s="316" t="s">
        <v>164</v>
      </c>
      <c r="D931" s="320"/>
      <c r="E931" s="320"/>
      <c r="F931" s="320"/>
      <c r="G931" s="320"/>
      <c r="H931" s="320"/>
      <c r="I931" s="320"/>
      <c r="J931" s="320"/>
      <c r="K931" s="320"/>
      <c r="L931" s="320"/>
      <c r="M931" s="320"/>
      <c r="N931" s="320">
        <f>N930</f>
        <v>0</v>
      </c>
      <c r="O931" s="320"/>
      <c r="P931" s="320"/>
      <c r="Q931" s="320"/>
      <c r="R931" s="320"/>
      <c r="S931" s="320"/>
      <c r="T931" s="320"/>
      <c r="U931" s="320"/>
      <c r="V931" s="320"/>
      <c r="W931" s="320"/>
      <c r="X931" s="320"/>
      <c r="Y931" s="431">
        <f>Y930</f>
        <v>0</v>
      </c>
      <c r="Z931" s="431">
        <f t="shared" ref="Z931" si="2846">Z930</f>
        <v>0</v>
      </c>
      <c r="AA931" s="431">
        <f t="shared" ref="AA931" si="2847">AA930</f>
        <v>0</v>
      </c>
      <c r="AB931" s="431">
        <f t="shared" ref="AB931" si="2848">AB930</f>
        <v>0</v>
      </c>
      <c r="AC931" s="431">
        <f t="shared" ref="AC931" si="2849">AC930</f>
        <v>0</v>
      </c>
      <c r="AD931" s="431">
        <f t="shared" ref="AD931" si="2850">AD930</f>
        <v>0</v>
      </c>
      <c r="AE931" s="431">
        <f t="shared" ref="AE931" si="2851">AE930</f>
        <v>0</v>
      </c>
      <c r="AF931" s="431">
        <f t="shared" ref="AF931" si="2852">AF930</f>
        <v>0</v>
      </c>
      <c r="AG931" s="431">
        <f t="shared" ref="AG931" si="2853">AG930</f>
        <v>0</v>
      </c>
      <c r="AH931" s="431">
        <f t="shared" ref="AH931" si="2854">AH930</f>
        <v>0</v>
      </c>
      <c r="AI931" s="431">
        <f t="shared" ref="AI931" si="2855">AI930</f>
        <v>0</v>
      </c>
      <c r="AJ931" s="431">
        <f t="shared" ref="AJ931" si="2856">AJ930</f>
        <v>0</v>
      </c>
      <c r="AK931" s="431">
        <f t="shared" ref="AK931" si="2857">AK930</f>
        <v>0</v>
      </c>
      <c r="AL931" s="431">
        <f t="shared" ref="AL931" si="2858">AL930</f>
        <v>0</v>
      </c>
      <c r="AM931" s="331"/>
    </row>
    <row r="932" spans="1:39" ht="15" hidden="1" outlineLevel="1">
      <c r="A932" s="560"/>
      <c r="B932" s="448"/>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432"/>
      <c r="Z932" s="445"/>
      <c r="AA932" s="445"/>
      <c r="AB932" s="445"/>
      <c r="AC932" s="445"/>
      <c r="AD932" s="445"/>
      <c r="AE932" s="445"/>
      <c r="AF932" s="445"/>
      <c r="AG932" s="445"/>
      <c r="AH932" s="445"/>
      <c r="AI932" s="445"/>
      <c r="AJ932" s="445"/>
      <c r="AK932" s="445"/>
      <c r="AL932" s="445"/>
      <c r="AM932" s="331"/>
    </row>
    <row r="933" spans="1:39" ht="30" hidden="1" outlineLevel="1">
      <c r="A933" s="560">
        <v>49</v>
      </c>
      <c r="B933" s="448" t="s">
        <v>142</v>
      </c>
      <c r="C933" s="316" t="s">
        <v>25</v>
      </c>
      <c r="D933" s="320"/>
      <c r="E933" s="320"/>
      <c r="F933" s="320"/>
      <c r="G933" s="320"/>
      <c r="H933" s="320"/>
      <c r="I933" s="320"/>
      <c r="J933" s="320"/>
      <c r="K933" s="320"/>
      <c r="L933" s="320"/>
      <c r="M933" s="320"/>
      <c r="N933" s="320">
        <v>0</v>
      </c>
      <c r="O933" s="320"/>
      <c r="P933" s="320"/>
      <c r="Q933" s="320"/>
      <c r="R933" s="320"/>
      <c r="S933" s="320"/>
      <c r="T933" s="320"/>
      <c r="U933" s="320"/>
      <c r="V933" s="320"/>
      <c r="W933" s="320"/>
      <c r="X933" s="320"/>
      <c r="Y933" s="446"/>
      <c r="Z933" s="435"/>
      <c r="AA933" s="435"/>
      <c r="AB933" s="435"/>
      <c r="AC933" s="435"/>
      <c r="AD933" s="435"/>
      <c r="AE933" s="435"/>
      <c r="AF933" s="435"/>
      <c r="AG933" s="435"/>
      <c r="AH933" s="435"/>
      <c r="AI933" s="435"/>
      <c r="AJ933" s="435"/>
      <c r="AK933" s="435"/>
      <c r="AL933" s="435"/>
      <c r="AM933" s="321">
        <f>SUM(Y933:AL933)</f>
        <v>0</v>
      </c>
    </row>
    <row r="934" spans="1:39" ht="15" hidden="1" outlineLevel="1">
      <c r="A934" s="560"/>
      <c r="B934" s="319" t="s">
        <v>345</v>
      </c>
      <c r="C934" s="316" t="s">
        <v>164</v>
      </c>
      <c r="D934" s="320"/>
      <c r="E934" s="320"/>
      <c r="F934" s="320"/>
      <c r="G934" s="320"/>
      <c r="H934" s="320"/>
      <c r="I934" s="320"/>
      <c r="J934" s="320"/>
      <c r="K934" s="320"/>
      <c r="L934" s="320"/>
      <c r="M934" s="320"/>
      <c r="N934" s="320">
        <f>N933</f>
        <v>0</v>
      </c>
      <c r="O934" s="320"/>
      <c r="P934" s="320"/>
      <c r="Q934" s="320"/>
      <c r="R934" s="320"/>
      <c r="S934" s="320"/>
      <c r="T934" s="320"/>
      <c r="U934" s="320"/>
      <c r="V934" s="320"/>
      <c r="W934" s="320"/>
      <c r="X934" s="320"/>
      <c r="Y934" s="431">
        <f>Y933</f>
        <v>0</v>
      </c>
      <c r="Z934" s="431">
        <f t="shared" ref="Z934" si="2859">Z933</f>
        <v>0</v>
      </c>
      <c r="AA934" s="431">
        <f t="shared" ref="AA934" si="2860">AA933</f>
        <v>0</v>
      </c>
      <c r="AB934" s="431">
        <f t="shared" ref="AB934" si="2861">AB933</f>
        <v>0</v>
      </c>
      <c r="AC934" s="431">
        <f t="shared" ref="AC934" si="2862">AC933</f>
        <v>0</v>
      </c>
      <c r="AD934" s="431">
        <f t="shared" ref="AD934" si="2863">AD933</f>
        <v>0</v>
      </c>
      <c r="AE934" s="431">
        <f t="shared" ref="AE934" si="2864">AE933</f>
        <v>0</v>
      </c>
      <c r="AF934" s="431">
        <f t="shared" ref="AF934" si="2865">AF933</f>
        <v>0</v>
      </c>
      <c r="AG934" s="431">
        <f t="shared" ref="AG934" si="2866">AG933</f>
        <v>0</v>
      </c>
      <c r="AH934" s="431">
        <f t="shared" ref="AH934" si="2867">AH933</f>
        <v>0</v>
      </c>
      <c r="AI934" s="431">
        <f t="shared" ref="AI934" si="2868">AI933</f>
        <v>0</v>
      </c>
      <c r="AJ934" s="431">
        <f t="shared" ref="AJ934" si="2869">AJ933</f>
        <v>0</v>
      </c>
      <c r="AK934" s="431">
        <f t="shared" ref="AK934" si="2870">AK933</f>
        <v>0</v>
      </c>
      <c r="AL934" s="431">
        <f t="shared" ref="AL934" si="2871">AL933</f>
        <v>0</v>
      </c>
      <c r="AM934" s="331"/>
    </row>
    <row r="935" spans="1:39" ht="15" hidden="1" outlineLevel="1">
      <c r="A935" s="560"/>
      <c r="B935" s="319"/>
      <c r="C935" s="330"/>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26"/>
      <c r="Z935" s="326"/>
      <c r="AA935" s="326"/>
      <c r="AB935" s="326"/>
      <c r="AC935" s="326"/>
      <c r="AD935" s="326"/>
      <c r="AE935" s="326"/>
      <c r="AF935" s="326"/>
      <c r="AG935" s="326"/>
      <c r="AH935" s="326"/>
      <c r="AI935" s="326"/>
      <c r="AJ935" s="326"/>
      <c r="AK935" s="326"/>
      <c r="AL935" s="326"/>
      <c r="AM935" s="331"/>
    </row>
    <row r="936" spans="1:39" ht="15.6" collapsed="1">
      <c r="B936" s="352" t="s">
        <v>331</v>
      </c>
      <c r="C936" s="354"/>
      <c r="D936" s="354">
        <f>SUM(D779:D934)</f>
        <v>0</v>
      </c>
      <c r="E936" s="354"/>
      <c r="F936" s="354"/>
      <c r="G936" s="354"/>
      <c r="H936" s="354"/>
      <c r="I936" s="354"/>
      <c r="J936" s="354"/>
      <c r="K936" s="354"/>
      <c r="L936" s="354"/>
      <c r="M936" s="354"/>
      <c r="N936" s="354"/>
      <c r="O936" s="354">
        <f>SUM(O779:X934)</f>
        <v>0</v>
      </c>
      <c r="P936" s="354"/>
      <c r="Q936" s="354"/>
      <c r="R936" s="354"/>
      <c r="S936" s="354"/>
      <c r="T936" s="354"/>
      <c r="U936" s="354"/>
      <c r="V936" s="354"/>
      <c r="W936" s="354"/>
      <c r="X936" s="354"/>
      <c r="Y936" s="354">
        <f>IF(Y777="kWh",SUMPRODUCT(D779:D934,Y779:Y934))</f>
        <v>0</v>
      </c>
      <c r="Z936" s="354">
        <f>IF(Z777="kWh",SUMPRODUCT(D779:D934,Z779:Z934))</f>
        <v>0</v>
      </c>
      <c r="AA936" s="354">
        <f>IF(AA777="kw",SUMPRODUCT(N779:N934,O779:O934,AA779:AA934),SUMPRODUCT(D779:D934,AA779:AA934))</f>
        <v>0</v>
      </c>
      <c r="AB936" s="354">
        <f>IF(AB777="kw",SUMPRODUCT(N779:N934,O779:O934,AB779:AB934),SUMPRODUCT(D779:D934,AB779:AB934))</f>
        <v>0</v>
      </c>
      <c r="AC936" s="354">
        <f>IF(AC777="kw",SUMPRODUCT(N779:N934,O779:O934,AC779:AC934),SUMPRODUCT(D779:D934,AC779:AC934))</f>
        <v>0</v>
      </c>
      <c r="AD936" s="354">
        <f>IF(AD777="kw",SUMPRODUCT(N779:N934,O779:O934,AD779:AD934),SUMPRODUCT(D779:D934,AD779:AD934))</f>
        <v>0</v>
      </c>
      <c r="AE936" s="354">
        <f>IF(AE777="kw",SUMPRODUCT(N779:N934,O779:O934,AE779:AE934),SUMPRODUCT(D779:D934,AE779:AE934))</f>
        <v>0</v>
      </c>
      <c r="AF936" s="354">
        <f>IF(AF777="kw",SUMPRODUCT(N779:N934,O779:O934,AF779:AF934),SUMPRODUCT(D779:D934,AF779:AF934))</f>
        <v>0</v>
      </c>
      <c r="AG936" s="354">
        <f>IF(AG777="kw",SUMPRODUCT(N779:N934,O779:O934,AG779:AG934),SUMPRODUCT(D779:D934,AG779:AG934))</f>
        <v>0</v>
      </c>
      <c r="AH936" s="354">
        <f>IF(AH777="kw",SUMPRODUCT(N779:N934,O779:O934,AH779:AH934),SUMPRODUCT(D779:D934,AH779:AH934))</f>
        <v>0</v>
      </c>
      <c r="AI936" s="354">
        <f>IF(AI777="kw",SUMPRODUCT(N779:N934,O779:O934,AI779:AI934),SUMPRODUCT(D779:D934,AI779:AI934))</f>
        <v>0</v>
      </c>
      <c r="AJ936" s="354">
        <f>IF(AJ777="kw",SUMPRODUCT(N779:N934,O779:O934,AJ779:AJ934),SUMPRODUCT(D779:D934,AJ779:AJ934))</f>
        <v>0</v>
      </c>
      <c r="AK936" s="354">
        <f>IF(AK777="kw",SUMPRODUCT(N779:N934,O779:O934,AK779:AK934),SUMPRODUCT(D779:D934,AK779:AK934))</f>
        <v>0</v>
      </c>
      <c r="AL936" s="354">
        <f>IF(AL777="kw",SUMPRODUCT(N779:N934,O779:O934,AL779:AL934),SUMPRODUCT(D779:D934,AL779:AL934))</f>
        <v>0</v>
      </c>
      <c r="AM936" s="355"/>
    </row>
    <row r="937" spans="1:39" ht="15.6">
      <c r="B937" s="415" t="s">
        <v>332</v>
      </c>
      <c r="C937" s="416"/>
      <c r="D937" s="416"/>
      <c r="E937" s="416"/>
      <c r="F937" s="416"/>
      <c r="G937" s="416"/>
      <c r="H937" s="416"/>
      <c r="I937" s="416"/>
      <c r="J937" s="416"/>
      <c r="K937" s="416"/>
      <c r="L937" s="416"/>
      <c r="M937" s="416"/>
      <c r="N937" s="416"/>
      <c r="O937" s="416"/>
      <c r="P937" s="416"/>
      <c r="Q937" s="416"/>
      <c r="R937" s="416"/>
      <c r="S937" s="416"/>
      <c r="T937" s="416"/>
      <c r="U937" s="416"/>
      <c r="V937" s="416"/>
      <c r="W937" s="416"/>
      <c r="X937" s="416"/>
      <c r="Y937" s="416">
        <f>HLOOKUP(Y593,'2. LRAMVA Threshold'!$B$42:$Q$53,11,FALSE)</f>
        <v>0</v>
      </c>
      <c r="Z937" s="416">
        <f>HLOOKUP(Z593,'2. LRAMVA Threshold'!$B$42:$Q$53,11,FALSE)</f>
        <v>0</v>
      </c>
      <c r="AA937" s="416">
        <f>HLOOKUP(AA593,'2. LRAMVA Threshold'!$B$42:$Q$53,11,FALSE)</f>
        <v>0</v>
      </c>
      <c r="AB937" s="416">
        <f>HLOOKUP(AB593,'2. LRAMVA Threshold'!$B$42:$Q$53,11,FALSE)</f>
        <v>0</v>
      </c>
      <c r="AC937" s="416">
        <f>HLOOKUP(AC593,'2. LRAMVA Threshold'!$B$42:$Q$53,11,FALSE)</f>
        <v>0</v>
      </c>
      <c r="AD937" s="416">
        <f>HLOOKUP(AD593,'2. LRAMVA Threshold'!$B$42:$Q$53,11,FALSE)</f>
        <v>0</v>
      </c>
      <c r="AE937" s="416">
        <f>HLOOKUP(AE593,'2. LRAMVA Threshold'!$B$42:$Q$53,11,FALSE)</f>
        <v>0</v>
      </c>
      <c r="AF937" s="416">
        <f>HLOOKUP(AF593,'2. LRAMVA Threshold'!$B$42:$Q$53,11,FALSE)</f>
        <v>0</v>
      </c>
      <c r="AG937" s="416">
        <f>HLOOKUP(AG593,'2. LRAMVA Threshold'!$B$42:$Q$53,11,FALSE)</f>
        <v>0</v>
      </c>
      <c r="AH937" s="416">
        <f>HLOOKUP(AH593,'2. LRAMVA Threshold'!$B$42:$Q$53,11,FALSE)</f>
        <v>0</v>
      </c>
      <c r="AI937" s="416">
        <f>HLOOKUP(AI593,'2. LRAMVA Threshold'!$B$42:$Q$53,11,FALSE)</f>
        <v>0</v>
      </c>
      <c r="AJ937" s="416">
        <f>HLOOKUP(AJ593,'2. LRAMVA Threshold'!$B$42:$Q$53,11,FALSE)</f>
        <v>0</v>
      </c>
      <c r="AK937" s="416">
        <f>HLOOKUP(AK593,'2. LRAMVA Threshold'!$B$42:$Q$53,11,FALSE)</f>
        <v>0</v>
      </c>
      <c r="AL937" s="416">
        <f>HLOOKUP(AL593,'2. LRAMVA Threshold'!$B$42:$Q$53,11,FALSE)</f>
        <v>0</v>
      </c>
      <c r="AM937" s="462"/>
    </row>
    <row r="938" spans="1:39" ht="15">
      <c r="B938" s="418"/>
      <c r="C938" s="452"/>
      <c r="D938" s="453"/>
      <c r="E938" s="453"/>
      <c r="F938" s="453"/>
      <c r="G938" s="453"/>
      <c r="H938" s="453"/>
      <c r="I938" s="453"/>
      <c r="J938" s="453"/>
      <c r="K938" s="453"/>
      <c r="L938" s="453"/>
      <c r="M938" s="453"/>
      <c r="N938" s="453"/>
      <c r="O938" s="454"/>
      <c r="P938" s="453"/>
      <c r="Q938" s="453"/>
      <c r="R938" s="453"/>
      <c r="S938" s="455"/>
      <c r="T938" s="455"/>
      <c r="U938" s="455"/>
      <c r="V938" s="455"/>
      <c r="W938" s="453"/>
      <c r="X938" s="453"/>
      <c r="Y938" s="456"/>
      <c r="Z938" s="456"/>
      <c r="AA938" s="456"/>
      <c r="AB938" s="456"/>
      <c r="AC938" s="456"/>
      <c r="AD938" s="456"/>
      <c r="AE938" s="456"/>
      <c r="AF938" s="419"/>
      <c r="AG938" s="419"/>
      <c r="AH938" s="419"/>
      <c r="AI938" s="419"/>
      <c r="AJ938" s="419"/>
      <c r="AK938" s="419"/>
      <c r="AL938" s="419"/>
      <c r="AM938" s="420"/>
    </row>
    <row r="939" spans="1:39" ht="15">
      <c r="B939" s="349" t="s">
        <v>333</v>
      </c>
      <c r="C939" s="362"/>
      <c r="D939" s="362"/>
      <c r="E939" s="400"/>
      <c r="F939" s="400"/>
      <c r="G939" s="400"/>
      <c r="H939" s="400"/>
      <c r="I939" s="400"/>
      <c r="J939" s="400"/>
      <c r="K939" s="400"/>
      <c r="L939" s="400"/>
      <c r="M939" s="400"/>
      <c r="N939" s="400"/>
      <c r="O939" s="316"/>
      <c r="P939" s="364"/>
      <c r="Q939" s="364"/>
      <c r="R939" s="364"/>
      <c r="S939" s="363"/>
      <c r="T939" s="363"/>
      <c r="U939" s="363"/>
      <c r="V939" s="363"/>
      <c r="W939" s="364"/>
      <c r="X939" s="364"/>
      <c r="Y939" s="365">
        <f>HLOOKUP(Y$35,'3.  Distribution Rates'!$C$122:$P$133,11,FALSE)</f>
        <v>0</v>
      </c>
      <c r="Z939" s="365">
        <f>HLOOKUP(Z$35,'3.  Distribution Rates'!$C$122:$P$133,11,FALSE)</f>
        <v>0</v>
      </c>
      <c r="AA939" s="365">
        <f>HLOOKUP(AA$35,'3.  Distribution Rates'!$C$122:$P$133,11,FALSE)</f>
        <v>0</v>
      </c>
      <c r="AB939" s="365">
        <f>HLOOKUP(AB$35,'3.  Distribution Rates'!$C$122:$P$133,11,FALSE)</f>
        <v>0</v>
      </c>
      <c r="AC939" s="365">
        <f>HLOOKUP(AC$35,'3.  Distribution Rates'!$C$122:$P$133,11,FALSE)</f>
        <v>0</v>
      </c>
      <c r="AD939" s="365">
        <f>HLOOKUP(AD$35,'3.  Distribution Rates'!$C$122:$P$133,11,FALSE)</f>
        <v>0</v>
      </c>
      <c r="AE939" s="365">
        <f>HLOOKUP(AE$35,'3.  Distribution Rates'!$C$122:$P$133,11,FALSE)</f>
        <v>0</v>
      </c>
      <c r="AF939" s="365">
        <f>HLOOKUP(AF$35,'3.  Distribution Rates'!$C$122:$P$133,11,FALSE)</f>
        <v>0</v>
      </c>
      <c r="AG939" s="365">
        <f>HLOOKUP(AG$35,'3.  Distribution Rates'!$C$122:$P$133,11,FALSE)</f>
        <v>0</v>
      </c>
      <c r="AH939" s="365">
        <f>HLOOKUP(AH$35,'3.  Distribution Rates'!$C$122:$P$133,11,FALSE)</f>
        <v>0</v>
      </c>
      <c r="AI939" s="365">
        <f>HLOOKUP(AI$35,'3.  Distribution Rates'!$C$122:$P$133,11,FALSE)</f>
        <v>0</v>
      </c>
      <c r="AJ939" s="365">
        <f>HLOOKUP(AJ$35,'3.  Distribution Rates'!$C$122:$P$133,11,FALSE)</f>
        <v>0</v>
      </c>
      <c r="AK939" s="365">
        <f>HLOOKUP(AK$35,'3.  Distribution Rates'!$C$122:$P$133,11,FALSE)</f>
        <v>0</v>
      </c>
      <c r="AL939" s="365">
        <f>HLOOKUP(AL$35,'3.  Distribution Rates'!$C$122:$P$133,11,FALSE)</f>
        <v>0</v>
      </c>
      <c r="AM939" s="401"/>
    </row>
    <row r="940" spans="1:39" ht="15">
      <c r="B940" s="349" t="s">
        <v>334</v>
      </c>
      <c r="C940" s="369"/>
      <c r="D940" s="334"/>
      <c r="E940" s="304"/>
      <c r="F940" s="304"/>
      <c r="G940" s="304"/>
      <c r="H940" s="304"/>
      <c r="I940" s="304"/>
      <c r="J940" s="304"/>
      <c r="K940" s="304"/>
      <c r="L940" s="304"/>
      <c r="M940" s="304"/>
      <c r="N940" s="304"/>
      <c r="O940" s="316"/>
      <c r="P940" s="304"/>
      <c r="Q940" s="304"/>
      <c r="R940" s="304"/>
      <c r="S940" s="334"/>
      <c r="T940" s="334"/>
      <c r="U940" s="334"/>
      <c r="V940" s="334"/>
      <c r="W940" s="304"/>
      <c r="X940" s="304"/>
      <c r="Y940" s="402">
        <f>'4.  2011-2014 LRAM'!Y142*Y939</f>
        <v>0</v>
      </c>
      <c r="Z940" s="402">
        <f>'4.  2011-2014 LRAM'!Z142*Z939</f>
        <v>0</v>
      </c>
      <c r="AA940" s="402">
        <f>'4.  2011-2014 LRAM'!AA142*AA939</f>
        <v>0</v>
      </c>
      <c r="AB940" s="402">
        <f>'4.  2011-2014 LRAM'!AB142*AB939</f>
        <v>0</v>
      </c>
      <c r="AC940" s="402">
        <f>'4.  2011-2014 LRAM'!AC142*AC939</f>
        <v>0</v>
      </c>
      <c r="AD940" s="402">
        <f>'4.  2011-2014 LRAM'!AD142*AD939</f>
        <v>0</v>
      </c>
      <c r="AE940" s="402">
        <f>'4.  2011-2014 LRAM'!AE142*AE939</f>
        <v>0</v>
      </c>
      <c r="AF940" s="402">
        <f>'4.  2011-2014 LRAM'!AF142*AF939</f>
        <v>0</v>
      </c>
      <c r="AG940" s="402">
        <f>'4.  2011-2014 LRAM'!AG142*AG939</f>
        <v>0</v>
      </c>
      <c r="AH940" s="402">
        <f>'4.  2011-2014 LRAM'!AH142*AH939</f>
        <v>0</v>
      </c>
      <c r="AI940" s="402">
        <f>'4.  2011-2014 LRAM'!AI142*AI939</f>
        <v>0</v>
      </c>
      <c r="AJ940" s="402">
        <f>'4.  2011-2014 LRAM'!AJ142*AJ939</f>
        <v>0</v>
      </c>
      <c r="AK940" s="402">
        <f>'4.  2011-2014 LRAM'!AK142*AK939</f>
        <v>0</v>
      </c>
      <c r="AL940" s="402">
        <f>'4.  2011-2014 LRAM'!AL142*AL939</f>
        <v>0</v>
      </c>
      <c r="AM940" s="401">
        <f t="shared" ref="AM940:AM948" si="2872">SUM(Y940:AL940)</f>
        <v>0</v>
      </c>
    </row>
    <row r="941" spans="1:39" ht="15">
      <c r="B941" s="349" t="s">
        <v>335</v>
      </c>
      <c r="C941" s="369"/>
      <c r="D941" s="334"/>
      <c r="E941" s="304"/>
      <c r="F941" s="304"/>
      <c r="G941" s="304"/>
      <c r="H941" s="304"/>
      <c r="I941" s="304"/>
      <c r="J941" s="304"/>
      <c r="K941" s="304"/>
      <c r="L941" s="304"/>
      <c r="M941" s="304"/>
      <c r="N941" s="304"/>
      <c r="O941" s="316"/>
      <c r="P941" s="304"/>
      <c r="Q941" s="304"/>
      <c r="R941" s="304"/>
      <c r="S941" s="334"/>
      <c r="T941" s="334"/>
      <c r="U941" s="334"/>
      <c r="V941" s="334"/>
      <c r="W941" s="304"/>
      <c r="X941" s="304"/>
      <c r="Y941" s="402">
        <f>'4.  2011-2014 LRAM'!Y271*Y939</f>
        <v>0</v>
      </c>
      <c r="Z941" s="402">
        <f>'4.  2011-2014 LRAM'!Z271*Z939</f>
        <v>0</v>
      </c>
      <c r="AA941" s="402">
        <f>'4.  2011-2014 LRAM'!AA271*AA939</f>
        <v>0</v>
      </c>
      <c r="AB941" s="402">
        <f>'4.  2011-2014 LRAM'!AB271*AB939</f>
        <v>0</v>
      </c>
      <c r="AC941" s="402">
        <f>'4.  2011-2014 LRAM'!AC271*AC939</f>
        <v>0</v>
      </c>
      <c r="AD941" s="402">
        <f>'4.  2011-2014 LRAM'!AD271*AD939</f>
        <v>0</v>
      </c>
      <c r="AE941" s="402">
        <f>'4.  2011-2014 LRAM'!AE271*AE939</f>
        <v>0</v>
      </c>
      <c r="AF941" s="402">
        <f>'4.  2011-2014 LRAM'!AF271*AF939</f>
        <v>0</v>
      </c>
      <c r="AG941" s="402">
        <f>'4.  2011-2014 LRAM'!AG271*AG939</f>
        <v>0</v>
      </c>
      <c r="AH941" s="402">
        <f>'4.  2011-2014 LRAM'!AH271*AH939</f>
        <v>0</v>
      </c>
      <c r="AI941" s="402">
        <f>'4.  2011-2014 LRAM'!AI271*AI939</f>
        <v>0</v>
      </c>
      <c r="AJ941" s="402">
        <f>'4.  2011-2014 LRAM'!AJ271*AJ939</f>
        <v>0</v>
      </c>
      <c r="AK941" s="402">
        <f>'4.  2011-2014 LRAM'!AK271*AK939</f>
        <v>0</v>
      </c>
      <c r="AL941" s="402">
        <f>'4.  2011-2014 LRAM'!AL271*AL939</f>
        <v>0</v>
      </c>
      <c r="AM941" s="401">
        <f t="shared" si="2872"/>
        <v>0</v>
      </c>
    </row>
    <row r="942" spans="1:39" ht="15">
      <c r="B942" s="349" t="s">
        <v>336</v>
      </c>
      <c r="C942" s="369"/>
      <c r="D942" s="334"/>
      <c r="E942" s="304"/>
      <c r="F942" s="304"/>
      <c r="G942" s="304"/>
      <c r="H942" s="304"/>
      <c r="I942" s="304"/>
      <c r="J942" s="304"/>
      <c r="K942" s="304"/>
      <c r="L942" s="304"/>
      <c r="M942" s="304"/>
      <c r="N942" s="304"/>
      <c r="O942" s="316"/>
      <c r="P942" s="304"/>
      <c r="Q942" s="304"/>
      <c r="R942" s="304"/>
      <c r="S942" s="334"/>
      <c r="T942" s="334"/>
      <c r="U942" s="334"/>
      <c r="V942" s="334"/>
      <c r="W942" s="304"/>
      <c r="X942" s="304"/>
      <c r="Y942" s="402">
        <f>'4.  2011-2014 LRAM'!Y400*Y939</f>
        <v>0</v>
      </c>
      <c r="Z942" s="402">
        <f>'4.  2011-2014 LRAM'!Z400*Z939</f>
        <v>0</v>
      </c>
      <c r="AA942" s="402">
        <f>'4.  2011-2014 LRAM'!AA400*AA939</f>
        <v>0</v>
      </c>
      <c r="AB942" s="402">
        <f>'4.  2011-2014 LRAM'!AB400*AB939</f>
        <v>0</v>
      </c>
      <c r="AC942" s="402">
        <f>'4.  2011-2014 LRAM'!AC400*AC939</f>
        <v>0</v>
      </c>
      <c r="AD942" s="402">
        <f>'4.  2011-2014 LRAM'!AD400*AD939</f>
        <v>0</v>
      </c>
      <c r="AE942" s="402">
        <f>'4.  2011-2014 LRAM'!AE400*AE939</f>
        <v>0</v>
      </c>
      <c r="AF942" s="402">
        <f>'4.  2011-2014 LRAM'!AF400*AF939</f>
        <v>0</v>
      </c>
      <c r="AG942" s="402">
        <f>'4.  2011-2014 LRAM'!AG400*AG939</f>
        <v>0</v>
      </c>
      <c r="AH942" s="402">
        <f>'4.  2011-2014 LRAM'!AH400*AH939</f>
        <v>0</v>
      </c>
      <c r="AI942" s="402">
        <f>'4.  2011-2014 LRAM'!AI400*AI939</f>
        <v>0</v>
      </c>
      <c r="AJ942" s="402">
        <f>'4.  2011-2014 LRAM'!AJ400*AJ939</f>
        <v>0</v>
      </c>
      <c r="AK942" s="402">
        <f>'4.  2011-2014 LRAM'!AK400*AK939</f>
        <v>0</v>
      </c>
      <c r="AL942" s="402">
        <f>'4.  2011-2014 LRAM'!AL400*AL939</f>
        <v>0</v>
      </c>
      <c r="AM942" s="401">
        <f t="shared" si="2872"/>
        <v>0</v>
      </c>
    </row>
    <row r="943" spans="1:39" ht="15">
      <c r="B943" s="349" t="s">
        <v>337</v>
      </c>
      <c r="C943" s="369"/>
      <c r="D943" s="334"/>
      <c r="E943" s="304"/>
      <c r="F943" s="304"/>
      <c r="G943" s="304"/>
      <c r="H943" s="304"/>
      <c r="I943" s="304"/>
      <c r="J943" s="304"/>
      <c r="K943" s="304"/>
      <c r="L943" s="304"/>
      <c r="M943" s="304"/>
      <c r="N943" s="304"/>
      <c r="O943" s="316"/>
      <c r="P943" s="304"/>
      <c r="Q943" s="304"/>
      <c r="R943" s="304"/>
      <c r="S943" s="334"/>
      <c r="T943" s="334"/>
      <c r="U943" s="334"/>
      <c r="V943" s="334"/>
      <c r="W943" s="304"/>
      <c r="X943" s="304"/>
      <c r="Y943" s="402">
        <f>'4.  2011-2014 LRAM'!Y530*Y939</f>
        <v>0</v>
      </c>
      <c r="Z943" s="402">
        <f>'4.  2011-2014 LRAM'!Z530*Z939</f>
        <v>0</v>
      </c>
      <c r="AA943" s="402">
        <f>'4.  2011-2014 LRAM'!AA530*AA939</f>
        <v>0</v>
      </c>
      <c r="AB943" s="402">
        <f>'4.  2011-2014 LRAM'!AB530*AB939</f>
        <v>0</v>
      </c>
      <c r="AC943" s="402">
        <f>'4.  2011-2014 LRAM'!AC530*AC939</f>
        <v>0</v>
      </c>
      <c r="AD943" s="402">
        <f>'4.  2011-2014 LRAM'!AD530*AD939</f>
        <v>0</v>
      </c>
      <c r="AE943" s="402">
        <f>'4.  2011-2014 LRAM'!AE530*AE939</f>
        <v>0</v>
      </c>
      <c r="AF943" s="402">
        <f>'4.  2011-2014 LRAM'!AF530*AF939</f>
        <v>0</v>
      </c>
      <c r="AG943" s="402">
        <f>'4.  2011-2014 LRAM'!AG530*AG939</f>
        <v>0</v>
      </c>
      <c r="AH943" s="402">
        <f>'4.  2011-2014 LRAM'!AH530*AH939</f>
        <v>0</v>
      </c>
      <c r="AI943" s="402">
        <f>'4.  2011-2014 LRAM'!AI530*AI939</f>
        <v>0</v>
      </c>
      <c r="AJ943" s="402">
        <f>'4.  2011-2014 LRAM'!AJ530*AJ939</f>
        <v>0</v>
      </c>
      <c r="AK943" s="402">
        <f>'4.  2011-2014 LRAM'!AK530*AK939</f>
        <v>0</v>
      </c>
      <c r="AL943" s="402">
        <f>'4.  2011-2014 LRAM'!AL530*AL939</f>
        <v>0</v>
      </c>
      <c r="AM943" s="401">
        <f t="shared" si="2872"/>
        <v>0</v>
      </c>
    </row>
    <row r="944" spans="1:39" ht="15">
      <c r="B944" s="349" t="s">
        <v>338</v>
      </c>
      <c r="C944" s="369"/>
      <c r="D944" s="334"/>
      <c r="E944" s="304"/>
      <c r="F944" s="304"/>
      <c r="G944" s="304"/>
      <c r="H944" s="304"/>
      <c r="I944" s="304"/>
      <c r="J944" s="304"/>
      <c r="K944" s="304"/>
      <c r="L944" s="304"/>
      <c r="M944" s="304"/>
      <c r="N944" s="304"/>
      <c r="O944" s="316"/>
      <c r="P944" s="304"/>
      <c r="Q944" s="304"/>
      <c r="R944" s="304"/>
      <c r="S944" s="334"/>
      <c r="T944" s="334"/>
      <c r="U944" s="334"/>
      <c r="V944" s="334"/>
      <c r="W944" s="304"/>
      <c r="X944" s="304"/>
      <c r="Y944" s="402">
        <f t="shared" ref="Y944:AL944" si="2873">Y211*Y939</f>
        <v>0</v>
      </c>
      <c r="Z944" s="402">
        <f t="shared" si="2873"/>
        <v>0</v>
      </c>
      <c r="AA944" s="402">
        <f t="shared" si="2873"/>
        <v>0</v>
      </c>
      <c r="AB944" s="402">
        <f t="shared" si="2873"/>
        <v>0</v>
      </c>
      <c r="AC944" s="402">
        <f t="shared" si="2873"/>
        <v>0</v>
      </c>
      <c r="AD944" s="402">
        <f t="shared" si="2873"/>
        <v>0</v>
      </c>
      <c r="AE944" s="402">
        <f t="shared" si="2873"/>
        <v>0</v>
      </c>
      <c r="AF944" s="402">
        <f t="shared" si="2873"/>
        <v>0</v>
      </c>
      <c r="AG944" s="402">
        <f t="shared" si="2873"/>
        <v>0</v>
      </c>
      <c r="AH944" s="402">
        <f t="shared" si="2873"/>
        <v>0</v>
      </c>
      <c r="AI944" s="402">
        <f t="shared" si="2873"/>
        <v>0</v>
      </c>
      <c r="AJ944" s="402">
        <f t="shared" si="2873"/>
        <v>0</v>
      </c>
      <c r="AK944" s="402">
        <f t="shared" si="2873"/>
        <v>0</v>
      </c>
      <c r="AL944" s="402">
        <f t="shared" si="2873"/>
        <v>0</v>
      </c>
      <c r="AM944" s="401">
        <f t="shared" si="2872"/>
        <v>0</v>
      </c>
    </row>
    <row r="945" spans="1:39" ht="15">
      <c r="B945" s="349" t="s">
        <v>339</v>
      </c>
      <c r="C945" s="369"/>
      <c r="D945" s="334"/>
      <c r="E945" s="304"/>
      <c r="F945" s="304"/>
      <c r="G945" s="304"/>
      <c r="H945" s="304"/>
      <c r="I945" s="304"/>
      <c r="J945" s="304"/>
      <c r="K945" s="304"/>
      <c r="L945" s="304"/>
      <c r="M945" s="304"/>
      <c r="N945" s="304"/>
      <c r="O945" s="316"/>
      <c r="P945" s="304"/>
      <c r="Q945" s="304"/>
      <c r="R945" s="304"/>
      <c r="S945" s="334"/>
      <c r="T945" s="334"/>
      <c r="U945" s="334"/>
      <c r="V945" s="334"/>
      <c r="W945" s="304"/>
      <c r="X945" s="304"/>
      <c r="Y945" s="402">
        <f t="shared" ref="Y945:AL945" si="2874">Y403*Y939</f>
        <v>0</v>
      </c>
      <c r="Z945" s="402">
        <f t="shared" si="2874"/>
        <v>0</v>
      </c>
      <c r="AA945" s="402">
        <f t="shared" si="2874"/>
        <v>0</v>
      </c>
      <c r="AB945" s="402">
        <f t="shared" si="2874"/>
        <v>0</v>
      </c>
      <c r="AC945" s="402">
        <f t="shared" si="2874"/>
        <v>0</v>
      </c>
      <c r="AD945" s="402">
        <f t="shared" si="2874"/>
        <v>0</v>
      </c>
      <c r="AE945" s="402">
        <f t="shared" si="2874"/>
        <v>0</v>
      </c>
      <c r="AF945" s="402">
        <f t="shared" si="2874"/>
        <v>0</v>
      </c>
      <c r="AG945" s="402">
        <f t="shared" si="2874"/>
        <v>0</v>
      </c>
      <c r="AH945" s="402">
        <f t="shared" si="2874"/>
        <v>0</v>
      </c>
      <c r="AI945" s="402">
        <f t="shared" si="2874"/>
        <v>0</v>
      </c>
      <c r="AJ945" s="402">
        <f t="shared" si="2874"/>
        <v>0</v>
      </c>
      <c r="AK945" s="402">
        <f t="shared" si="2874"/>
        <v>0</v>
      </c>
      <c r="AL945" s="402">
        <f t="shared" si="2874"/>
        <v>0</v>
      </c>
      <c r="AM945" s="401">
        <f t="shared" si="2872"/>
        <v>0</v>
      </c>
    </row>
    <row r="946" spans="1:39" ht="15">
      <c r="B946" s="349" t="s">
        <v>340</v>
      </c>
      <c r="C946" s="369"/>
      <c r="D946" s="334"/>
      <c r="E946" s="304"/>
      <c r="F946" s="304"/>
      <c r="G946" s="304"/>
      <c r="H946" s="304"/>
      <c r="I946" s="304"/>
      <c r="J946" s="304"/>
      <c r="K946" s="304"/>
      <c r="L946" s="304"/>
      <c r="M946" s="304"/>
      <c r="N946" s="304"/>
      <c r="O946" s="316"/>
      <c r="P946" s="304"/>
      <c r="Q946" s="304"/>
      <c r="R946" s="304"/>
      <c r="S946" s="334"/>
      <c r="T946" s="334"/>
      <c r="U946" s="334"/>
      <c r="V946" s="334"/>
      <c r="W946" s="304"/>
      <c r="X946" s="304"/>
      <c r="Y946" s="402">
        <f t="shared" ref="Y946:AL946" si="2875">Y586*Y939</f>
        <v>0</v>
      </c>
      <c r="Z946" s="402">
        <f t="shared" si="2875"/>
        <v>0</v>
      </c>
      <c r="AA946" s="402">
        <f t="shared" si="2875"/>
        <v>0</v>
      </c>
      <c r="AB946" s="402">
        <f t="shared" si="2875"/>
        <v>0</v>
      </c>
      <c r="AC946" s="402">
        <f t="shared" si="2875"/>
        <v>0</v>
      </c>
      <c r="AD946" s="402">
        <f t="shared" si="2875"/>
        <v>0</v>
      </c>
      <c r="AE946" s="402">
        <f t="shared" si="2875"/>
        <v>0</v>
      </c>
      <c r="AF946" s="402">
        <f t="shared" si="2875"/>
        <v>0</v>
      </c>
      <c r="AG946" s="402">
        <f t="shared" si="2875"/>
        <v>0</v>
      </c>
      <c r="AH946" s="402">
        <f t="shared" si="2875"/>
        <v>0</v>
      </c>
      <c r="AI946" s="402">
        <f t="shared" si="2875"/>
        <v>0</v>
      </c>
      <c r="AJ946" s="402">
        <f t="shared" si="2875"/>
        <v>0</v>
      </c>
      <c r="AK946" s="402">
        <f t="shared" si="2875"/>
        <v>0</v>
      </c>
      <c r="AL946" s="402">
        <f t="shared" si="2875"/>
        <v>0</v>
      </c>
      <c r="AM946" s="401">
        <f t="shared" si="2872"/>
        <v>0</v>
      </c>
    </row>
    <row r="947" spans="1:39" ht="15">
      <c r="B947" s="349" t="s">
        <v>341</v>
      </c>
      <c r="C947" s="369"/>
      <c r="D947" s="334"/>
      <c r="E947" s="304"/>
      <c r="F947" s="304"/>
      <c r="G947" s="304"/>
      <c r="H947" s="304"/>
      <c r="I947" s="304"/>
      <c r="J947" s="304"/>
      <c r="K947" s="304"/>
      <c r="L947" s="304"/>
      <c r="M947" s="304"/>
      <c r="N947" s="304"/>
      <c r="O947" s="316"/>
      <c r="P947" s="304"/>
      <c r="Q947" s="304"/>
      <c r="R947" s="304"/>
      <c r="S947" s="334"/>
      <c r="T947" s="334"/>
      <c r="U947" s="334"/>
      <c r="V947" s="334"/>
      <c r="W947" s="304"/>
      <c r="X947" s="304"/>
      <c r="Y947" s="402">
        <f t="shared" ref="Y947:AL947" si="2876">Y769*Y939</f>
        <v>0</v>
      </c>
      <c r="Z947" s="402">
        <f t="shared" si="2876"/>
        <v>0</v>
      </c>
      <c r="AA947" s="402">
        <f t="shared" si="2876"/>
        <v>0</v>
      </c>
      <c r="AB947" s="402">
        <f t="shared" si="2876"/>
        <v>0</v>
      </c>
      <c r="AC947" s="402">
        <f t="shared" si="2876"/>
        <v>0</v>
      </c>
      <c r="AD947" s="402">
        <f t="shared" si="2876"/>
        <v>0</v>
      </c>
      <c r="AE947" s="402">
        <f t="shared" si="2876"/>
        <v>0</v>
      </c>
      <c r="AF947" s="402">
        <f t="shared" si="2876"/>
        <v>0</v>
      </c>
      <c r="AG947" s="402">
        <f t="shared" si="2876"/>
        <v>0</v>
      </c>
      <c r="AH947" s="402">
        <f t="shared" si="2876"/>
        <v>0</v>
      </c>
      <c r="AI947" s="402">
        <f t="shared" si="2876"/>
        <v>0</v>
      </c>
      <c r="AJ947" s="402">
        <f t="shared" si="2876"/>
        <v>0</v>
      </c>
      <c r="AK947" s="402">
        <f t="shared" si="2876"/>
        <v>0</v>
      </c>
      <c r="AL947" s="402">
        <f t="shared" si="2876"/>
        <v>0</v>
      </c>
      <c r="AM947" s="401">
        <f t="shared" si="2872"/>
        <v>0</v>
      </c>
    </row>
    <row r="948" spans="1:39" ht="15">
      <c r="B948" s="349" t="s">
        <v>342</v>
      </c>
      <c r="C948" s="369"/>
      <c r="D948" s="334"/>
      <c r="E948" s="304"/>
      <c r="F948" s="304"/>
      <c r="G948" s="304"/>
      <c r="H948" s="304"/>
      <c r="I948" s="304"/>
      <c r="J948" s="304"/>
      <c r="K948" s="304"/>
      <c r="L948" s="304"/>
      <c r="M948" s="304"/>
      <c r="N948" s="304"/>
      <c r="O948" s="316"/>
      <c r="P948" s="304"/>
      <c r="Q948" s="304"/>
      <c r="R948" s="304"/>
      <c r="S948" s="334"/>
      <c r="T948" s="334"/>
      <c r="U948" s="334"/>
      <c r="V948" s="334"/>
      <c r="W948" s="304"/>
      <c r="X948" s="304"/>
      <c r="Y948" s="402">
        <f>Y936*Y939</f>
        <v>0</v>
      </c>
      <c r="Z948" s="402">
        <f t="shared" ref="Z948:AL948" si="2877">Z936*Z939</f>
        <v>0</v>
      </c>
      <c r="AA948" s="402">
        <f t="shared" si="2877"/>
        <v>0</v>
      </c>
      <c r="AB948" s="402">
        <f t="shared" si="2877"/>
        <v>0</v>
      </c>
      <c r="AC948" s="402">
        <f t="shared" si="2877"/>
        <v>0</v>
      </c>
      <c r="AD948" s="402">
        <f t="shared" si="2877"/>
        <v>0</v>
      </c>
      <c r="AE948" s="402">
        <f t="shared" si="2877"/>
        <v>0</v>
      </c>
      <c r="AF948" s="402">
        <f t="shared" si="2877"/>
        <v>0</v>
      </c>
      <c r="AG948" s="402">
        <f t="shared" si="2877"/>
        <v>0</v>
      </c>
      <c r="AH948" s="402">
        <f t="shared" si="2877"/>
        <v>0</v>
      </c>
      <c r="AI948" s="402">
        <f t="shared" si="2877"/>
        <v>0</v>
      </c>
      <c r="AJ948" s="402">
        <f t="shared" si="2877"/>
        <v>0</v>
      </c>
      <c r="AK948" s="402">
        <f t="shared" si="2877"/>
        <v>0</v>
      </c>
      <c r="AL948" s="402">
        <f t="shared" si="2877"/>
        <v>0</v>
      </c>
      <c r="AM948" s="401">
        <f t="shared" si="2872"/>
        <v>0</v>
      </c>
    </row>
    <row r="949" spans="1:39" ht="15.6">
      <c r="B949" s="373" t="s">
        <v>346</v>
      </c>
      <c r="C949" s="369"/>
      <c r="D949" s="360"/>
      <c r="E949" s="358"/>
      <c r="F949" s="358"/>
      <c r="G949" s="358"/>
      <c r="H949" s="358"/>
      <c r="I949" s="358"/>
      <c r="J949" s="358"/>
      <c r="K949" s="358"/>
      <c r="L949" s="358"/>
      <c r="M949" s="358"/>
      <c r="N949" s="358"/>
      <c r="O949" s="325"/>
      <c r="P949" s="358"/>
      <c r="Q949" s="358"/>
      <c r="R949" s="358"/>
      <c r="S949" s="360"/>
      <c r="T949" s="360"/>
      <c r="U949" s="360"/>
      <c r="V949" s="360"/>
      <c r="W949" s="358"/>
      <c r="X949" s="358"/>
      <c r="Y949" s="370">
        <f>SUM(Y940:Y948)</f>
        <v>0</v>
      </c>
      <c r="Z949" s="370">
        <f t="shared" ref="Z949:AE949" si="2878">SUM(Z940:Z948)</f>
        <v>0</v>
      </c>
      <c r="AA949" s="370">
        <f t="shared" si="2878"/>
        <v>0</v>
      </c>
      <c r="AB949" s="370">
        <f t="shared" si="2878"/>
        <v>0</v>
      </c>
      <c r="AC949" s="370">
        <f t="shared" si="2878"/>
        <v>0</v>
      </c>
      <c r="AD949" s="370">
        <f t="shared" si="2878"/>
        <v>0</v>
      </c>
      <c r="AE949" s="370">
        <f t="shared" si="2878"/>
        <v>0</v>
      </c>
      <c r="AF949" s="370">
        <f>SUM(AF940:AF948)</f>
        <v>0</v>
      </c>
      <c r="AG949" s="370">
        <f t="shared" ref="AG949:AL949" si="2879">SUM(AG940:AG948)</f>
        <v>0</v>
      </c>
      <c r="AH949" s="370">
        <f t="shared" si="2879"/>
        <v>0</v>
      </c>
      <c r="AI949" s="370">
        <f t="shared" si="2879"/>
        <v>0</v>
      </c>
      <c r="AJ949" s="370">
        <f t="shared" si="2879"/>
        <v>0</v>
      </c>
      <c r="AK949" s="370">
        <f t="shared" si="2879"/>
        <v>0</v>
      </c>
      <c r="AL949" s="370">
        <f t="shared" si="2879"/>
        <v>0</v>
      </c>
      <c r="AM949" s="372">
        <f>SUM(AM940:AM948)</f>
        <v>0</v>
      </c>
    </row>
    <row r="950" spans="1:39" ht="15.6">
      <c r="B950" s="373" t="s">
        <v>347</v>
      </c>
      <c r="C950" s="369"/>
      <c r="D950" s="374"/>
      <c r="E950" s="358"/>
      <c r="F950" s="358"/>
      <c r="G950" s="358"/>
      <c r="H950" s="358"/>
      <c r="I950" s="358"/>
      <c r="J950" s="358"/>
      <c r="K950" s="358"/>
      <c r="L950" s="358"/>
      <c r="M950" s="358"/>
      <c r="N950" s="358"/>
      <c r="O950" s="325"/>
      <c r="P950" s="358"/>
      <c r="Q950" s="358"/>
      <c r="R950" s="358"/>
      <c r="S950" s="360"/>
      <c r="T950" s="360"/>
      <c r="U950" s="360"/>
      <c r="V950" s="360"/>
      <c r="W950" s="358"/>
      <c r="X950" s="358"/>
      <c r="Y950" s="371">
        <f>Y937*Y939</f>
        <v>0</v>
      </c>
      <c r="Z950" s="371">
        <f t="shared" ref="Z950:AE950" si="2880">Z937*Z939</f>
        <v>0</v>
      </c>
      <c r="AA950" s="371">
        <f t="shared" si="2880"/>
        <v>0</v>
      </c>
      <c r="AB950" s="371">
        <f t="shared" si="2880"/>
        <v>0</v>
      </c>
      <c r="AC950" s="371">
        <f t="shared" si="2880"/>
        <v>0</v>
      </c>
      <c r="AD950" s="371">
        <f t="shared" si="2880"/>
        <v>0</v>
      </c>
      <c r="AE950" s="371">
        <f t="shared" si="2880"/>
        <v>0</v>
      </c>
      <c r="AF950" s="371">
        <f>AF937*AF939</f>
        <v>0</v>
      </c>
      <c r="AG950" s="371">
        <f t="shared" ref="AG950:AL950" si="2881">AG937*AG939</f>
        <v>0</v>
      </c>
      <c r="AH950" s="371">
        <f t="shared" si="2881"/>
        <v>0</v>
      </c>
      <c r="AI950" s="371">
        <f t="shared" si="2881"/>
        <v>0</v>
      </c>
      <c r="AJ950" s="371">
        <f t="shared" si="2881"/>
        <v>0</v>
      </c>
      <c r="AK950" s="371">
        <f t="shared" si="2881"/>
        <v>0</v>
      </c>
      <c r="AL950" s="371">
        <f t="shared" si="2881"/>
        <v>0</v>
      </c>
      <c r="AM950" s="372">
        <f>SUM(Y950:AL950)</f>
        <v>0</v>
      </c>
    </row>
    <row r="951" spans="1:39" ht="15.6">
      <c r="B951" s="373" t="s">
        <v>348</v>
      </c>
      <c r="C951" s="369"/>
      <c r="D951" s="374"/>
      <c r="E951" s="358"/>
      <c r="F951" s="358"/>
      <c r="G951" s="358"/>
      <c r="H951" s="358"/>
      <c r="I951" s="358"/>
      <c r="J951" s="358"/>
      <c r="K951" s="358"/>
      <c r="L951" s="358"/>
      <c r="M951" s="358"/>
      <c r="N951" s="358"/>
      <c r="O951" s="325"/>
      <c r="P951" s="358"/>
      <c r="Q951" s="358"/>
      <c r="R951" s="358"/>
      <c r="S951" s="374"/>
      <c r="T951" s="374"/>
      <c r="U951" s="374"/>
      <c r="V951" s="374"/>
      <c r="W951" s="358"/>
      <c r="X951" s="358"/>
      <c r="Y951" s="375"/>
      <c r="Z951" s="375"/>
      <c r="AA951" s="375"/>
      <c r="AB951" s="375"/>
      <c r="AC951" s="375"/>
      <c r="AD951" s="375"/>
      <c r="AE951" s="375"/>
      <c r="AF951" s="375"/>
      <c r="AG951" s="375"/>
      <c r="AH951" s="375"/>
      <c r="AI951" s="375"/>
      <c r="AJ951" s="375"/>
      <c r="AK951" s="375"/>
      <c r="AL951" s="375"/>
      <c r="AM951" s="372">
        <f>AM949-AM950</f>
        <v>0</v>
      </c>
    </row>
    <row r="952" spans="1:39" ht="15">
      <c r="B952" s="349"/>
      <c r="C952" s="374"/>
      <c r="D952" s="374"/>
      <c r="E952" s="358"/>
      <c r="F952" s="358"/>
      <c r="G952" s="358"/>
      <c r="H952" s="358"/>
      <c r="I952" s="358"/>
      <c r="J952" s="358"/>
      <c r="K952" s="358"/>
      <c r="L952" s="358"/>
      <c r="M952" s="358"/>
      <c r="N952" s="358"/>
      <c r="O952" s="325"/>
      <c r="P952" s="358"/>
      <c r="Q952" s="358"/>
      <c r="R952" s="358"/>
      <c r="S952" s="374"/>
      <c r="T952" s="369"/>
      <c r="U952" s="374"/>
      <c r="V952" s="374"/>
      <c r="W952" s="358"/>
      <c r="X952" s="358"/>
      <c r="Y952" s="376"/>
      <c r="Z952" s="376"/>
      <c r="AA952" s="376"/>
      <c r="AB952" s="376"/>
      <c r="AC952" s="376"/>
      <c r="AD952" s="376"/>
      <c r="AE952" s="376"/>
      <c r="AF952" s="376"/>
      <c r="AG952" s="376"/>
      <c r="AH952" s="376"/>
      <c r="AI952" s="376"/>
      <c r="AJ952" s="376"/>
      <c r="AK952" s="376"/>
      <c r="AL952" s="376"/>
      <c r="AM952" s="361"/>
    </row>
    <row r="953" spans="1:39" ht="15">
      <c r="B953" s="460" t="s">
        <v>343</v>
      </c>
      <c r="C953" s="388"/>
      <c r="D953" s="408"/>
      <c r="E953" s="408"/>
      <c r="F953" s="408"/>
      <c r="G953" s="408"/>
      <c r="H953" s="408"/>
      <c r="I953" s="408"/>
      <c r="J953" s="408"/>
      <c r="K953" s="408"/>
      <c r="L953" s="408"/>
      <c r="M953" s="408"/>
      <c r="N953" s="408"/>
      <c r="O953" s="407"/>
      <c r="P953" s="408"/>
      <c r="Q953" s="408"/>
      <c r="R953" s="408"/>
      <c r="S953" s="388"/>
      <c r="T953" s="409"/>
      <c r="U953" s="409"/>
      <c r="V953" s="408"/>
      <c r="W953" s="408"/>
      <c r="X953" s="409"/>
      <c r="Y953" s="351">
        <f>SUMPRODUCT(E779:E934,Y779:Y934)</f>
        <v>0</v>
      </c>
      <c r="Z953" s="351">
        <f>SUMPRODUCT(E779:E934,Z779:Z934)</f>
        <v>0</v>
      </c>
      <c r="AA953" s="351">
        <f t="shared" ref="AA953:AL953" si="2882">IF(AA777="kw",SUMPRODUCT($N$779:$N$934,$P$779:$P$934,AA779:AA934),SUMPRODUCT($E$779:$E$934,AA779:AA934))</f>
        <v>0</v>
      </c>
      <c r="AB953" s="351">
        <f t="shared" si="2882"/>
        <v>0</v>
      </c>
      <c r="AC953" s="351">
        <f t="shared" si="2882"/>
        <v>0</v>
      </c>
      <c r="AD953" s="351">
        <f t="shared" si="2882"/>
        <v>0</v>
      </c>
      <c r="AE953" s="351">
        <f t="shared" si="2882"/>
        <v>0</v>
      </c>
      <c r="AF953" s="351">
        <f t="shared" si="2882"/>
        <v>0</v>
      </c>
      <c r="AG953" s="351">
        <f t="shared" si="2882"/>
        <v>0</v>
      </c>
      <c r="AH953" s="351">
        <f t="shared" si="2882"/>
        <v>0</v>
      </c>
      <c r="AI953" s="351">
        <f t="shared" si="2882"/>
        <v>0</v>
      </c>
      <c r="AJ953" s="351">
        <f t="shared" si="2882"/>
        <v>0</v>
      </c>
      <c r="AK953" s="351">
        <f t="shared" si="2882"/>
        <v>0</v>
      </c>
      <c r="AL953" s="351">
        <f t="shared" si="2882"/>
        <v>0</v>
      </c>
      <c r="AM953" s="410"/>
    </row>
    <row r="954" spans="1:39" ht="18.75" customHeight="1">
      <c r="B954" s="392" t="s">
        <v>226</v>
      </c>
      <c r="C954" s="411"/>
      <c r="D954" s="412"/>
      <c r="E954" s="412"/>
      <c r="F954" s="412"/>
      <c r="G954" s="412"/>
      <c r="H954" s="412"/>
      <c r="I954" s="412"/>
      <c r="J954" s="412"/>
      <c r="K954" s="412"/>
      <c r="L954" s="412"/>
      <c r="M954" s="412"/>
      <c r="N954" s="412"/>
      <c r="O954" s="412"/>
      <c r="P954" s="412"/>
      <c r="Q954" s="412"/>
      <c r="R954" s="412"/>
      <c r="S954" s="395"/>
      <c r="T954" s="396"/>
      <c r="U954" s="412"/>
      <c r="V954" s="412"/>
      <c r="W954" s="412"/>
      <c r="X954" s="412"/>
      <c r="Y954" s="429"/>
      <c r="Z954" s="429"/>
      <c r="AA954" s="429"/>
      <c r="AB954" s="429"/>
      <c r="AC954" s="429"/>
      <c r="AD954" s="429"/>
      <c r="AE954" s="429"/>
      <c r="AF954" s="429"/>
      <c r="AG954" s="429"/>
      <c r="AH954" s="429"/>
      <c r="AI954" s="429"/>
      <c r="AJ954" s="429"/>
      <c r="AK954" s="429"/>
      <c r="AL954" s="429"/>
      <c r="AM954" s="413"/>
    </row>
    <row r="955" spans="1:39" collapsed="1"/>
    <row r="957" spans="1:39" ht="15.6">
      <c r="B957" s="305" t="s">
        <v>344</v>
      </c>
      <c r="C957" s="306"/>
      <c r="D957" s="619" t="s">
        <v>588</v>
      </c>
      <c r="E957" s="278"/>
      <c r="F957" s="619" t="s">
        <v>599</v>
      </c>
      <c r="G957" s="278"/>
      <c r="H957" s="278"/>
      <c r="I957" s="278"/>
      <c r="J957" s="278"/>
      <c r="K957" s="278"/>
      <c r="L957" s="278"/>
      <c r="M957" s="278"/>
      <c r="N957" s="278"/>
      <c r="O957" s="306"/>
      <c r="P957" s="278"/>
      <c r="Q957" s="278"/>
      <c r="R957" s="278"/>
      <c r="S957" s="278"/>
      <c r="T957" s="278"/>
      <c r="U957" s="278"/>
      <c r="V957" s="278"/>
      <c r="W957" s="278"/>
      <c r="X957" s="278"/>
      <c r="Y957" s="295"/>
      <c r="Z957" s="292"/>
      <c r="AA957" s="292"/>
      <c r="AB957" s="292"/>
      <c r="AC957" s="292"/>
      <c r="AD957" s="292"/>
      <c r="AE957" s="292"/>
      <c r="AF957" s="292"/>
      <c r="AG957" s="292"/>
      <c r="AH957" s="292"/>
      <c r="AI957" s="292"/>
      <c r="AJ957" s="292"/>
      <c r="AK957" s="292"/>
      <c r="AL957" s="292"/>
    </row>
    <row r="958" spans="1:39" ht="39.75" customHeight="1">
      <c r="B958" s="1220" t="s">
        <v>213</v>
      </c>
      <c r="C958" s="1222" t="s">
        <v>33</v>
      </c>
      <c r="D958" s="309" t="s">
        <v>427</v>
      </c>
      <c r="E958" s="1224" t="s">
        <v>211</v>
      </c>
      <c r="F958" s="1225"/>
      <c r="G958" s="1225"/>
      <c r="H958" s="1225"/>
      <c r="I958" s="1225"/>
      <c r="J958" s="1225"/>
      <c r="K958" s="1225"/>
      <c r="L958" s="1225"/>
      <c r="M958" s="1226"/>
      <c r="N958" s="1227" t="s">
        <v>215</v>
      </c>
      <c r="O958" s="309" t="s">
        <v>428</v>
      </c>
      <c r="P958" s="1224" t="s">
        <v>214</v>
      </c>
      <c r="Q958" s="1225"/>
      <c r="R958" s="1225"/>
      <c r="S958" s="1225"/>
      <c r="T958" s="1225"/>
      <c r="U958" s="1225"/>
      <c r="V958" s="1225"/>
      <c r="W958" s="1225"/>
      <c r="X958" s="1226"/>
      <c r="Y958" s="1217" t="s">
        <v>246</v>
      </c>
      <c r="Z958" s="1218"/>
      <c r="AA958" s="1218"/>
      <c r="AB958" s="1218"/>
      <c r="AC958" s="1218"/>
      <c r="AD958" s="1218"/>
      <c r="AE958" s="1218"/>
      <c r="AF958" s="1218"/>
      <c r="AG958" s="1218"/>
      <c r="AH958" s="1218"/>
      <c r="AI958" s="1218"/>
      <c r="AJ958" s="1218"/>
      <c r="AK958" s="1218"/>
      <c r="AL958" s="1218"/>
      <c r="AM958" s="1219"/>
    </row>
    <row r="959" spans="1:39" ht="65.25" customHeight="1">
      <c r="B959" s="1221"/>
      <c r="C959" s="1223"/>
      <c r="D959" s="310">
        <v>2020</v>
      </c>
      <c r="E959" s="310">
        <v>2021</v>
      </c>
      <c r="F959" s="310">
        <v>2022</v>
      </c>
      <c r="G959" s="310">
        <v>2023</v>
      </c>
      <c r="H959" s="310">
        <v>2024</v>
      </c>
      <c r="I959" s="310">
        <v>2025</v>
      </c>
      <c r="J959" s="310">
        <v>2026</v>
      </c>
      <c r="K959" s="310">
        <v>2027</v>
      </c>
      <c r="L959" s="310">
        <v>2028</v>
      </c>
      <c r="M959" s="310">
        <v>2029</v>
      </c>
      <c r="N959" s="1228"/>
      <c r="O959" s="310">
        <v>2020</v>
      </c>
      <c r="P959" s="310">
        <v>2021</v>
      </c>
      <c r="Q959" s="310">
        <v>2022</v>
      </c>
      <c r="R959" s="310">
        <v>2023</v>
      </c>
      <c r="S959" s="310">
        <v>2024</v>
      </c>
      <c r="T959" s="310">
        <v>2025</v>
      </c>
      <c r="U959" s="310">
        <v>2026</v>
      </c>
      <c r="V959" s="310">
        <v>2027</v>
      </c>
      <c r="W959" s="310">
        <v>2028</v>
      </c>
      <c r="X959" s="310">
        <v>2029</v>
      </c>
      <c r="Y959" s="310" t="str">
        <f>'1.  LRAMVA Summary'!D51</f>
        <v>Residential</v>
      </c>
      <c r="Z959" s="310" t="str">
        <f>'1.  LRAMVA Summary'!E51</f>
        <v>GS&lt;50 kW</v>
      </c>
      <c r="AA959" s="310" t="str">
        <f>'1.  LRAMVA Summary'!F51</f>
        <v>GS&gt;50 kW</v>
      </c>
      <c r="AB959" s="310" t="str">
        <f>'1.  LRAMVA Summary'!G51</f>
        <v>Large Use</v>
      </c>
      <c r="AC959" s="310" t="str">
        <f>'1.  LRAMVA Summary'!H51</f>
        <v>Unmetered Scattered Load</v>
      </c>
      <c r="AD959" s="310" t="str">
        <f>'1.  LRAMVA Summary'!I51</f>
        <v>Sentinel Lighting</v>
      </c>
      <c r="AE959" s="310" t="str">
        <f>'1.  LRAMVA Summary'!J51</f>
        <v>Street Lighting</v>
      </c>
      <c r="AF959" s="310" t="str">
        <f>'1.  LRAMVA Summary'!K51</f>
        <v/>
      </c>
      <c r="AG959" s="310" t="str">
        <f>'1.  LRAMVA Summary'!L51</f>
        <v/>
      </c>
      <c r="AH959" s="310" t="str">
        <f>'1.  LRAMVA Summary'!M51</f>
        <v/>
      </c>
      <c r="AI959" s="310" t="str">
        <f>'1.  LRAMVA Summary'!N51</f>
        <v/>
      </c>
      <c r="AJ959" s="310" t="str">
        <f>'1.  LRAMVA Summary'!O51</f>
        <v/>
      </c>
      <c r="AK959" s="310" t="str">
        <f>'1.  LRAMVA Summary'!P51</f>
        <v/>
      </c>
      <c r="AL959" s="310" t="str">
        <f>'1.  LRAMVA Summary'!Q51</f>
        <v/>
      </c>
      <c r="AM959" s="312" t="str">
        <f>'1.  LRAMVA Summary'!R51</f>
        <v>Total</v>
      </c>
    </row>
    <row r="960" spans="1:39" ht="15" customHeight="1">
      <c r="A960" s="560"/>
      <c r="B960" s="547" t="s">
        <v>518</v>
      </c>
      <c r="C960" s="314"/>
      <c r="D960" s="314"/>
      <c r="E960" s="314"/>
      <c r="F960" s="314"/>
      <c r="G960" s="314"/>
      <c r="H960" s="314"/>
      <c r="I960" s="314"/>
      <c r="J960" s="314"/>
      <c r="K960" s="314"/>
      <c r="L960" s="314"/>
      <c r="M960" s="314"/>
      <c r="N960" s="315"/>
      <c r="O960" s="314"/>
      <c r="P960" s="314"/>
      <c r="Q960" s="314"/>
      <c r="R960" s="314"/>
      <c r="S960" s="314"/>
      <c r="T960" s="314"/>
      <c r="U960" s="314"/>
      <c r="V960" s="314"/>
      <c r="W960" s="314"/>
      <c r="X960" s="314"/>
      <c r="Y960" s="316" t="str">
        <f>'1.  LRAMVA Summary'!D52</f>
        <v>kWh</v>
      </c>
      <c r="Z960" s="316" t="str">
        <f>'1.  LRAMVA Summary'!E52</f>
        <v>kWh</v>
      </c>
      <c r="AA960" s="316" t="str">
        <f>'1.  LRAMVA Summary'!F52</f>
        <v>kW</v>
      </c>
      <c r="AB960" s="316" t="str">
        <f>'1.  LRAMVA Summary'!G52</f>
        <v>kW</v>
      </c>
      <c r="AC960" s="316" t="str">
        <f>'1.  LRAMVA Summary'!H52</f>
        <v>kWh</v>
      </c>
      <c r="AD960" s="316" t="str">
        <f>'1.  LRAMVA Summary'!I52</f>
        <v>kW</v>
      </c>
      <c r="AE960" s="316" t="str">
        <f>'1.  LRAMVA Summary'!J52</f>
        <v>kW</v>
      </c>
      <c r="AF960" s="316" t="str">
        <f>'1.  LRAMVA Summary'!K52</f>
        <v/>
      </c>
      <c r="AG960" s="316" t="str">
        <f>'1.  LRAMVA Summary'!L52</f>
        <v/>
      </c>
      <c r="AH960" s="316" t="str">
        <f>'1.  LRAMVA Summary'!M52</f>
        <v/>
      </c>
      <c r="AI960" s="316" t="str">
        <f>'1.  LRAMVA Summary'!N52</f>
        <v/>
      </c>
      <c r="AJ960" s="316" t="str">
        <f>'1.  LRAMVA Summary'!O52</f>
        <v/>
      </c>
      <c r="AK960" s="316" t="str">
        <f>'1.  LRAMVA Summary'!P52</f>
        <v/>
      </c>
      <c r="AL960" s="316" t="str">
        <f>'1.  LRAMVA Summary'!Q52</f>
        <v/>
      </c>
      <c r="AM960" s="317"/>
    </row>
    <row r="961" spans="1:39" ht="15" hidden="1" customHeight="1" outlineLevel="1">
      <c r="A961" s="560"/>
      <c r="B961" s="533" t="s">
        <v>511</v>
      </c>
      <c r="C961" s="314"/>
      <c r="D961" s="314"/>
      <c r="E961" s="314"/>
      <c r="F961" s="314"/>
      <c r="G961" s="314"/>
      <c r="H961" s="314"/>
      <c r="I961" s="314"/>
      <c r="J961" s="314"/>
      <c r="K961" s="314"/>
      <c r="L961" s="314"/>
      <c r="M961" s="314"/>
      <c r="N961" s="315"/>
      <c r="O961" s="314"/>
      <c r="P961" s="314"/>
      <c r="Q961" s="314"/>
      <c r="R961" s="314"/>
      <c r="S961" s="314"/>
      <c r="T961" s="314"/>
      <c r="U961" s="314"/>
      <c r="V961" s="314"/>
      <c r="W961" s="314"/>
      <c r="X961" s="314"/>
      <c r="Y961" s="316"/>
      <c r="Z961" s="316"/>
      <c r="AA961" s="316"/>
      <c r="AB961" s="316"/>
      <c r="AC961" s="316"/>
      <c r="AD961" s="316"/>
      <c r="AE961" s="316"/>
      <c r="AF961" s="316"/>
      <c r="AG961" s="316"/>
      <c r="AH961" s="316"/>
      <c r="AI961" s="316"/>
      <c r="AJ961" s="316"/>
      <c r="AK961" s="316"/>
      <c r="AL961" s="316"/>
      <c r="AM961" s="317"/>
    </row>
    <row r="962" spans="1:39" ht="15" hidden="1" customHeight="1" outlineLevel="1">
      <c r="A962" s="560">
        <v>1</v>
      </c>
      <c r="B962" s="448" t="s">
        <v>95</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883">Z962</f>
        <v>0</v>
      </c>
      <c r="AA963" s="431">
        <f t="shared" ref="AA963" si="2884">AA962</f>
        <v>0</v>
      </c>
      <c r="AB963" s="431">
        <f t="shared" ref="AB963" si="2885">AB962</f>
        <v>0</v>
      </c>
      <c r="AC963" s="431">
        <f t="shared" ref="AC963" si="2886">AC962</f>
        <v>0</v>
      </c>
      <c r="AD963" s="431">
        <f t="shared" ref="AD963" si="2887">AD962</f>
        <v>0</v>
      </c>
      <c r="AE963" s="431">
        <f t="shared" ref="AE963" si="2888">AE962</f>
        <v>0</v>
      </c>
      <c r="AF963" s="431">
        <f t="shared" ref="AF963" si="2889">AF962</f>
        <v>0</v>
      </c>
      <c r="AG963" s="431">
        <f t="shared" ref="AG963" si="2890">AG962</f>
        <v>0</v>
      </c>
      <c r="AH963" s="431">
        <f t="shared" ref="AH963" si="2891">AH962</f>
        <v>0</v>
      </c>
      <c r="AI963" s="431">
        <f t="shared" ref="AI963" si="2892">AI962</f>
        <v>0</v>
      </c>
      <c r="AJ963" s="431">
        <f t="shared" ref="AJ963" si="2893">AJ962</f>
        <v>0</v>
      </c>
      <c r="AK963" s="431">
        <f t="shared" ref="AK963" si="2894">AK962</f>
        <v>0</v>
      </c>
      <c r="AL963" s="431">
        <f t="shared" ref="AL963" si="2895">AL962</f>
        <v>0</v>
      </c>
      <c r="AM963" s="322"/>
    </row>
    <row r="964" spans="1:39" ht="15" hidden="1" customHeight="1" outlineLevel="1">
      <c r="A964" s="560"/>
      <c r="B964" s="323"/>
      <c r="C964" s="324"/>
      <c r="D964" s="324"/>
      <c r="E964" s="324"/>
      <c r="F964" s="324"/>
      <c r="G964" s="324"/>
      <c r="H964" s="324"/>
      <c r="I964" s="324"/>
      <c r="J964" s="324"/>
      <c r="K964" s="324"/>
      <c r="L964" s="324"/>
      <c r="M964" s="324"/>
      <c r="N964" s="325"/>
      <c r="O964" s="324"/>
      <c r="P964" s="324"/>
      <c r="Q964" s="324"/>
      <c r="R964" s="324"/>
      <c r="S964" s="324"/>
      <c r="T964" s="324"/>
      <c r="U964" s="324"/>
      <c r="V964" s="324"/>
      <c r="W964" s="324"/>
      <c r="X964" s="324"/>
      <c r="Y964" s="432"/>
      <c r="Z964" s="433"/>
      <c r="AA964" s="433"/>
      <c r="AB964" s="433"/>
      <c r="AC964" s="433"/>
      <c r="AD964" s="433"/>
      <c r="AE964" s="433"/>
      <c r="AF964" s="433"/>
      <c r="AG964" s="433"/>
      <c r="AH964" s="433"/>
      <c r="AI964" s="433"/>
      <c r="AJ964" s="433"/>
      <c r="AK964" s="433"/>
      <c r="AL964" s="433"/>
      <c r="AM964" s="327"/>
    </row>
    <row r="965" spans="1:39" ht="15" hidden="1" customHeight="1" outlineLevel="1">
      <c r="A965" s="560">
        <v>2</v>
      </c>
      <c r="B965" s="448" t="s">
        <v>96</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896">Z965</f>
        <v>0</v>
      </c>
      <c r="AA966" s="431">
        <f t="shared" ref="AA966" si="2897">AA965</f>
        <v>0</v>
      </c>
      <c r="AB966" s="431">
        <f t="shared" ref="AB966" si="2898">AB965</f>
        <v>0</v>
      </c>
      <c r="AC966" s="431">
        <f t="shared" ref="AC966" si="2899">AC965</f>
        <v>0</v>
      </c>
      <c r="AD966" s="431">
        <f t="shared" ref="AD966" si="2900">AD965</f>
        <v>0</v>
      </c>
      <c r="AE966" s="431">
        <f t="shared" ref="AE966" si="2901">AE965</f>
        <v>0</v>
      </c>
      <c r="AF966" s="431">
        <f t="shared" ref="AF966" si="2902">AF965</f>
        <v>0</v>
      </c>
      <c r="AG966" s="431">
        <f t="shared" ref="AG966" si="2903">AG965</f>
        <v>0</v>
      </c>
      <c r="AH966" s="431">
        <f t="shared" ref="AH966" si="2904">AH965</f>
        <v>0</v>
      </c>
      <c r="AI966" s="431">
        <f t="shared" ref="AI966" si="2905">AI965</f>
        <v>0</v>
      </c>
      <c r="AJ966" s="431">
        <f t="shared" ref="AJ966" si="2906">AJ965</f>
        <v>0</v>
      </c>
      <c r="AK966" s="431">
        <f t="shared" ref="AK966" si="2907">AK965</f>
        <v>0</v>
      </c>
      <c r="AL966" s="431">
        <f t="shared" ref="AL966" si="2908">AL965</f>
        <v>0</v>
      </c>
      <c r="AM966" s="322"/>
    </row>
    <row r="967" spans="1:39" ht="15" hidden="1" customHeight="1" outlineLevel="1">
      <c r="A967" s="560"/>
      <c r="B967" s="323"/>
      <c r="C967" s="324"/>
      <c r="D967" s="329"/>
      <c r="E967" s="329"/>
      <c r="F967" s="329"/>
      <c r="G967" s="329"/>
      <c r="H967" s="329"/>
      <c r="I967" s="329"/>
      <c r="J967" s="329"/>
      <c r="K967" s="329"/>
      <c r="L967" s="329"/>
      <c r="M967" s="329"/>
      <c r="N967" s="325"/>
      <c r="O967" s="329"/>
      <c r="P967" s="329"/>
      <c r="Q967" s="329"/>
      <c r="R967" s="329"/>
      <c r="S967" s="329"/>
      <c r="T967" s="329"/>
      <c r="U967" s="329"/>
      <c r="V967" s="329"/>
      <c r="W967" s="329"/>
      <c r="X967" s="329"/>
      <c r="Y967" s="432"/>
      <c r="Z967" s="433"/>
      <c r="AA967" s="433"/>
      <c r="AB967" s="433"/>
      <c r="AC967" s="433"/>
      <c r="AD967" s="433"/>
      <c r="AE967" s="433"/>
      <c r="AF967" s="433"/>
      <c r="AG967" s="433"/>
      <c r="AH967" s="433"/>
      <c r="AI967" s="433"/>
      <c r="AJ967" s="433"/>
      <c r="AK967" s="433"/>
      <c r="AL967" s="433"/>
      <c r="AM967" s="327"/>
    </row>
    <row r="968" spans="1:39" ht="15" hidden="1" customHeight="1" outlineLevel="1">
      <c r="A968" s="560">
        <v>3</v>
      </c>
      <c r="B968" s="448" t="s">
        <v>97</v>
      </c>
      <c r="C968" s="316" t="s">
        <v>25</v>
      </c>
      <c r="D968" s="320"/>
      <c r="E968" s="320"/>
      <c r="F968" s="320"/>
      <c r="G968" s="320"/>
      <c r="H968" s="320"/>
      <c r="I968" s="320"/>
      <c r="J968" s="320"/>
      <c r="K968" s="320"/>
      <c r="L968" s="320"/>
      <c r="M968" s="320"/>
      <c r="N968" s="316"/>
      <c r="O968" s="320"/>
      <c r="P968" s="320"/>
      <c r="Q968" s="320"/>
      <c r="R968" s="320"/>
      <c r="S968" s="320"/>
      <c r="T968" s="320"/>
      <c r="U968" s="320"/>
      <c r="V968" s="320"/>
      <c r="W968" s="320"/>
      <c r="X968" s="320"/>
      <c r="Y968" s="435"/>
      <c r="Z968" s="435"/>
      <c r="AA968" s="435"/>
      <c r="AB968" s="435"/>
      <c r="AC968" s="435"/>
      <c r="AD968" s="435"/>
      <c r="AE968" s="435"/>
      <c r="AF968" s="430"/>
      <c r="AG968" s="430"/>
      <c r="AH968" s="430"/>
      <c r="AI968" s="430"/>
      <c r="AJ968" s="430"/>
      <c r="AK968" s="430"/>
      <c r="AL968" s="430"/>
      <c r="AM968" s="321">
        <f>SUM(Y968:AL968)</f>
        <v>0</v>
      </c>
    </row>
    <row r="969" spans="1:39" ht="15" hidden="1" customHeight="1" outlineLevel="1">
      <c r="A969" s="560"/>
      <c r="B969" s="319" t="s">
        <v>349</v>
      </c>
      <c r="C969" s="316" t="s">
        <v>164</v>
      </c>
      <c r="D969" s="320"/>
      <c r="E969" s="320"/>
      <c r="F969" s="320"/>
      <c r="G969" s="320"/>
      <c r="H969" s="320"/>
      <c r="I969" s="320"/>
      <c r="J969" s="320"/>
      <c r="K969" s="320"/>
      <c r="L969" s="320"/>
      <c r="M969" s="320"/>
      <c r="N969" s="488"/>
      <c r="O969" s="320"/>
      <c r="P969" s="320"/>
      <c r="Q969" s="320"/>
      <c r="R969" s="320"/>
      <c r="S969" s="320"/>
      <c r="T969" s="320"/>
      <c r="U969" s="320"/>
      <c r="V969" s="320"/>
      <c r="W969" s="320"/>
      <c r="X969" s="320"/>
      <c r="Y969" s="431">
        <f>Y968</f>
        <v>0</v>
      </c>
      <c r="Z969" s="431">
        <f t="shared" ref="Z969" si="2909">Z968</f>
        <v>0</v>
      </c>
      <c r="AA969" s="431">
        <f t="shared" ref="AA969" si="2910">AA968</f>
        <v>0</v>
      </c>
      <c r="AB969" s="431">
        <f t="shared" ref="AB969" si="2911">AB968</f>
        <v>0</v>
      </c>
      <c r="AC969" s="431">
        <f t="shared" ref="AC969" si="2912">AC968</f>
        <v>0</v>
      </c>
      <c r="AD969" s="431">
        <f t="shared" ref="AD969" si="2913">AD968</f>
        <v>0</v>
      </c>
      <c r="AE969" s="431">
        <f t="shared" ref="AE969" si="2914">AE968</f>
        <v>0</v>
      </c>
      <c r="AF969" s="431">
        <f t="shared" ref="AF969" si="2915">AF968</f>
        <v>0</v>
      </c>
      <c r="AG969" s="431">
        <f t="shared" ref="AG969" si="2916">AG968</f>
        <v>0</v>
      </c>
      <c r="AH969" s="431">
        <f t="shared" ref="AH969" si="2917">AH968</f>
        <v>0</v>
      </c>
      <c r="AI969" s="431">
        <f t="shared" ref="AI969" si="2918">AI968</f>
        <v>0</v>
      </c>
      <c r="AJ969" s="431">
        <f t="shared" ref="AJ969" si="2919">AJ968</f>
        <v>0</v>
      </c>
      <c r="AK969" s="431">
        <f t="shared" ref="AK969" si="2920">AK968</f>
        <v>0</v>
      </c>
      <c r="AL969" s="431">
        <f t="shared" ref="AL969" si="2921">AL968</f>
        <v>0</v>
      </c>
      <c r="AM969" s="322"/>
    </row>
    <row r="970" spans="1:39" ht="15" hidden="1" customHeight="1" outlineLevel="1">
      <c r="A970" s="560"/>
      <c r="B970" s="319"/>
      <c r="C970" s="330"/>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432"/>
      <c r="Z970" s="432"/>
      <c r="AA970" s="432"/>
      <c r="AB970" s="432"/>
      <c r="AC970" s="432"/>
      <c r="AD970" s="432"/>
      <c r="AE970" s="432"/>
      <c r="AF970" s="432"/>
      <c r="AG970" s="432"/>
      <c r="AH970" s="432"/>
      <c r="AI970" s="432"/>
      <c r="AJ970" s="432"/>
      <c r="AK970" s="432"/>
      <c r="AL970" s="432"/>
      <c r="AM970" s="331"/>
    </row>
    <row r="971" spans="1:39" ht="15" hidden="1" customHeight="1" outlineLevel="1">
      <c r="A971" s="560">
        <v>4</v>
      </c>
      <c r="B971" s="448" t="s">
        <v>98</v>
      </c>
      <c r="C971" s="316" t="s">
        <v>25</v>
      </c>
      <c r="D971" s="320"/>
      <c r="E971" s="320"/>
      <c r="F971" s="320"/>
      <c r="G971" s="320"/>
      <c r="H971" s="320"/>
      <c r="I971" s="320"/>
      <c r="J971" s="320"/>
      <c r="K971" s="320"/>
      <c r="L971" s="320"/>
      <c r="M971" s="320"/>
      <c r="N971" s="316"/>
      <c r="O971" s="320"/>
      <c r="P971" s="320"/>
      <c r="Q971" s="320"/>
      <c r="R971" s="320"/>
      <c r="S971" s="320"/>
      <c r="T971" s="320"/>
      <c r="U971" s="320"/>
      <c r="V971" s="320"/>
      <c r="W971" s="320"/>
      <c r="X971" s="320"/>
      <c r="Y971" s="435"/>
      <c r="Z971" s="435"/>
      <c r="AA971" s="435"/>
      <c r="AB971" s="435"/>
      <c r="AC971" s="435"/>
      <c r="AD971" s="435"/>
      <c r="AE971" s="435"/>
      <c r="AF971" s="430"/>
      <c r="AG971" s="430"/>
      <c r="AH971" s="430"/>
      <c r="AI971" s="430"/>
      <c r="AJ971" s="430"/>
      <c r="AK971" s="430"/>
      <c r="AL971" s="430"/>
      <c r="AM971" s="321">
        <f>SUM(Y971:AL971)</f>
        <v>0</v>
      </c>
    </row>
    <row r="972" spans="1:39" ht="15" hidden="1" customHeight="1" outlineLevel="1">
      <c r="A972" s="560"/>
      <c r="B972" s="319" t="s">
        <v>349</v>
      </c>
      <c r="C972" s="316" t="s">
        <v>164</v>
      </c>
      <c r="D972" s="320"/>
      <c r="E972" s="320"/>
      <c r="F972" s="320"/>
      <c r="G972" s="320"/>
      <c r="H972" s="320"/>
      <c r="I972" s="320"/>
      <c r="J972" s="320"/>
      <c r="K972" s="320"/>
      <c r="L972" s="320"/>
      <c r="M972" s="320"/>
      <c r="N972" s="488"/>
      <c r="O972" s="320"/>
      <c r="P972" s="320"/>
      <c r="Q972" s="320"/>
      <c r="R972" s="320"/>
      <c r="S972" s="320"/>
      <c r="T972" s="320"/>
      <c r="U972" s="320"/>
      <c r="V972" s="320"/>
      <c r="W972" s="320"/>
      <c r="X972" s="320"/>
      <c r="Y972" s="431">
        <f>Y971</f>
        <v>0</v>
      </c>
      <c r="Z972" s="431">
        <f t="shared" ref="Z972" si="2922">Z971</f>
        <v>0</v>
      </c>
      <c r="AA972" s="431">
        <f t="shared" ref="AA972" si="2923">AA971</f>
        <v>0</v>
      </c>
      <c r="AB972" s="431">
        <f t="shared" ref="AB972" si="2924">AB971</f>
        <v>0</v>
      </c>
      <c r="AC972" s="431">
        <f t="shared" ref="AC972" si="2925">AC971</f>
        <v>0</v>
      </c>
      <c r="AD972" s="431">
        <f t="shared" ref="AD972" si="2926">AD971</f>
        <v>0</v>
      </c>
      <c r="AE972" s="431">
        <f t="shared" ref="AE972" si="2927">AE971</f>
        <v>0</v>
      </c>
      <c r="AF972" s="431">
        <f t="shared" ref="AF972" si="2928">AF971</f>
        <v>0</v>
      </c>
      <c r="AG972" s="431">
        <f t="shared" ref="AG972" si="2929">AG971</f>
        <v>0</v>
      </c>
      <c r="AH972" s="431">
        <f t="shared" ref="AH972" si="2930">AH971</f>
        <v>0</v>
      </c>
      <c r="AI972" s="431">
        <f t="shared" ref="AI972" si="2931">AI971</f>
        <v>0</v>
      </c>
      <c r="AJ972" s="431">
        <f t="shared" ref="AJ972" si="2932">AJ971</f>
        <v>0</v>
      </c>
      <c r="AK972" s="431">
        <f t="shared" ref="AK972" si="2933">AK971</f>
        <v>0</v>
      </c>
      <c r="AL972" s="431">
        <f t="shared" ref="AL972" si="2934">AL971</f>
        <v>0</v>
      </c>
      <c r="AM972" s="322"/>
    </row>
    <row r="973" spans="1:39" ht="15" hidden="1" customHeight="1" outlineLevel="1">
      <c r="A973" s="560"/>
      <c r="B973" s="319"/>
      <c r="C973" s="330"/>
      <c r="D973" s="329"/>
      <c r="E973" s="329"/>
      <c r="F973" s="329"/>
      <c r="G973" s="329"/>
      <c r="H973" s="329"/>
      <c r="I973" s="329"/>
      <c r="J973" s="329"/>
      <c r="K973" s="329"/>
      <c r="L973" s="329"/>
      <c r="M973" s="329"/>
      <c r="N973" s="316"/>
      <c r="O973" s="329"/>
      <c r="P973" s="329"/>
      <c r="Q973" s="329"/>
      <c r="R973" s="329"/>
      <c r="S973" s="329"/>
      <c r="T973" s="329"/>
      <c r="U973" s="329"/>
      <c r="V973" s="329"/>
      <c r="W973" s="329"/>
      <c r="X973" s="329"/>
      <c r="Y973" s="432"/>
      <c r="Z973" s="432"/>
      <c r="AA973" s="432"/>
      <c r="AB973" s="432"/>
      <c r="AC973" s="432"/>
      <c r="AD973" s="432"/>
      <c r="AE973" s="432"/>
      <c r="AF973" s="432"/>
      <c r="AG973" s="432"/>
      <c r="AH973" s="432"/>
      <c r="AI973" s="432"/>
      <c r="AJ973" s="432"/>
      <c r="AK973" s="432"/>
      <c r="AL973" s="432"/>
      <c r="AM973" s="331"/>
    </row>
    <row r="974" spans="1:39" ht="15" hidden="1" customHeight="1" outlineLevel="1">
      <c r="A974" s="560">
        <v>5</v>
      </c>
      <c r="B974" s="448" t="s">
        <v>99</v>
      </c>
      <c r="C974" s="316" t="s">
        <v>25</v>
      </c>
      <c r="D974" s="320"/>
      <c r="E974" s="320"/>
      <c r="F974" s="320"/>
      <c r="G974" s="320"/>
      <c r="H974" s="320"/>
      <c r="I974" s="320"/>
      <c r="J974" s="320"/>
      <c r="K974" s="320"/>
      <c r="L974" s="320"/>
      <c r="M974" s="320"/>
      <c r="N974" s="316"/>
      <c r="O974" s="320"/>
      <c r="P974" s="320"/>
      <c r="Q974" s="320"/>
      <c r="R974" s="320"/>
      <c r="S974" s="320"/>
      <c r="T974" s="320"/>
      <c r="U974" s="320"/>
      <c r="V974" s="320"/>
      <c r="W974" s="320"/>
      <c r="X974" s="320"/>
      <c r="Y974" s="435"/>
      <c r="Z974" s="435"/>
      <c r="AA974" s="435"/>
      <c r="AB974" s="435"/>
      <c r="AC974" s="435"/>
      <c r="AD974" s="435"/>
      <c r="AE974" s="435"/>
      <c r="AF974" s="430"/>
      <c r="AG974" s="430"/>
      <c r="AH974" s="430"/>
      <c r="AI974" s="430"/>
      <c r="AJ974" s="430"/>
      <c r="AK974" s="430"/>
      <c r="AL974" s="430"/>
      <c r="AM974" s="321">
        <f>SUM(Y974:AL974)</f>
        <v>0</v>
      </c>
    </row>
    <row r="975" spans="1:39" ht="15" hidden="1" customHeight="1" outlineLevel="1">
      <c r="A975" s="560"/>
      <c r="B975" s="319" t="s">
        <v>349</v>
      </c>
      <c r="C975" s="316" t="s">
        <v>164</v>
      </c>
      <c r="D975" s="320"/>
      <c r="E975" s="320"/>
      <c r="F975" s="320"/>
      <c r="G975" s="320"/>
      <c r="H975" s="320"/>
      <c r="I975" s="320"/>
      <c r="J975" s="320"/>
      <c r="K975" s="320"/>
      <c r="L975" s="320"/>
      <c r="M975" s="320"/>
      <c r="N975" s="488"/>
      <c r="O975" s="320"/>
      <c r="P975" s="320"/>
      <c r="Q975" s="320"/>
      <c r="R975" s="320"/>
      <c r="S975" s="320"/>
      <c r="T975" s="320"/>
      <c r="U975" s="320"/>
      <c r="V975" s="320"/>
      <c r="W975" s="320"/>
      <c r="X975" s="320"/>
      <c r="Y975" s="431">
        <f>Y974</f>
        <v>0</v>
      </c>
      <c r="Z975" s="431">
        <f t="shared" ref="Z975" si="2935">Z974</f>
        <v>0</v>
      </c>
      <c r="AA975" s="431">
        <f t="shared" ref="AA975" si="2936">AA974</f>
        <v>0</v>
      </c>
      <c r="AB975" s="431">
        <f t="shared" ref="AB975" si="2937">AB974</f>
        <v>0</v>
      </c>
      <c r="AC975" s="431">
        <f t="shared" ref="AC975" si="2938">AC974</f>
        <v>0</v>
      </c>
      <c r="AD975" s="431">
        <f t="shared" ref="AD975" si="2939">AD974</f>
        <v>0</v>
      </c>
      <c r="AE975" s="431">
        <f t="shared" ref="AE975" si="2940">AE974</f>
        <v>0</v>
      </c>
      <c r="AF975" s="431">
        <f t="shared" ref="AF975" si="2941">AF974</f>
        <v>0</v>
      </c>
      <c r="AG975" s="431">
        <f t="shared" ref="AG975" si="2942">AG974</f>
        <v>0</v>
      </c>
      <c r="AH975" s="431">
        <f t="shared" ref="AH975" si="2943">AH974</f>
        <v>0</v>
      </c>
      <c r="AI975" s="431">
        <f t="shared" ref="AI975" si="2944">AI974</f>
        <v>0</v>
      </c>
      <c r="AJ975" s="431">
        <f t="shared" ref="AJ975" si="2945">AJ974</f>
        <v>0</v>
      </c>
      <c r="AK975" s="431">
        <f t="shared" ref="AK975" si="2946">AK974</f>
        <v>0</v>
      </c>
      <c r="AL975" s="431">
        <f t="shared" ref="AL975" si="2947">AL974</f>
        <v>0</v>
      </c>
      <c r="AM975" s="322"/>
    </row>
    <row r="976" spans="1:39" ht="15" hidden="1" customHeight="1" outlineLevel="1">
      <c r="A976" s="560"/>
      <c r="B976" s="319"/>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442"/>
      <c r="Z976" s="443"/>
      <c r="AA976" s="443"/>
      <c r="AB976" s="443"/>
      <c r="AC976" s="443"/>
      <c r="AD976" s="443"/>
      <c r="AE976" s="443"/>
      <c r="AF976" s="443"/>
      <c r="AG976" s="443"/>
      <c r="AH976" s="443"/>
      <c r="AI976" s="443"/>
      <c r="AJ976" s="443"/>
      <c r="AK976" s="443"/>
      <c r="AL976" s="443"/>
      <c r="AM976" s="322"/>
    </row>
    <row r="977" spans="1:39" ht="15.6" hidden="1" outlineLevel="1">
      <c r="A977" s="560"/>
      <c r="B977" s="344" t="s">
        <v>512</v>
      </c>
      <c r="C977" s="314"/>
      <c r="D977" s="314"/>
      <c r="E977" s="314"/>
      <c r="F977" s="314"/>
      <c r="G977" s="314"/>
      <c r="H977" s="314"/>
      <c r="I977" s="314"/>
      <c r="J977" s="314"/>
      <c r="K977" s="314"/>
      <c r="L977" s="314"/>
      <c r="M977" s="314"/>
      <c r="N977" s="315"/>
      <c r="O977" s="314"/>
      <c r="P977" s="314"/>
      <c r="Q977" s="314"/>
      <c r="R977" s="314"/>
      <c r="S977" s="314"/>
      <c r="T977" s="314"/>
      <c r="U977" s="314"/>
      <c r="V977" s="314"/>
      <c r="W977" s="314"/>
      <c r="X977" s="314"/>
      <c r="Y977" s="434"/>
      <c r="Z977" s="434"/>
      <c r="AA977" s="434"/>
      <c r="AB977" s="434"/>
      <c r="AC977" s="434"/>
      <c r="AD977" s="434"/>
      <c r="AE977" s="434"/>
      <c r="AF977" s="434"/>
      <c r="AG977" s="434"/>
      <c r="AH977" s="434"/>
      <c r="AI977" s="434"/>
      <c r="AJ977" s="434"/>
      <c r="AK977" s="434"/>
      <c r="AL977" s="434"/>
      <c r="AM977" s="317"/>
    </row>
    <row r="978" spans="1:39" ht="15" hidden="1" customHeight="1" outlineLevel="1">
      <c r="A978" s="560">
        <v>6</v>
      </c>
      <c r="B978" s="448" t="s">
        <v>100</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48">Z978</f>
        <v>0</v>
      </c>
      <c r="AA979" s="431">
        <f t="shared" ref="AA979" si="2949">AA978</f>
        <v>0</v>
      </c>
      <c r="AB979" s="431">
        <f t="shared" ref="AB979" si="2950">AB978</f>
        <v>0</v>
      </c>
      <c r="AC979" s="431">
        <f t="shared" ref="AC979" si="2951">AC978</f>
        <v>0</v>
      </c>
      <c r="AD979" s="431">
        <f t="shared" ref="AD979" si="2952">AD978</f>
        <v>0</v>
      </c>
      <c r="AE979" s="431">
        <f t="shared" ref="AE979" si="2953">AE978</f>
        <v>0</v>
      </c>
      <c r="AF979" s="431">
        <f t="shared" ref="AF979" si="2954">AF978</f>
        <v>0</v>
      </c>
      <c r="AG979" s="431">
        <f t="shared" ref="AG979" si="2955">AG978</f>
        <v>0</v>
      </c>
      <c r="AH979" s="431">
        <f t="shared" ref="AH979" si="2956">AH978</f>
        <v>0</v>
      </c>
      <c r="AI979" s="431">
        <f t="shared" ref="AI979" si="2957">AI978</f>
        <v>0</v>
      </c>
      <c r="AJ979" s="431">
        <f t="shared" ref="AJ979" si="2958">AJ978</f>
        <v>0</v>
      </c>
      <c r="AK979" s="431">
        <f t="shared" ref="AK979" si="2959">AK978</f>
        <v>0</v>
      </c>
      <c r="AL979" s="431">
        <f t="shared" ref="AL979" si="2960">AL978</f>
        <v>0</v>
      </c>
      <c r="AM979" s="336"/>
    </row>
    <row r="980" spans="1:39" ht="15" hidden="1" customHeight="1" outlineLevel="1">
      <c r="A980" s="560"/>
      <c r="B980" s="335"/>
      <c r="C980" s="337"/>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7</v>
      </c>
      <c r="B981" s="448" t="s">
        <v>101</v>
      </c>
      <c r="C981" s="316" t="s">
        <v>25</v>
      </c>
      <c r="D981" s="320"/>
      <c r="E981" s="320"/>
      <c r="F981" s="320"/>
      <c r="G981" s="320"/>
      <c r="H981" s="320"/>
      <c r="I981" s="320"/>
      <c r="J981" s="320"/>
      <c r="K981" s="320"/>
      <c r="L981" s="320"/>
      <c r="M981" s="320"/>
      <c r="N981" s="320">
        <v>12</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12</v>
      </c>
      <c r="O982" s="320"/>
      <c r="P982" s="320"/>
      <c r="Q982" s="320"/>
      <c r="R982" s="320"/>
      <c r="S982" s="320"/>
      <c r="T982" s="320"/>
      <c r="U982" s="320"/>
      <c r="V982" s="320"/>
      <c r="W982" s="320"/>
      <c r="X982" s="320"/>
      <c r="Y982" s="431">
        <f>Y981</f>
        <v>0</v>
      </c>
      <c r="Z982" s="431">
        <f t="shared" ref="Z982" si="2961">Z981</f>
        <v>0</v>
      </c>
      <c r="AA982" s="431">
        <f t="shared" ref="AA982" si="2962">AA981</f>
        <v>0</v>
      </c>
      <c r="AB982" s="431">
        <f t="shared" ref="AB982" si="2963">AB981</f>
        <v>0</v>
      </c>
      <c r="AC982" s="431">
        <f t="shared" ref="AC982" si="2964">AC981</f>
        <v>0</v>
      </c>
      <c r="AD982" s="431">
        <f t="shared" ref="AD982" si="2965">AD981</f>
        <v>0</v>
      </c>
      <c r="AE982" s="431">
        <f t="shared" ref="AE982" si="2966">AE981</f>
        <v>0</v>
      </c>
      <c r="AF982" s="431">
        <f t="shared" ref="AF982" si="2967">AF981</f>
        <v>0</v>
      </c>
      <c r="AG982" s="431">
        <f t="shared" ref="AG982" si="2968">AG981</f>
        <v>0</v>
      </c>
      <c r="AH982" s="431">
        <f t="shared" ref="AH982" si="2969">AH981</f>
        <v>0</v>
      </c>
      <c r="AI982" s="431">
        <f t="shared" ref="AI982" si="2970">AI981</f>
        <v>0</v>
      </c>
      <c r="AJ982" s="431">
        <f t="shared" ref="AJ982" si="2971">AJ981</f>
        <v>0</v>
      </c>
      <c r="AK982" s="431">
        <f t="shared" ref="AK982" si="2972">AK981</f>
        <v>0</v>
      </c>
      <c r="AL982" s="431">
        <f t="shared" ref="AL982" si="2973">AL981</f>
        <v>0</v>
      </c>
      <c r="AM982" s="336"/>
    </row>
    <row r="983" spans="1:39" ht="15" hidden="1" customHeight="1" outlineLevel="1">
      <c r="A983" s="560"/>
      <c r="B983" s="339"/>
      <c r="C983" s="337"/>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v>8</v>
      </c>
      <c r="B984" s="448" t="s">
        <v>102</v>
      </c>
      <c r="C984" s="316" t="s">
        <v>25</v>
      </c>
      <c r="D984" s="320"/>
      <c r="E984" s="320"/>
      <c r="F984" s="320"/>
      <c r="G984" s="320"/>
      <c r="H984" s="320"/>
      <c r="I984" s="320"/>
      <c r="J984" s="320"/>
      <c r="K984" s="320"/>
      <c r="L984" s="320"/>
      <c r="M984" s="320"/>
      <c r="N984" s="320">
        <v>12</v>
      </c>
      <c r="O984" s="320"/>
      <c r="P984" s="320"/>
      <c r="Q984" s="320"/>
      <c r="R984" s="320"/>
      <c r="S984" s="320"/>
      <c r="T984" s="320"/>
      <c r="U984" s="320"/>
      <c r="V984" s="320"/>
      <c r="W984" s="320"/>
      <c r="X984" s="320"/>
      <c r="Y984" s="435"/>
      <c r="Z984" s="435"/>
      <c r="AA984" s="435"/>
      <c r="AB984" s="435"/>
      <c r="AC984" s="435"/>
      <c r="AD984" s="435"/>
      <c r="AE984" s="435"/>
      <c r="AF984" s="435"/>
      <c r="AG984" s="435"/>
      <c r="AH984" s="435"/>
      <c r="AI984" s="435"/>
      <c r="AJ984" s="435"/>
      <c r="AK984" s="435"/>
      <c r="AL984" s="435"/>
      <c r="AM984" s="321">
        <f>SUM(Y984:AL984)</f>
        <v>0</v>
      </c>
    </row>
    <row r="985" spans="1:39" ht="15" hidden="1" customHeight="1" outlineLevel="1">
      <c r="A985" s="560"/>
      <c r="B985" s="319" t="s">
        <v>349</v>
      </c>
      <c r="C985" s="316" t="s">
        <v>164</v>
      </c>
      <c r="D985" s="320"/>
      <c r="E985" s="320"/>
      <c r="F985" s="320"/>
      <c r="G985" s="320"/>
      <c r="H985" s="320"/>
      <c r="I985" s="320"/>
      <c r="J985" s="320"/>
      <c r="K985" s="320"/>
      <c r="L985" s="320"/>
      <c r="M985" s="320"/>
      <c r="N985" s="320">
        <f>N984</f>
        <v>12</v>
      </c>
      <c r="O985" s="320"/>
      <c r="P985" s="320"/>
      <c r="Q985" s="320"/>
      <c r="R985" s="320"/>
      <c r="S985" s="320"/>
      <c r="T985" s="320"/>
      <c r="U985" s="320"/>
      <c r="V985" s="320"/>
      <c r="W985" s="320"/>
      <c r="X985" s="320"/>
      <c r="Y985" s="431">
        <f>Y984</f>
        <v>0</v>
      </c>
      <c r="Z985" s="431">
        <f t="shared" ref="Z985" si="2974">Z984</f>
        <v>0</v>
      </c>
      <c r="AA985" s="431">
        <f t="shared" ref="AA985" si="2975">AA984</f>
        <v>0</v>
      </c>
      <c r="AB985" s="431">
        <f t="shared" ref="AB985" si="2976">AB984</f>
        <v>0</v>
      </c>
      <c r="AC985" s="431">
        <f t="shared" ref="AC985" si="2977">AC984</f>
        <v>0</v>
      </c>
      <c r="AD985" s="431">
        <f t="shared" ref="AD985" si="2978">AD984</f>
        <v>0</v>
      </c>
      <c r="AE985" s="431">
        <f t="shared" ref="AE985" si="2979">AE984</f>
        <v>0</v>
      </c>
      <c r="AF985" s="431">
        <f t="shared" ref="AF985" si="2980">AF984</f>
        <v>0</v>
      </c>
      <c r="AG985" s="431">
        <f t="shared" ref="AG985" si="2981">AG984</f>
        <v>0</v>
      </c>
      <c r="AH985" s="431">
        <f t="shared" ref="AH985" si="2982">AH984</f>
        <v>0</v>
      </c>
      <c r="AI985" s="431">
        <f t="shared" ref="AI985" si="2983">AI984</f>
        <v>0</v>
      </c>
      <c r="AJ985" s="431">
        <f t="shared" ref="AJ985" si="2984">AJ984</f>
        <v>0</v>
      </c>
      <c r="AK985" s="431">
        <f t="shared" ref="AK985" si="2985">AK984</f>
        <v>0</v>
      </c>
      <c r="AL985" s="431">
        <f t="shared" ref="AL985" si="2986">AL984</f>
        <v>0</v>
      </c>
      <c r="AM985" s="336"/>
    </row>
    <row r="986" spans="1:39" ht="15" hidden="1" customHeight="1" outlineLevel="1">
      <c r="A986" s="560"/>
      <c r="B986" s="339"/>
      <c r="C986" s="337"/>
      <c r="D986" s="341"/>
      <c r="E986" s="341"/>
      <c r="F986" s="341"/>
      <c r="G986" s="341"/>
      <c r="H986" s="341"/>
      <c r="I986" s="341"/>
      <c r="J986" s="341"/>
      <c r="K986" s="341"/>
      <c r="L986" s="341"/>
      <c r="M986" s="341"/>
      <c r="N986" s="316"/>
      <c r="O986" s="341"/>
      <c r="P986" s="341"/>
      <c r="Q986" s="341"/>
      <c r="R986" s="341"/>
      <c r="S986" s="341"/>
      <c r="T986" s="341"/>
      <c r="U986" s="341"/>
      <c r="V986" s="341"/>
      <c r="W986" s="341"/>
      <c r="X986" s="341"/>
      <c r="Y986" s="436"/>
      <c r="Z986" s="437"/>
      <c r="AA986" s="436"/>
      <c r="AB986" s="436"/>
      <c r="AC986" s="436"/>
      <c r="AD986" s="436"/>
      <c r="AE986" s="436"/>
      <c r="AF986" s="436"/>
      <c r="AG986" s="436"/>
      <c r="AH986" s="436"/>
      <c r="AI986" s="436"/>
      <c r="AJ986" s="436"/>
      <c r="AK986" s="436"/>
      <c r="AL986" s="436"/>
      <c r="AM986" s="338"/>
    </row>
    <row r="987" spans="1:39" ht="15" hidden="1" customHeight="1" outlineLevel="1">
      <c r="A987" s="560">
        <v>9</v>
      </c>
      <c r="B987" s="448" t="s">
        <v>103</v>
      </c>
      <c r="C987" s="316" t="s">
        <v>25</v>
      </c>
      <c r="D987" s="320"/>
      <c r="E987" s="320"/>
      <c r="F987" s="320"/>
      <c r="G987" s="320"/>
      <c r="H987" s="320"/>
      <c r="I987" s="320"/>
      <c r="J987" s="320"/>
      <c r="K987" s="320"/>
      <c r="L987" s="320"/>
      <c r="M987" s="320"/>
      <c r="N987" s="320">
        <v>12</v>
      </c>
      <c r="O987" s="320"/>
      <c r="P987" s="320"/>
      <c r="Q987" s="320"/>
      <c r="R987" s="320"/>
      <c r="S987" s="320"/>
      <c r="T987" s="320"/>
      <c r="U987" s="320"/>
      <c r="V987" s="320"/>
      <c r="W987" s="320"/>
      <c r="X987" s="320"/>
      <c r="Y987" s="435"/>
      <c r="Z987" s="435"/>
      <c r="AA987" s="435"/>
      <c r="AB987" s="435"/>
      <c r="AC987" s="435"/>
      <c r="AD987" s="435"/>
      <c r="AE987" s="435"/>
      <c r="AF987" s="435"/>
      <c r="AG987" s="435"/>
      <c r="AH987" s="435"/>
      <c r="AI987" s="435"/>
      <c r="AJ987" s="435"/>
      <c r="AK987" s="435"/>
      <c r="AL987" s="435"/>
      <c r="AM987" s="321">
        <f>SUM(Y987:AL987)</f>
        <v>0</v>
      </c>
    </row>
    <row r="988" spans="1:39" ht="15" hidden="1" customHeight="1" outlineLevel="1">
      <c r="A988" s="560"/>
      <c r="B988" s="319" t="s">
        <v>349</v>
      </c>
      <c r="C988" s="316" t="s">
        <v>164</v>
      </c>
      <c r="D988" s="320"/>
      <c r="E988" s="320"/>
      <c r="F988" s="320"/>
      <c r="G988" s="320"/>
      <c r="H988" s="320"/>
      <c r="I988" s="320"/>
      <c r="J988" s="320"/>
      <c r="K988" s="320"/>
      <c r="L988" s="320"/>
      <c r="M988" s="320"/>
      <c r="N988" s="320">
        <f>N987</f>
        <v>12</v>
      </c>
      <c r="O988" s="320"/>
      <c r="P988" s="320"/>
      <c r="Q988" s="320"/>
      <c r="R988" s="320"/>
      <c r="S988" s="320"/>
      <c r="T988" s="320"/>
      <c r="U988" s="320"/>
      <c r="V988" s="320"/>
      <c r="W988" s="320"/>
      <c r="X988" s="320"/>
      <c r="Y988" s="431">
        <f>Y987</f>
        <v>0</v>
      </c>
      <c r="Z988" s="431">
        <f t="shared" ref="Z988" si="2987">Z987</f>
        <v>0</v>
      </c>
      <c r="AA988" s="431">
        <f t="shared" ref="AA988" si="2988">AA987</f>
        <v>0</v>
      </c>
      <c r="AB988" s="431">
        <f t="shared" ref="AB988" si="2989">AB987</f>
        <v>0</v>
      </c>
      <c r="AC988" s="431">
        <f t="shared" ref="AC988" si="2990">AC987</f>
        <v>0</v>
      </c>
      <c r="AD988" s="431">
        <f t="shared" ref="AD988" si="2991">AD987</f>
        <v>0</v>
      </c>
      <c r="AE988" s="431">
        <f t="shared" ref="AE988" si="2992">AE987</f>
        <v>0</v>
      </c>
      <c r="AF988" s="431">
        <f t="shared" ref="AF988" si="2993">AF987</f>
        <v>0</v>
      </c>
      <c r="AG988" s="431">
        <f t="shared" ref="AG988" si="2994">AG987</f>
        <v>0</v>
      </c>
      <c r="AH988" s="431">
        <f t="shared" ref="AH988" si="2995">AH987</f>
        <v>0</v>
      </c>
      <c r="AI988" s="431">
        <f t="shared" ref="AI988" si="2996">AI987</f>
        <v>0</v>
      </c>
      <c r="AJ988" s="431">
        <f t="shared" ref="AJ988" si="2997">AJ987</f>
        <v>0</v>
      </c>
      <c r="AK988" s="431">
        <f t="shared" ref="AK988" si="2998">AK987</f>
        <v>0</v>
      </c>
      <c r="AL988" s="431">
        <f t="shared" ref="AL988" si="2999">AL987</f>
        <v>0</v>
      </c>
      <c r="AM988" s="336"/>
    </row>
    <row r="989" spans="1:39" ht="15" hidden="1" customHeight="1" outlineLevel="1">
      <c r="A989" s="560"/>
      <c r="B989" s="339"/>
      <c r="C989" s="337"/>
      <c r="D989" s="341"/>
      <c r="E989" s="341"/>
      <c r="F989" s="341"/>
      <c r="G989" s="341"/>
      <c r="H989" s="341"/>
      <c r="I989" s="341"/>
      <c r="J989" s="341"/>
      <c r="K989" s="341"/>
      <c r="L989" s="341"/>
      <c r="M989" s="341"/>
      <c r="N989" s="316"/>
      <c r="O989" s="341"/>
      <c r="P989" s="341"/>
      <c r="Q989" s="341"/>
      <c r="R989" s="341"/>
      <c r="S989" s="341"/>
      <c r="T989" s="341"/>
      <c r="U989" s="341"/>
      <c r="V989" s="341"/>
      <c r="W989" s="341"/>
      <c r="X989" s="341"/>
      <c r="Y989" s="436"/>
      <c r="Z989" s="436"/>
      <c r="AA989" s="436"/>
      <c r="AB989" s="436"/>
      <c r="AC989" s="436"/>
      <c r="AD989" s="436"/>
      <c r="AE989" s="436"/>
      <c r="AF989" s="436"/>
      <c r="AG989" s="436"/>
      <c r="AH989" s="436"/>
      <c r="AI989" s="436"/>
      <c r="AJ989" s="436"/>
      <c r="AK989" s="436"/>
      <c r="AL989" s="436"/>
      <c r="AM989" s="338"/>
    </row>
    <row r="990" spans="1:39" ht="15" hidden="1" customHeight="1" outlineLevel="1">
      <c r="A990" s="560">
        <v>10</v>
      </c>
      <c r="B990" s="448" t="s">
        <v>104</v>
      </c>
      <c r="C990" s="316" t="s">
        <v>25</v>
      </c>
      <c r="D990" s="320"/>
      <c r="E990" s="320"/>
      <c r="F990" s="320"/>
      <c r="G990" s="320"/>
      <c r="H990" s="320"/>
      <c r="I990" s="320"/>
      <c r="J990" s="320"/>
      <c r="K990" s="320"/>
      <c r="L990" s="320"/>
      <c r="M990" s="320"/>
      <c r="N990" s="320">
        <v>3</v>
      </c>
      <c r="O990" s="320"/>
      <c r="P990" s="320"/>
      <c r="Q990" s="320"/>
      <c r="R990" s="320"/>
      <c r="S990" s="320"/>
      <c r="T990" s="320"/>
      <c r="U990" s="320"/>
      <c r="V990" s="320"/>
      <c r="W990" s="320"/>
      <c r="X990" s="320"/>
      <c r="Y990" s="435"/>
      <c r="Z990" s="435"/>
      <c r="AA990" s="435"/>
      <c r="AB990" s="435"/>
      <c r="AC990" s="435"/>
      <c r="AD990" s="435"/>
      <c r="AE990" s="435"/>
      <c r="AF990" s="435"/>
      <c r="AG990" s="435"/>
      <c r="AH990" s="435"/>
      <c r="AI990" s="435"/>
      <c r="AJ990" s="435"/>
      <c r="AK990" s="435"/>
      <c r="AL990" s="435"/>
      <c r="AM990" s="321">
        <f>SUM(Y990:AL990)</f>
        <v>0</v>
      </c>
    </row>
    <row r="991" spans="1:39" ht="15" hidden="1" customHeight="1" outlineLevel="1">
      <c r="A991" s="560"/>
      <c r="B991" s="319" t="s">
        <v>349</v>
      </c>
      <c r="C991" s="316" t="s">
        <v>164</v>
      </c>
      <c r="D991" s="320"/>
      <c r="E991" s="320"/>
      <c r="F991" s="320"/>
      <c r="G991" s="320"/>
      <c r="H991" s="320"/>
      <c r="I991" s="320"/>
      <c r="J991" s="320"/>
      <c r="K991" s="320"/>
      <c r="L991" s="320"/>
      <c r="M991" s="320"/>
      <c r="N991" s="320">
        <f>N990</f>
        <v>3</v>
      </c>
      <c r="O991" s="320"/>
      <c r="P991" s="320"/>
      <c r="Q991" s="320"/>
      <c r="R991" s="320"/>
      <c r="S991" s="320"/>
      <c r="T991" s="320"/>
      <c r="U991" s="320"/>
      <c r="V991" s="320"/>
      <c r="W991" s="320"/>
      <c r="X991" s="320"/>
      <c r="Y991" s="431">
        <f>Y990</f>
        <v>0</v>
      </c>
      <c r="Z991" s="431">
        <f t="shared" ref="Z991" si="3000">Z990</f>
        <v>0</v>
      </c>
      <c r="AA991" s="431">
        <f t="shared" ref="AA991" si="3001">AA990</f>
        <v>0</v>
      </c>
      <c r="AB991" s="431">
        <f t="shared" ref="AB991" si="3002">AB990</f>
        <v>0</v>
      </c>
      <c r="AC991" s="431">
        <f t="shared" ref="AC991" si="3003">AC990</f>
        <v>0</v>
      </c>
      <c r="AD991" s="431">
        <f t="shared" ref="AD991" si="3004">AD990</f>
        <v>0</v>
      </c>
      <c r="AE991" s="431">
        <f t="shared" ref="AE991" si="3005">AE990</f>
        <v>0</v>
      </c>
      <c r="AF991" s="431">
        <f t="shared" ref="AF991" si="3006">AF990</f>
        <v>0</v>
      </c>
      <c r="AG991" s="431">
        <f t="shared" ref="AG991" si="3007">AG990</f>
        <v>0</v>
      </c>
      <c r="AH991" s="431">
        <f t="shared" ref="AH991" si="3008">AH990</f>
        <v>0</v>
      </c>
      <c r="AI991" s="431">
        <f t="shared" ref="AI991" si="3009">AI990</f>
        <v>0</v>
      </c>
      <c r="AJ991" s="431">
        <f t="shared" ref="AJ991" si="3010">AJ990</f>
        <v>0</v>
      </c>
      <c r="AK991" s="431">
        <f t="shared" ref="AK991" si="3011">AK990</f>
        <v>0</v>
      </c>
      <c r="AL991" s="431">
        <f t="shared" ref="AL991" si="3012">AL990</f>
        <v>0</v>
      </c>
      <c r="AM991" s="336"/>
    </row>
    <row r="992" spans="1:39" ht="15" hidden="1" customHeight="1" outlineLevel="1">
      <c r="A992" s="560"/>
      <c r="B992" s="339"/>
      <c r="C992" s="337"/>
      <c r="D992" s="341"/>
      <c r="E992" s="341"/>
      <c r="F992" s="341"/>
      <c r="G992" s="341"/>
      <c r="H992" s="341"/>
      <c r="I992" s="341"/>
      <c r="J992" s="341"/>
      <c r="K992" s="341"/>
      <c r="L992" s="341"/>
      <c r="M992" s="341"/>
      <c r="N992" s="316"/>
      <c r="O992" s="341"/>
      <c r="P992" s="341"/>
      <c r="Q992" s="341"/>
      <c r="R992" s="341"/>
      <c r="S992" s="341"/>
      <c r="T992" s="341"/>
      <c r="U992" s="341"/>
      <c r="V992" s="341"/>
      <c r="W992" s="341"/>
      <c r="X992" s="341"/>
      <c r="Y992" s="436"/>
      <c r="Z992" s="437"/>
      <c r="AA992" s="436"/>
      <c r="AB992" s="436"/>
      <c r="AC992" s="436"/>
      <c r="AD992" s="436"/>
      <c r="AE992" s="436"/>
      <c r="AF992" s="436"/>
      <c r="AG992" s="436"/>
      <c r="AH992" s="436"/>
      <c r="AI992" s="436"/>
      <c r="AJ992" s="436"/>
      <c r="AK992" s="436"/>
      <c r="AL992" s="436"/>
      <c r="AM992" s="338"/>
    </row>
    <row r="993" spans="1:39" ht="15" hidden="1" customHeight="1" outlineLevel="1">
      <c r="A993" s="560"/>
      <c r="B993" s="313" t="s">
        <v>10</v>
      </c>
      <c r="C993" s="314"/>
      <c r="D993" s="314"/>
      <c r="E993" s="314"/>
      <c r="F993" s="314"/>
      <c r="G993" s="314"/>
      <c r="H993" s="314"/>
      <c r="I993" s="314"/>
      <c r="J993" s="314"/>
      <c r="K993" s="314"/>
      <c r="L993" s="314"/>
      <c r="M993" s="314"/>
      <c r="N993" s="315"/>
      <c r="O993" s="314"/>
      <c r="P993" s="314"/>
      <c r="Q993" s="314"/>
      <c r="R993" s="314"/>
      <c r="S993" s="314"/>
      <c r="T993" s="314"/>
      <c r="U993" s="314"/>
      <c r="V993" s="314"/>
      <c r="W993" s="314"/>
      <c r="X993" s="314"/>
      <c r="Y993" s="434"/>
      <c r="Z993" s="434"/>
      <c r="AA993" s="434"/>
      <c r="AB993" s="434"/>
      <c r="AC993" s="434"/>
      <c r="AD993" s="434"/>
      <c r="AE993" s="434"/>
      <c r="AF993" s="434"/>
      <c r="AG993" s="434"/>
      <c r="AH993" s="434"/>
      <c r="AI993" s="434"/>
      <c r="AJ993" s="434"/>
      <c r="AK993" s="434"/>
      <c r="AL993" s="434"/>
      <c r="AM993" s="317"/>
    </row>
    <row r="994" spans="1:39" ht="15" hidden="1" customHeight="1" outlineLevel="1">
      <c r="A994" s="560">
        <v>11</v>
      </c>
      <c r="B994" s="448" t="s">
        <v>105</v>
      </c>
      <c r="C994" s="316" t="s">
        <v>25</v>
      </c>
      <c r="D994" s="320"/>
      <c r="E994" s="320"/>
      <c r="F994" s="320"/>
      <c r="G994" s="320"/>
      <c r="H994" s="320"/>
      <c r="I994" s="320"/>
      <c r="J994" s="320"/>
      <c r="K994" s="320"/>
      <c r="L994" s="320"/>
      <c r="M994" s="320"/>
      <c r="N994" s="320">
        <v>12</v>
      </c>
      <c r="O994" s="320"/>
      <c r="P994" s="320"/>
      <c r="Q994" s="320"/>
      <c r="R994" s="320"/>
      <c r="S994" s="320"/>
      <c r="T994" s="320"/>
      <c r="U994" s="320"/>
      <c r="V994" s="320"/>
      <c r="W994" s="320"/>
      <c r="X994" s="320"/>
      <c r="Y994" s="446"/>
      <c r="Z994" s="435"/>
      <c r="AA994" s="435"/>
      <c r="AB994" s="435"/>
      <c r="AC994" s="435"/>
      <c r="AD994" s="435"/>
      <c r="AE994" s="435"/>
      <c r="AF994" s="435"/>
      <c r="AG994" s="435"/>
      <c r="AH994" s="435"/>
      <c r="AI994" s="435"/>
      <c r="AJ994" s="435"/>
      <c r="AK994" s="435"/>
      <c r="AL994" s="435"/>
      <c r="AM994" s="321">
        <f>SUM(Y994:AL994)</f>
        <v>0</v>
      </c>
    </row>
    <row r="995" spans="1:39" ht="15" hidden="1" customHeight="1" outlineLevel="1">
      <c r="A995" s="560"/>
      <c r="B995" s="319" t="s">
        <v>349</v>
      </c>
      <c r="C995" s="316" t="s">
        <v>164</v>
      </c>
      <c r="D995" s="320"/>
      <c r="E995" s="320"/>
      <c r="F995" s="320"/>
      <c r="G995" s="320"/>
      <c r="H995" s="320"/>
      <c r="I995" s="320"/>
      <c r="J995" s="320"/>
      <c r="K995" s="320"/>
      <c r="L995" s="320"/>
      <c r="M995" s="320"/>
      <c r="N995" s="320">
        <f>N994</f>
        <v>12</v>
      </c>
      <c r="O995" s="320"/>
      <c r="P995" s="320"/>
      <c r="Q995" s="320"/>
      <c r="R995" s="320"/>
      <c r="S995" s="320"/>
      <c r="T995" s="320"/>
      <c r="U995" s="320"/>
      <c r="V995" s="320"/>
      <c r="W995" s="320"/>
      <c r="X995" s="320"/>
      <c r="Y995" s="431">
        <f>Y994</f>
        <v>0</v>
      </c>
      <c r="Z995" s="431">
        <f t="shared" ref="Z995" si="3013">Z994</f>
        <v>0</v>
      </c>
      <c r="AA995" s="431">
        <f t="shared" ref="AA995" si="3014">AA994</f>
        <v>0</v>
      </c>
      <c r="AB995" s="431">
        <f t="shared" ref="AB995" si="3015">AB994</f>
        <v>0</v>
      </c>
      <c r="AC995" s="431">
        <f t="shared" ref="AC995" si="3016">AC994</f>
        <v>0</v>
      </c>
      <c r="AD995" s="431">
        <f t="shared" ref="AD995" si="3017">AD994</f>
        <v>0</v>
      </c>
      <c r="AE995" s="431">
        <f t="shared" ref="AE995" si="3018">AE994</f>
        <v>0</v>
      </c>
      <c r="AF995" s="431">
        <f t="shared" ref="AF995" si="3019">AF994</f>
        <v>0</v>
      </c>
      <c r="AG995" s="431">
        <f t="shared" ref="AG995" si="3020">AG994</f>
        <v>0</v>
      </c>
      <c r="AH995" s="431">
        <f t="shared" ref="AH995" si="3021">AH994</f>
        <v>0</v>
      </c>
      <c r="AI995" s="431">
        <f t="shared" ref="AI995" si="3022">AI994</f>
        <v>0</v>
      </c>
      <c r="AJ995" s="431">
        <f t="shared" ref="AJ995" si="3023">AJ994</f>
        <v>0</v>
      </c>
      <c r="AK995" s="431">
        <f t="shared" ref="AK995" si="3024">AK994</f>
        <v>0</v>
      </c>
      <c r="AL995" s="431">
        <f t="shared" ref="AL995" si="3025">AL994</f>
        <v>0</v>
      </c>
      <c r="AM995" s="322"/>
    </row>
    <row r="996" spans="1:39" ht="15" hidden="1" customHeight="1" outlineLevel="1">
      <c r="A996" s="560"/>
      <c r="B996" s="340"/>
      <c r="C996" s="330"/>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432"/>
      <c r="Z996" s="441"/>
      <c r="AA996" s="441"/>
      <c r="AB996" s="441"/>
      <c r="AC996" s="441"/>
      <c r="AD996" s="441"/>
      <c r="AE996" s="441"/>
      <c r="AF996" s="441"/>
      <c r="AG996" s="441"/>
      <c r="AH996" s="441"/>
      <c r="AI996" s="441"/>
      <c r="AJ996" s="441"/>
      <c r="AK996" s="441"/>
      <c r="AL996" s="441"/>
      <c r="AM996" s="331"/>
    </row>
    <row r="997" spans="1:39" ht="28.5" hidden="1" customHeight="1" outlineLevel="1">
      <c r="A997" s="560">
        <v>12</v>
      </c>
      <c r="B997" s="448" t="s">
        <v>106</v>
      </c>
      <c r="C997" s="316" t="s">
        <v>25</v>
      </c>
      <c r="D997" s="320"/>
      <c r="E997" s="320"/>
      <c r="F997" s="320"/>
      <c r="G997" s="320"/>
      <c r="H997" s="320"/>
      <c r="I997" s="320"/>
      <c r="J997" s="320"/>
      <c r="K997" s="320"/>
      <c r="L997" s="320"/>
      <c r="M997" s="320"/>
      <c r="N997" s="320">
        <v>12</v>
      </c>
      <c r="O997" s="320"/>
      <c r="P997" s="320"/>
      <c r="Q997" s="320"/>
      <c r="R997" s="320"/>
      <c r="S997" s="320"/>
      <c r="T997" s="320"/>
      <c r="U997" s="320"/>
      <c r="V997" s="320"/>
      <c r="W997" s="320"/>
      <c r="X997" s="320"/>
      <c r="Y997" s="430"/>
      <c r="Z997" s="435"/>
      <c r="AA997" s="435"/>
      <c r="AB997" s="435"/>
      <c r="AC997" s="435"/>
      <c r="AD997" s="435"/>
      <c r="AE997" s="435"/>
      <c r="AF997" s="435"/>
      <c r="AG997" s="435"/>
      <c r="AH997" s="435"/>
      <c r="AI997" s="435"/>
      <c r="AJ997" s="435"/>
      <c r="AK997" s="435"/>
      <c r="AL997" s="435"/>
      <c r="AM997" s="321">
        <f>SUM(Y997:AL997)</f>
        <v>0</v>
      </c>
    </row>
    <row r="998" spans="1:39" ht="15" hidden="1" customHeight="1" outlineLevel="1">
      <c r="A998" s="560"/>
      <c r="B998" s="319" t="s">
        <v>349</v>
      </c>
      <c r="C998" s="316" t="s">
        <v>164</v>
      </c>
      <c r="D998" s="320"/>
      <c r="E998" s="320"/>
      <c r="F998" s="320"/>
      <c r="G998" s="320"/>
      <c r="H998" s="320"/>
      <c r="I998" s="320"/>
      <c r="J998" s="320"/>
      <c r="K998" s="320"/>
      <c r="L998" s="320"/>
      <c r="M998" s="320"/>
      <c r="N998" s="320">
        <f>N997</f>
        <v>12</v>
      </c>
      <c r="O998" s="320"/>
      <c r="P998" s="320"/>
      <c r="Q998" s="320"/>
      <c r="R998" s="320"/>
      <c r="S998" s="320"/>
      <c r="T998" s="320"/>
      <c r="U998" s="320"/>
      <c r="V998" s="320"/>
      <c r="W998" s="320"/>
      <c r="X998" s="320"/>
      <c r="Y998" s="431">
        <f>Y997</f>
        <v>0</v>
      </c>
      <c r="Z998" s="431">
        <f t="shared" ref="Z998" si="3026">Z997</f>
        <v>0</v>
      </c>
      <c r="AA998" s="431">
        <f t="shared" ref="AA998" si="3027">AA997</f>
        <v>0</v>
      </c>
      <c r="AB998" s="431">
        <f t="shared" ref="AB998" si="3028">AB997</f>
        <v>0</v>
      </c>
      <c r="AC998" s="431">
        <f t="shared" ref="AC998" si="3029">AC997</f>
        <v>0</v>
      </c>
      <c r="AD998" s="431">
        <f t="shared" ref="AD998" si="3030">AD997</f>
        <v>0</v>
      </c>
      <c r="AE998" s="431">
        <f t="shared" ref="AE998" si="3031">AE997</f>
        <v>0</v>
      </c>
      <c r="AF998" s="431">
        <f t="shared" ref="AF998" si="3032">AF997</f>
        <v>0</v>
      </c>
      <c r="AG998" s="431">
        <f t="shared" ref="AG998" si="3033">AG997</f>
        <v>0</v>
      </c>
      <c r="AH998" s="431">
        <f t="shared" ref="AH998" si="3034">AH997</f>
        <v>0</v>
      </c>
      <c r="AI998" s="431">
        <f t="shared" ref="AI998" si="3035">AI997</f>
        <v>0</v>
      </c>
      <c r="AJ998" s="431">
        <f t="shared" ref="AJ998" si="3036">AJ997</f>
        <v>0</v>
      </c>
      <c r="AK998" s="431">
        <f t="shared" ref="AK998" si="3037">AK997</f>
        <v>0</v>
      </c>
      <c r="AL998" s="431">
        <f t="shared" ref="AL998" si="3038">AL997</f>
        <v>0</v>
      </c>
      <c r="AM998" s="322"/>
    </row>
    <row r="999" spans="1:39" ht="15" hidden="1" customHeight="1" outlineLevel="1">
      <c r="A999" s="560"/>
      <c r="B999" s="340"/>
      <c r="C999" s="330"/>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442"/>
      <c r="Z999" s="442"/>
      <c r="AA999" s="432"/>
      <c r="AB999" s="432"/>
      <c r="AC999" s="432"/>
      <c r="AD999" s="432"/>
      <c r="AE999" s="432"/>
      <c r="AF999" s="432"/>
      <c r="AG999" s="432"/>
      <c r="AH999" s="432"/>
      <c r="AI999" s="432"/>
      <c r="AJ999" s="432"/>
      <c r="AK999" s="432"/>
      <c r="AL999" s="432"/>
      <c r="AM999" s="331"/>
    </row>
    <row r="1000" spans="1:39" ht="15" hidden="1" customHeight="1" outlineLevel="1">
      <c r="A1000" s="560">
        <v>13</v>
      </c>
      <c r="B1000" s="448" t="s">
        <v>107</v>
      </c>
      <c r="C1000" s="316" t="s">
        <v>25</v>
      </c>
      <c r="D1000" s="320"/>
      <c r="E1000" s="320"/>
      <c r="F1000" s="320"/>
      <c r="G1000" s="320"/>
      <c r="H1000" s="320"/>
      <c r="I1000" s="320"/>
      <c r="J1000" s="320"/>
      <c r="K1000" s="320"/>
      <c r="L1000" s="320"/>
      <c r="M1000" s="320"/>
      <c r="N1000" s="320">
        <v>12</v>
      </c>
      <c r="O1000" s="320"/>
      <c r="P1000" s="320"/>
      <c r="Q1000" s="320"/>
      <c r="R1000" s="320"/>
      <c r="S1000" s="320"/>
      <c r="T1000" s="320"/>
      <c r="U1000" s="320"/>
      <c r="V1000" s="320"/>
      <c r="W1000" s="320"/>
      <c r="X1000" s="320"/>
      <c r="Y1000" s="430"/>
      <c r="Z1000" s="435"/>
      <c r="AA1000" s="435"/>
      <c r="AB1000" s="435"/>
      <c r="AC1000" s="435"/>
      <c r="AD1000" s="435"/>
      <c r="AE1000" s="435"/>
      <c r="AF1000" s="435"/>
      <c r="AG1000" s="435"/>
      <c r="AH1000" s="435"/>
      <c r="AI1000" s="435"/>
      <c r="AJ1000" s="435"/>
      <c r="AK1000" s="435"/>
      <c r="AL1000" s="435"/>
      <c r="AM1000" s="321">
        <f>SUM(Y1000:AL1000)</f>
        <v>0</v>
      </c>
    </row>
    <row r="1001" spans="1:39" ht="15" hidden="1" customHeight="1" outlineLevel="1">
      <c r="A1001" s="560"/>
      <c r="B1001" s="319" t="s">
        <v>349</v>
      </c>
      <c r="C1001" s="316" t="s">
        <v>164</v>
      </c>
      <c r="D1001" s="320"/>
      <c r="E1001" s="320"/>
      <c r="F1001" s="320"/>
      <c r="G1001" s="320"/>
      <c r="H1001" s="320"/>
      <c r="I1001" s="320"/>
      <c r="J1001" s="320"/>
      <c r="K1001" s="320"/>
      <c r="L1001" s="320"/>
      <c r="M1001" s="320"/>
      <c r="N1001" s="320">
        <f>N1000</f>
        <v>12</v>
      </c>
      <c r="O1001" s="320"/>
      <c r="P1001" s="320"/>
      <c r="Q1001" s="320"/>
      <c r="R1001" s="320"/>
      <c r="S1001" s="320"/>
      <c r="T1001" s="320"/>
      <c r="U1001" s="320"/>
      <c r="V1001" s="320"/>
      <c r="W1001" s="320"/>
      <c r="X1001" s="320"/>
      <c r="Y1001" s="431">
        <f>Y1000</f>
        <v>0</v>
      </c>
      <c r="Z1001" s="431">
        <f t="shared" ref="Z1001" si="3039">Z1000</f>
        <v>0</v>
      </c>
      <c r="AA1001" s="431">
        <f t="shared" ref="AA1001" si="3040">AA1000</f>
        <v>0</v>
      </c>
      <c r="AB1001" s="431">
        <f t="shared" ref="AB1001" si="3041">AB1000</f>
        <v>0</v>
      </c>
      <c r="AC1001" s="431">
        <f t="shared" ref="AC1001" si="3042">AC1000</f>
        <v>0</v>
      </c>
      <c r="AD1001" s="431">
        <f t="shared" ref="AD1001" si="3043">AD1000</f>
        <v>0</v>
      </c>
      <c r="AE1001" s="431">
        <f t="shared" ref="AE1001" si="3044">AE1000</f>
        <v>0</v>
      </c>
      <c r="AF1001" s="431">
        <f t="shared" ref="AF1001" si="3045">AF1000</f>
        <v>0</v>
      </c>
      <c r="AG1001" s="431">
        <f t="shared" ref="AG1001" si="3046">AG1000</f>
        <v>0</v>
      </c>
      <c r="AH1001" s="431">
        <f t="shared" ref="AH1001" si="3047">AH1000</f>
        <v>0</v>
      </c>
      <c r="AI1001" s="431">
        <f t="shared" ref="AI1001" si="3048">AI1000</f>
        <v>0</v>
      </c>
      <c r="AJ1001" s="431">
        <f t="shared" ref="AJ1001" si="3049">AJ1000</f>
        <v>0</v>
      </c>
      <c r="AK1001" s="431">
        <f t="shared" ref="AK1001" si="3050">AK1000</f>
        <v>0</v>
      </c>
      <c r="AL1001" s="431">
        <f t="shared" ref="AL1001" si="3051">AL1000</f>
        <v>0</v>
      </c>
      <c r="AM1001" s="331"/>
    </row>
    <row r="1002" spans="1:39" ht="15" hidden="1" customHeight="1" outlineLevel="1">
      <c r="A1002" s="560"/>
      <c r="B1002" s="340"/>
      <c r="C1002" s="330"/>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432"/>
      <c r="Z1002" s="432"/>
      <c r="AA1002" s="432"/>
      <c r="AB1002" s="432"/>
      <c r="AC1002" s="432"/>
      <c r="AD1002" s="432"/>
      <c r="AE1002" s="432"/>
      <c r="AF1002" s="432"/>
      <c r="AG1002" s="432"/>
      <c r="AH1002" s="432"/>
      <c r="AI1002" s="432"/>
      <c r="AJ1002" s="432"/>
      <c r="AK1002" s="432"/>
      <c r="AL1002" s="432"/>
      <c r="AM1002" s="331"/>
    </row>
    <row r="1003" spans="1:39" ht="15" hidden="1" customHeight="1" outlineLevel="1">
      <c r="A1003" s="560"/>
      <c r="B1003" s="313" t="s">
        <v>108</v>
      </c>
      <c r="C1003" s="314"/>
      <c r="D1003" s="315"/>
      <c r="E1003" s="315"/>
      <c r="F1003" s="315"/>
      <c r="G1003" s="315"/>
      <c r="H1003" s="315"/>
      <c r="I1003" s="315"/>
      <c r="J1003" s="315"/>
      <c r="K1003" s="315"/>
      <c r="L1003" s="315"/>
      <c r="M1003" s="315"/>
      <c r="N1003" s="315"/>
      <c r="O1003" s="315"/>
      <c r="P1003" s="314"/>
      <c r="Q1003" s="314"/>
      <c r="R1003" s="314"/>
      <c r="S1003" s="314"/>
      <c r="T1003" s="314"/>
      <c r="U1003" s="314"/>
      <c r="V1003" s="314"/>
      <c r="W1003" s="314"/>
      <c r="X1003" s="314"/>
      <c r="Y1003" s="434"/>
      <c r="Z1003" s="434"/>
      <c r="AA1003" s="434"/>
      <c r="AB1003" s="434"/>
      <c r="AC1003" s="434"/>
      <c r="AD1003" s="434"/>
      <c r="AE1003" s="434"/>
      <c r="AF1003" s="434"/>
      <c r="AG1003" s="434"/>
      <c r="AH1003" s="434"/>
      <c r="AI1003" s="434"/>
      <c r="AJ1003" s="434"/>
      <c r="AK1003" s="434"/>
      <c r="AL1003" s="434"/>
      <c r="AM1003" s="317"/>
    </row>
    <row r="1004" spans="1:39" ht="15" hidden="1" customHeight="1" outlineLevel="1">
      <c r="A1004" s="560">
        <v>14</v>
      </c>
      <c r="B1004" s="340" t="s">
        <v>109</v>
      </c>
      <c r="C1004" s="316" t="s">
        <v>25</v>
      </c>
      <c r="D1004" s="320"/>
      <c r="E1004" s="320"/>
      <c r="F1004" s="320"/>
      <c r="G1004" s="320"/>
      <c r="H1004" s="320"/>
      <c r="I1004" s="320"/>
      <c r="J1004" s="320"/>
      <c r="K1004" s="320"/>
      <c r="L1004" s="320"/>
      <c r="M1004" s="320"/>
      <c r="N1004" s="320">
        <v>12</v>
      </c>
      <c r="O1004" s="320"/>
      <c r="P1004" s="320"/>
      <c r="Q1004" s="320"/>
      <c r="R1004" s="320"/>
      <c r="S1004" s="320"/>
      <c r="T1004" s="320"/>
      <c r="U1004" s="320"/>
      <c r="V1004" s="320"/>
      <c r="W1004" s="320"/>
      <c r="X1004" s="320"/>
      <c r="Y1004" s="430"/>
      <c r="Z1004" s="430"/>
      <c r="AA1004" s="430"/>
      <c r="AB1004" s="430"/>
      <c r="AC1004" s="430"/>
      <c r="AD1004" s="430"/>
      <c r="AE1004" s="430"/>
      <c r="AF1004" s="430"/>
      <c r="AG1004" s="430"/>
      <c r="AH1004" s="430"/>
      <c r="AI1004" s="430"/>
      <c r="AJ1004" s="430"/>
      <c r="AK1004" s="430"/>
      <c r="AL1004" s="430"/>
      <c r="AM1004" s="321">
        <f>SUM(Y1004:AL1004)</f>
        <v>0</v>
      </c>
    </row>
    <row r="1005" spans="1:39" ht="15" hidden="1" customHeight="1" outlineLevel="1">
      <c r="A1005" s="560"/>
      <c r="B1005" s="319" t="s">
        <v>349</v>
      </c>
      <c r="C1005" s="316" t="s">
        <v>164</v>
      </c>
      <c r="D1005" s="320"/>
      <c r="E1005" s="320"/>
      <c r="F1005" s="320"/>
      <c r="G1005" s="320"/>
      <c r="H1005" s="320"/>
      <c r="I1005" s="320"/>
      <c r="J1005" s="320"/>
      <c r="K1005" s="320"/>
      <c r="L1005" s="320"/>
      <c r="M1005" s="320"/>
      <c r="N1005" s="320">
        <f>N1004</f>
        <v>12</v>
      </c>
      <c r="O1005" s="320"/>
      <c r="P1005" s="320"/>
      <c r="Q1005" s="320"/>
      <c r="R1005" s="320"/>
      <c r="S1005" s="320"/>
      <c r="T1005" s="320"/>
      <c r="U1005" s="320"/>
      <c r="V1005" s="320"/>
      <c r="W1005" s="320"/>
      <c r="X1005" s="320"/>
      <c r="Y1005" s="431">
        <f>Y1004</f>
        <v>0</v>
      </c>
      <c r="Z1005" s="431">
        <f t="shared" ref="Z1005" si="3052">Z1004</f>
        <v>0</v>
      </c>
      <c r="AA1005" s="431">
        <f t="shared" ref="AA1005" si="3053">AA1004</f>
        <v>0</v>
      </c>
      <c r="AB1005" s="431">
        <f t="shared" ref="AB1005" si="3054">AB1004</f>
        <v>0</v>
      </c>
      <c r="AC1005" s="431">
        <f t="shared" ref="AC1005" si="3055">AC1004</f>
        <v>0</v>
      </c>
      <c r="AD1005" s="431">
        <f t="shared" ref="AD1005" si="3056">AD1004</f>
        <v>0</v>
      </c>
      <c r="AE1005" s="431">
        <f t="shared" ref="AE1005" si="3057">AE1004</f>
        <v>0</v>
      </c>
      <c r="AF1005" s="431">
        <f t="shared" ref="AF1005" si="3058">AF1004</f>
        <v>0</v>
      </c>
      <c r="AG1005" s="431">
        <f t="shared" ref="AG1005" si="3059">AG1004</f>
        <v>0</v>
      </c>
      <c r="AH1005" s="431">
        <f t="shared" ref="AH1005" si="3060">AH1004</f>
        <v>0</v>
      </c>
      <c r="AI1005" s="431">
        <f t="shared" ref="AI1005" si="3061">AI1004</f>
        <v>0</v>
      </c>
      <c r="AJ1005" s="431">
        <f t="shared" ref="AJ1005" si="3062">AJ1004</f>
        <v>0</v>
      </c>
      <c r="AK1005" s="431">
        <f t="shared" ref="AK1005" si="3063">AK1004</f>
        <v>0</v>
      </c>
      <c r="AL1005" s="431">
        <f t="shared" ref="AL1005" si="3064">AL1004</f>
        <v>0</v>
      </c>
      <c r="AM1005" s="322"/>
    </row>
    <row r="1006" spans="1:39" ht="15" hidden="1" customHeight="1" outlineLevel="1">
      <c r="A1006" s="560"/>
      <c r="B1006" s="340"/>
      <c r="C1006" s="330"/>
      <c r="D1006" s="316"/>
      <c r="E1006" s="316"/>
      <c r="F1006" s="316"/>
      <c r="G1006" s="316"/>
      <c r="H1006" s="316"/>
      <c r="I1006" s="316"/>
      <c r="J1006" s="316"/>
      <c r="K1006" s="316"/>
      <c r="L1006" s="316"/>
      <c r="M1006" s="316"/>
      <c r="N1006" s="488"/>
      <c r="O1006" s="316"/>
      <c r="P1006" s="316"/>
      <c r="Q1006" s="316"/>
      <c r="R1006" s="316"/>
      <c r="S1006" s="316"/>
      <c r="T1006" s="316"/>
      <c r="U1006" s="316"/>
      <c r="V1006" s="316"/>
      <c r="W1006" s="316"/>
      <c r="X1006" s="316"/>
      <c r="Y1006" s="432"/>
      <c r="Z1006" s="432"/>
      <c r="AA1006" s="432"/>
      <c r="AB1006" s="432"/>
      <c r="AC1006" s="432"/>
      <c r="AD1006" s="432"/>
      <c r="AE1006" s="432"/>
      <c r="AF1006" s="432"/>
      <c r="AG1006" s="432"/>
      <c r="AH1006" s="432"/>
      <c r="AI1006" s="432"/>
      <c r="AJ1006" s="432"/>
      <c r="AK1006" s="432"/>
      <c r="AL1006" s="432"/>
      <c r="AM1006" s="331"/>
    </row>
    <row r="1007" spans="1:39" s="334" customFormat="1" ht="15.6" hidden="1" outlineLevel="1">
      <c r="A1007" s="560"/>
      <c r="B1007" s="313" t="s">
        <v>504</v>
      </c>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432"/>
      <c r="Z1007" s="432"/>
      <c r="AA1007" s="432"/>
      <c r="AB1007" s="432"/>
      <c r="AC1007" s="432"/>
      <c r="AD1007" s="432"/>
      <c r="AE1007" s="436"/>
      <c r="AF1007" s="436"/>
      <c r="AG1007" s="436"/>
      <c r="AH1007" s="436"/>
      <c r="AI1007" s="436"/>
      <c r="AJ1007" s="436"/>
      <c r="AK1007" s="436"/>
      <c r="AL1007" s="436"/>
      <c r="AM1007" s="546"/>
    </row>
    <row r="1008" spans="1:39" ht="15" hidden="1" outlineLevel="1">
      <c r="A1008" s="560">
        <v>15</v>
      </c>
      <c r="B1008" s="319" t="s">
        <v>509</v>
      </c>
      <c r="C1008" s="316" t="s">
        <v>25</v>
      </c>
      <c r="D1008" s="320"/>
      <c r="E1008" s="320"/>
      <c r="F1008" s="320"/>
      <c r="G1008" s="320"/>
      <c r="H1008" s="320"/>
      <c r="I1008" s="320"/>
      <c r="J1008" s="320"/>
      <c r="K1008" s="320"/>
      <c r="L1008" s="320"/>
      <c r="M1008" s="320"/>
      <c r="N1008" s="320">
        <v>0</v>
      </c>
      <c r="O1008" s="320"/>
      <c r="P1008" s="320"/>
      <c r="Q1008" s="320"/>
      <c r="R1008" s="320"/>
      <c r="S1008" s="320"/>
      <c r="T1008" s="320"/>
      <c r="U1008" s="320"/>
      <c r="V1008" s="320"/>
      <c r="W1008" s="320"/>
      <c r="X1008" s="320"/>
      <c r="Y1008" s="430"/>
      <c r="Z1008" s="430"/>
      <c r="AA1008" s="430"/>
      <c r="AB1008" s="430"/>
      <c r="AC1008" s="430"/>
      <c r="AD1008" s="430"/>
      <c r="AE1008" s="430"/>
      <c r="AF1008" s="430"/>
      <c r="AG1008" s="430"/>
      <c r="AH1008" s="430"/>
      <c r="AI1008" s="430"/>
      <c r="AJ1008" s="430"/>
      <c r="AK1008" s="430"/>
      <c r="AL1008" s="430"/>
      <c r="AM1008" s="321">
        <f>SUM(Y1008:AL1008)</f>
        <v>0</v>
      </c>
    </row>
    <row r="1009" spans="1:39" ht="15" hidden="1" outlineLevel="1">
      <c r="A1009" s="560"/>
      <c r="B1009" s="319" t="s">
        <v>345</v>
      </c>
      <c r="C1009" s="316" t="s">
        <v>164</v>
      </c>
      <c r="D1009" s="320"/>
      <c r="E1009" s="320"/>
      <c r="F1009" s="320"/>
      <c r="G1009" s="320"/>
      <c r="H1009" s="320"/>
      <c r="I1009" s="320"/>
      <c r="J1009" s="320"/>
      <c r="K1009" s="320"/>
      <c r="L1009" s="320"/>
      <c r="M1009" s="320"/>
      <c r="N1009" s="320">
        <f>N1008</f>
        <v>0</v>
      </c>
      <c r="O1009" s="320"/>
      <c r="P1009" s="320"/>
      <c r="Q1009" s="320"/>
      <c r="R1009" s="320"/>
      <c r="S1009" s="320"/>
      <c r="T1009" s="320"/>
      <c r="U1009" s="320"/>
      <c r="V1009" s="320"/>
      <c r="W1009" s="320"/>
      <c r="X1009" s="320"/>
      <c r="Y1009" s="431">
        <f>Y1008</f>
        <v>0</v>
      </c>
      <c r="Z1009" s="431">
        <f>Z1008</f>
        <v>0</v>
      </c>
      <c r="AA1009" s="431">
        <f t="shared" ref="AA1009:AL1009" si="3065">AA1008</f>
        <v>0</v>
      </c>
      <c r="AB1009" s="431">
        <f t="shared" si="3065"/>
        <v>0</v>
      </c>
      <c r="AC1009" s="431">
        <f t="shared" si="3065"/>
        <v>0</v>
      </c>
      <c r="AD1009" s="431">
        <f>AD1008</f>
        <v>0</v>
      </c>
      <c r="AE1009" s="431">
        <f t="shared" si="3065"/>
        <v>0</v>
      </c>
      <c r="AF1009" s="431">
        <f t="shared" si="3065"/>
        <v>0</v>
      </c>
      <c r="AG1009" s="431">
        <f t="shared" si="3065"/>
        <v>0</v>
      </c>
      <c r="AH1009" s="431">
        <f t="shared" si="3065"/>
        <v>0</v>
      </c>
      <c r="AI1009" s="431">
        <f t="shared" si="3065"/>
        <v>0</v>
      </c>
      <c r="AJ1009" s="431">
        <f t="shared" si="3065"/>
        <v>0</v>
      </c>
      <c r="AK1009" s="431">
        <f t="shared" si="3065"/>
        <v>0</v>
      </c>
      <c r="AL1009" s="431">
        <f t="shared" si="3065"/>
        <v>0</v>
      </c>
      <c r="AM1009" s="322"/>
    </row>
    <row r="1010" spans="1:39" ht="15" hidden="1" outlineLevel="1">
      <c r="A1010" s="560"/>
      <c r="B1010" s="340"/>
      <c r="C1010" s="330"/>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432"/>
      <c r="Z1010" s="432"/>
      <c r="AA1010" s="432"/>
      <c r="AB1010" s="432"/>
      <c r="AC1010" s="432"/>
      <c r="AD1010" s="432"/>
      <c r="AE1010" s="432"/>
      <c r="AF1010" s="432"/>
      <c r="AG1010" s="432"/>
      <c r="AH1010" s="432"/>
      <c r="AI1010" s="432"/>
      <c r="AJ1010" s="432"/>
      <c r="AK1010" s="432"/>
      <c r="AL1010" s="432"/>
      <c r="AM1010" s="331"/>
    </row>
    <row r="1011" spans="1:39" s="308" customFormat="1" ht="15" hidden="1" outlineLevel="1">
      <c r="A1011" s="560">
        <v>16</v>
      </c>
      <c r="B1011" s="349" t="s">
        <v>505</v>
      </c>
      <c r="C1011" s="316" t="s">
        <v>25</v>
      </c>
      <c r="D1011" s="320"/>
      <c r="E1011" s="320"/>
      <c r="F1011" s="320"/>
      <c r="G1011" s="320"/>
      <c r="H1011" s="320"/>
      <c r="I1011" s="320"/>
      <c r="J1011" s="320"/>
      <c r="K1011" s="320"/>
      <c r="L1011" s="320"/>
      <c r="M1011" s="320"/>
      <c r="N1011" s="320">
        <v>0</v>
      </c>
      <c r="O1011" s="320"/>
      <c r="P1011" s="320"/>
      <c r="Q1011" s="320"/>
      <c r="R1011" s="320"/>
      <c r="S1011" s="320"/>
      <c r="T1011" s="320"/>
      <c r="U1011" s="320"/>
      <c r="V1011" s="320"/>
      <c r="W1011" s="320"/>
      <c r="X1011" s="320"/>
      <c r="Y1011" s="430"/>
      <c r="Z1011" s="430"/>
      <c r="AA1011" s="430"/>
      <c r="AB1011" s="430"/>
      <c r="AC1011" s="430"/>
      <c r="AD1011" s="430"/>
      <c r="AE1011" s="430"/>
      <c r="AF1011" s="430"/>
      <c r="AG1011" s="430"/>
      <c r="AH1011" s="430"/>
      <c r="AI1011" s="430"/>
      <c r="AJ1011" s="430"/>
      <c r="AK1011" s="430"/>
      <c r="AL1011" s="430"/>
      <c r="AM1011" s="321">
        <f>SUM(Y1011:AL1011)</f>
        <v>0</v>
      </c>
    </row>
    <row r="1012" spans="1:39" s="308" customFormat="1" ht="15" hidden="1" outlineLevel="1">
      <c r="A1012" s="560"/>
      <c r="B1012" s="319" t="s">
        <v>345</v>
      </c>
      <c r="C1012" s="316" t="s">
        <v>164</v>
      </c>
      <c r="D1012" s="320"/>
      <c r="E1012" s="320"/>
      <c r="F1012" s="320"/>
      <c r="G1012" s="320"/>
      <c r="H1012" s="320"/>
      <c r="I1012" s="320"/>
      <c r="J1012" s="320"/>
      <c r="K1012" s="320"/>
      <c r="L1012" s="320"/>
      <c r="M1012" s="320"/>
      <c r="N1012" s="320">
        <f>N1011</f>
        <v>0</v>
      </c>
      <c r="O1012" s="320"/>
      <c r="P1012" s="320"/>
      <c r="Q1012" s="320"/>
      <c r="R1012" s="320"/>
      <c r="S1012" s="320"/>
      <c r="T1012" s="320"/>
      <c r="U1012" s="320"/>
      <c r="V1012" s="320"/>
      <c r="W1012" s="320"/>
      <c r="X1012" s="320"/>
      <c r="Y1012" s="431">
        <f>Y1011</f>
        <v>0</v>
      </c>
      <c r="Z1012" s="431">
        <f t="shared" ref="Z1012:AK1012" si="3066">Z1011</f>
        <v>0</v>
      </c>
      <c r="AA1012" s="431">
        <f t="shared" si="3066"/>
        <v>0</v>
      </c>
      <c r="AB1012" s="431">
        <f t="shared" si="3066"/>
        <v>0</v>
      </c>
      <c r="AC1012" s="431">
        <f t="shared" si="3066"/>
        <v>0</v>
      </c>
      <c r="AD1012" s="431">
        <f t="shared" si="3066"/>
        <v>0</v>
      </c>
      <c r="AE1012" s="431">
        <f t="shared" si="3066"/>
        <v>0</v>
      </c>
      <c r="AF1012" s="431">
        <f t="shared" si="3066"/>
        <v>0</v>
      </c>
      <c r="AG1012" s="431">
        <f t="shared" si="3066"/>
        <v>0</v>
      </c>
      <c r="AH1012" s="431">
        <f t="shared" si="3066"/>
        <v>0</v>
      </c>
      <c r="AI1012" s="431">
        <f t="shared" si="3066"/>
        <v>0</v>
      </c>
      <c r="AJ1012" s="431">
        <f t="shared" si="3066"/>
        <v>0</v>
      </c>
      <c r="AK1012" s="431">
        <f t="shared" si="3066"/>
        <v>0</v>
      </c>
      <c r="AL1012" s="431">
        <f>AL1011</f>
        <v>0</v>
      </c>
      <c r="AM1012" s="322"/>
    </row>
    <row r="1013" spans="1:39" s="308" customFormat="1" ht="15" hidden="1" outlineLevel="1">
      <c r="A1013" s="560"/>
      <c r="B1013" s="349"/>
      <c r="C1013" s="316"/>
      <c r="D1013" s="316"/>
      <c r="E1013" s="316"/>
      <c r="F1013" s="316"/>
      <c r="G1013" s="316"/>
      <c r="H1013" s="316"/>
      <c r="I1013" s="316"/>
      <c r="J1013" s="316"/>
      <c r="K1013" s="316"/>
      <c r="L1013" s="316"/>
      <c r="M1013" s="316"/>
      <c r="N1013" s="316"/>
      <c r="O1013" s="316"/>
      <c r="P1013" s="316"/>
      <c r="Q1013" s="316"/>
      <c r="R1013" s="316"/>
      <c r="S1013" s="316"/>
      <c r="T1013" s="316"/>
      <c r="U1013" s="316"/>
      <c r="V1013" s="316"/>
      <c r="W1013" s="316"/>
      <c r="X1013" s="316"/>
      <c r="Y1013" s="432"/>
      <c r="Z1013" s="432"/>
      <c r="AA1013" s="432"/>
      <c r="AB1013" s="432"/>
      <c r="AC1013" s="432"/>
      <c r="AD1013" s="432"/>
      <c r="AE1013" s="436"/>
      <c r="AF1013" s="436"/>
      <c r="AG1013" s="436"/>
      <c r="AH1013" s="436"/>
      <c r="AI1013" s="436"/>
      <c r="AJ1013" s="436"/>
      <c r="AK1013" s="436"/>
      <c r="AL1013" s="436"/>
      <c r="AM1013" s="338"/>
    </row>
    <row r="1014" spans="1:39" ht="15.6" hidden="1" outlineLevel="1">
      <c r="A1014" s="560"/>
      <c r="B1014" s="548" t="s">
        <v>510</v>
      </c>
      <c r="C1014" s="345"/>
      <c r="D1014" s="315"/>
      <c r="E1014" s="314"/>
      <c r="F1014" s="314"/>
      <c r="G1014" s="314"/>
      <c r="H1014" s="314"/>
      <c r="I1014" s="314"/>
      <c r="J1014" s="314"/>
      <c r="K1014" s="314"/>
      <c r="L1014" s="314"/>
      <c r="M1014" s="314"/>
      <c r="N1014" s="315"/>
      <c r="O1014" s="314"/>
      <c r="P1014" s="314"/>
      <c r="Q1014" s="314"/>
      <c r="R1014" s="314"/>
      <c r="S1014" s="314"/>
      <c r="T1014" s="314"/>
      <c r="U1014" s="314"/>
      <c r="V1014" s="314"/>
      <c r="W1014" s="314"/>
      <c r="X1014" s="314"/>
      <c r="Y1014" s="434"/>
      <c r="Z1014" s="434"/>
      <c r="AA1014" s="434"/>
      <c r="AB1014" s="434"/>
      <c r="AC1014" s="434"/>
      <c r="AD1014" s="434"/>
      <c r="AE1014" s="434"/>
      <c r="AF1014" s="434"/>
      <c r="AG1014" s="434"/>
      <c r="AH1014" s="434"/>
      <c r="AI1014" s="434"/>
      <c r="AJ1014" s="434"/>
      <c r="AK1014" s="434"/>
      <c r="AL1014" s="434"/>
      <c r="AM1014" s="317"/>
    </row>
    <row r="1015" spans="1:39" ht="15" hidden="1" outlineLevel="1">
      <c r="A1015" s="560">
        <v>17</v>
      </c>
      <c r="B1015" s="448" t="s">
        <v>113</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t="15"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Y1015</f>
        <v>0</v>
      </c>
      <c r="Z1016" s="431">
        <f t="shared" ref="Z1016:AL1016" si="3067">Z1015</f>
        <v>0</v>
      </c>
      <c r="AA1016" s="431">
        <f t="shared" si="3067"/>
        <v>0</v>
      </c>
      <c r="AB1016" s="431">
        <f t="shared" si="3067"/>
        <v>0</v>
      </c>
      <c r="AC1016" s="431">
        <f t="shared" si="3067"/>
        <v>0</v>
      </c>
      <c r="AD1016" s="431">
        <f t="shared" si="3067"/>
        <v>0</v>
      </c>
      <c r="AE1016" s="431">
        <f t="shared" si="3067"/>
        <v>0</v>
      </c>
      <c r="AF1016" s="431">
        <f t="shared" si="3067"/>
        <v>0</v>
      </c>
      <c r="AG1016" s="431">
        <f t="shared" si="3067"/>
        <v>0</v>
      </c>
      <c r="AH1016" s="431">
        <f t="shared" si="3067"/>
        <v>0</v>
      </c>
      <c r="AI1016" s="431">
        <f t="shared" si="3067"/>
        <v>0</v>
      </c>
      <c r="AJ1016" s="431">
        <f t="shared" si="3067"/>
        <v>0</v>
      </c>
      <c r="AK1016" s="431">
        <f t="shared" si="3067"/>
        <v>0</v>
      </c>
      <c r="AL1016" s="431">
        <f t="shared" si="3067"/>
        <v>0</v>
      </c>
      <c r="AM1016" s="331"/>
    </row>
    <row r="1017" spans="1:39" ht="15" hidden="1" outlineLevel="1">
      <c r="A1017" s="560"/>
      <c r="B1017" s="319"/>
      <c r="C1017" s="316"/>
      <c r="D1017" s="316"/>
      <c r="E1017" s="316"/>
      <c r="F1017" s="316"/>
      <c r="G1017" s="316"/>
      <c r="H1017" s="316"/>
      <c r="I1017" s="316"/>
      <c r="J1017" s="316"/>
      <c r="K1017" s="316"/>
      <c r="L1017" s="316"/>
      <c r="M1017" s="316"/>
      <c r="N1017" s="316"/>
      <c r="O1017" s="316"/>
      <c r="P1017" s="316"/>
      <c r="Q1017" s="316"/>
      <c r="R1017" s="316"/>
      <c r="S1017" s="316"/>
      <c r="T1017" s="316"/>
      <c r="U1017" s="316"/>
      <c r="V1017" s="316"/>
      <c r="W1017" s="316"/>
      <c r="X1017" s="316"/>
      <c r="Y1017" s="442"/>
      <c r="Z1017" s="445"/>
      <c r="AA1017" s="445"/>
      <c r="AB1017" s="445"/>
      <c r="AC1017" s="445"/>
      <c r="AD1017" s="445"/>
      <c r="AE1017" s="445"/>
      <c r="AF1017" s="445"/>
      <c r="AG1017" s="445"/>
      <c r="AH1017" s="445"/>
      <c r="AI1017" s="445"/>
      <c r="AJ1017" s="445"/>
      <c r="AK1017" s="445"/>
      <c r="AL1017" s="445"/>
      <c r="AM1017" s="331"/>
    </row>
    <row r="1018" spans="1:39" ht="15" hidden="1" outlineLevel="1">
      <c r="A1018" s="560">
        <v>18</v>
      </c>
      <c r="B1018" s="448" t="s">
        <v>110</v>
      </c>
      <c r="C1018" s="316" t="s">
        <v>25</v>
      </c>
      <c r="D1018" s="320"/>
      <c r="E1018" s="320"/>
      <c r="F1018" s="320"/>
      <c r="G1018" s="320"/>
      <c r="H1018" s="320"/>
      <c r="I1018" s="320"/>
      <c r="J1018" s="320"/>
      <c r="K1018" s="320"/>
      <c r="L1018" s="320"/>
      <c r="M1018" s="320"/>
      <c r="N1018" s="320">
        <v>0</v>
      </c>
      <c r="O1018" s="320"/>
      <c r="P1018" s="320"/>
      <c r="Q1018" s="320"/>
      <c r="R1018" s="320"/>
      <c r="S1018" s="320"/>
      <c r="T1018" s="320"/>
      <c r="U1018" s="320"/>
      <c r="V1018" s="320"/>
      <c r="W1018" s="320"/>
      <c r="X1018" s="320"/>
      <c r="Y1018" s="446"/>
      <c r="Z1018" s="430"/>
      <c r="AA1018" s="430"/>
      <c r="AB1018" s="430"/>
      <c r="AC1018" s="430"/>
      <c r="AD1018" s="430"/>
      <c r="AE1018" s="430"/>
      <c r="AF1018" s="435"/>
      <c r="AG1018" s="435"/>
      <c r="AH1018" s="435"/>
      <c r="AI1018" s="435"/>
      <c r="AJ1018" s="435"/>
      <c r="AK1018" s="435"/>
      <c r="AL1018" s="435"/>
      <c r="AM1018" s="321">
        <f>SUM(Y1018:AL1018)</f>
        <v>0</v>
      </c>
    </row>
    <row r="1019" spans="1:39" ht="15" hidden="1" outlineLevel="1">
      <c r="A1019" s="560"/>
      <c r="B1019" s="319" t="s">
        <v>345</v>
      </c>
      <c r="C1019" s="316" t="s">
        <v>164</v>
      </c>
      <c r="D1019" s="320"/>
      <c r="E1019" s="320"/>
      <c r="F1019" s="320"/>
      <c r="G1019" s="320"/>
      <c r="H1019" s="320"/>
      <c r="I1019" s="320"/>
      <c r="J1019" s="320"/>
      <c r="K1019" s="320"/>
      <c r="L1019" s="320"/>
      <c r="M1019" s="320"/>
      <c r="N1019" s="320">
        <f>N1018</f>
        <v>0</v>
      </c>
      <c r="O1019" s="320"/>
      <c r="P1019" s="320"/>
      <c r="Q1019" s="320"/>
      <c r="R1019" s="320"/>
      <c r="S1019" s="320"/>
      <c r="T1019" s="320"/>
      <c r="U1019" s="320"/>
      <c r="V1019" s="320"/>
      <c r="W1019" s="320"/>
      <c r="X1019" s="320"/>
      <c r="Y1019" s="431">
        <f>Y1018</f>
        <v>0</v>
      </c>
      <c r="Z1019" s="431">
        <f t="shared" ref="Z1019:AL1019" si="3068">Z1018</f>
        <v>0</v>
      </c>
      <c r="AA1019" s="431">
        <f t="shared" si="3068"/>
        <v>0</v>
      </c>
      <c r="AB1019" s="431">
        <f t="shared" si="3068"/>
        <v>0</v>
      </c>
      <c r="AC1019" s="431">
        <f t="shared" si="3068"/>
        <v>0</v>
      </c>
      <c r="AD1019" s="431">
        <f t="shared" si="3068"/>
        <v>0</v>
      </c>
      <c r="AE1019" s="431">
        <f t="shared" si="3068"/>
        <v>0</v>
      </c>
      <c r="AF1019" s="431">
        <f t="shared" si="3068"/>
        <v>0</v>
      </c>
      <c r="AG1019" s="431">
        <f t="shared" si="3068"/>
        <v>0</v>
      </c>
      <c r="AH1019" s="431">
        <f t="shared" si="3068"/>
        <v>0</v>
      </c>
      <c r="AI1019" s="431">
        <f t="shared" si="3068"/>
        <v>0</v>
      </c>
      <c r="AJ1019" s="431">
        <f t="shared" si="3068"/>
        <v>0</v>
      </c>
      <c r="AK1019" s="431">
        <f t="shared" si="3068"/>
        <v>0</v>
      </c>
      <c r="AL1019" s="431">
        <f t="shared" si="3068"/>
        <v>0</v>
      </c>
      <c r="AM1019" s="331"/>
    </row>
    <row r="1020" spans="1:39" ht="15" hidden="1" outlineLevel="1">
      <c r="A1020" s="560"/>
      <c r="B1020" s="347"/>
      <c r="C1020" s="316"/>
      <c r="D1020" s="316"/>
      <c r="E1020" s="316"/>
      <c r="F1020" s="316"/>
      <c r="G1020" s="316"/>
      <c r="H1020" s="316"/>
      <c r="I1020" s="316"/>
      <c r="J1020" s="316"/>
      <c r="K1020" s="316"/>
      <c r="L1020" s="316"/>
      <c r="M1020" s="316"/>
      <c r="N1020" s="316"/>
      <c r="O1020" s="316"/>
      <c r="P1020" s="316"/>
      <c r="Q1020" s="316"/>
      <c r="R1020" s="316"/>
      <c r="S1020" s="316"/>
      <c r="T1020" s="316"/>
      <c r="U1020" s="316"/>
      <c r="V1020" s="316"/>
      <c r="W1020" s="316"/>
      <c r="X1020" s="316"/>
      <c r="Y1020" s="443"/>
      <c r="Z1020" s="444"/>
      <c r="AA1020" s="444"/>
      <c r="AB1020" s="444"/>
      <c r="AC1020" s="444"/>
      <c r="AD1020" s="444"/>
      <c r="AE1020" s="444"/>
      <c r="AF1020" s="444"/>
      <c r="AG1020" s="444"/>
      <c r="AH1020" s="444"/>
      <c r="AI1020" s="444"/>
      <c r="AJ1020" s="444"/>
      <c r="AK1020" s="444"/>
      <c r="AL1020" s="444"/>
      <c r="AM1020" s="322"/>
    </row>
    <row r="1021" spans="1:39" ht="15" hidden="1" outlineLevel="1">
      <c r="A1021" s="560">
        <v>19</v>
      </c>
      <c r="B1021" s="448" t="s">
        <v>112</v>
      </c>
      <c r="C1021" s="316" t="s">
        <v>25</v>
      </c>
      <c r="D1021" s="320"/>
      <c r="E1021" s="320"/>
      <c r="F1021" s="320"/>
      <c r="G1021" s="320"/>
      <c r="H1021" s="320"/>
      <c r="I1021" s="320"/>
      <c r="J1021" s="320"/>
      <c r="K1021" s="320"/>
      <c r="L1021" s="320"/>
      <c r="M1021" s="320"/>
      <c r="N1021" s="320">
        <v>0</v>
      </c>
      <c r="O1021" s="320"/>
      <c r="P1021" s="320"/>
      <c r="Q1021" s="320"/>
      <c r="R1021" s="320"/>
      <c r="S1021" s="320"/>
      <c r="T1021" s="320"/>
      <c r="U1021" s="320"/>
      <c r="V1021" s="320"/>
      <c r="W1021" s="320"/>
      <c r="X1021" s="320"/>
      <c r="Y1021" s="446"/>
      <c r="Z1021" s="430"/>
      <c r="AA1021" s="430"/>
      <c r="AB1021" s="430"/>
      <c r="AC1021" s="430"/>
      <c r="AD1021" s="430"/>
      <c r="AE1021" s="430"/>
      <c r="AF1021" s="435"/>
      <c r="AG1021" s="435"/>
      <c r="AH1021" s="435"/>
      <c r="AI1021" s="435"/>
      <c r="AJ1021" s="435"/>
      <c r="AK1021" s="435"/>
      <c r="AL1021" s="435"/>
      <c r="AM1021" s="321">
        <f>SUM(Y1021:AL1021)</f>
        <v>0</v>
      </c>
    </row>
    <row r="1022" spans="1:39" ht="15" hidden="1" outlineLevel="1">
      <c r="A1022" s="560"/>
      <c r="B1022" s="319" t="s">
        <v>345</v>
      </c>
      <c r="C1022" s="316" t="s">
        <v>164</v>
      </c>
      <c r="D1022" s="320"/>
      <c r="E1022" s="320"/>
      <c r="F1022" s="320"/>
      <c r="G1022" s="320"/>
      <c r="H1022" s="320"/>
      <c r="I1022" s="320"/>
      <c r="J1022" s="320"/>
      <c r="K1022" s="320"/>
      <c r="L1022" s="320"/>
      <c r="M1022" s="320"/>
      <c r="N1022" s="320">
        <f>N1021</f>
        <v>0</v>
      </c>
      <c r="O1022" s="320"/>
      <c r="P1022" s="320"/>
      <c r="Q1022" s="320"/>
      <c r="R1022" s="320"/>
      <c r="S1022" s="320"/>
      <c r="T1022" s="320"/>
      <c r="U1022" s="320"/>
      <c r="V1022" s="320"/>
      <c r="W1022" s="320"/>
      <c r="X1022" s="320"/>
      <c r="Y1022" s="431">
        <f>Y1021</f>
        <v>0</v>
      </c>
      <c r="Z1022" s="431">
        <f t="shared" ref="Z1022:AL1022" si="3069">Z1021</f>
        <v>0</v>
      </c>
      <c r="AA1022" s="431">
        <f t="shared" si="3069"/>
        <v>0</v>
      </c>
      <c r="AB1022" s="431">
        <f t="shared" si="3069"/>
        <v>0</v>
      </c>
      <c r="AC1022" s="431">
        <f t="shared" si="3069"/>
        <v>0</v>
      </c>
      <c r="AD1022" s="431">
        <f t="shared" si="3069"/>
        <v>0</v>
      </c>
      <c r="AE1022" s="431">
        <f t="shared" si="3069"/>
        <v>0</v>
      </c>
      <c r="AF1022" s="431">
        <f t="shared" si="3069"/>
        <v>0</v>
      </c>
      <c r="AG1022" s="431">
        <f t="shared" si="3069"/>
        <v>0</v>
      </c>
      <c r="AH1022" s="431">
        <f t="shared" si="3069"/>
        <v>0</v>
      </c>
      <c r="AI1022" s="431">
        <f t="shared" si="3069"/>
        <v>0</v>
      </c>
      <c r="AJ1022" s="431">
        <f t="shared" si="3069"/>
        <v>0</v>
      </c>
      <c r="AK1022" s="431">
        <f t="shared" si="3069"/>
        <v>0</v>
      </c>
      <c r="AL1022" s="431">
        <f t="shared" si="3069"/>
        <v>0</v>
      </c>
      <c r="AM1022" s="322"/>
    </row>
    <row r="1023" spans="1:39" ht="15" hidden="1" outlineLevel="1">
      <c r="A1023" s="560"/>
      <c r="B1023" s="347"/>
      <c r="C1023" s="316"/>
      <c r="D1023" s="316"/>
      <c r="E1023" s="316"/>
      <c r="F1023" s="316"/>
      <c r="G1023" s="316"/>
      <c r="H1023" s="316"/>
      <c r="I1023" s="316"/>
      <c r="J1023" s="316"/>
      <c r="K1023" s="316"/>
      <c r="L1023" s="316"/>
      <c r="M1023" s="316"/>
      <c r="N1023" s="316"/>
      <c r="O1023" s="316"/>
      <c r="P1023" s="316"/>
      <c r="Q1023" s="316"/>
      <c r="R1023" s="316"/>
      <c r="S1023" s="316"/>
      <c r="T1023" s="316"/>
      <c r="U1023" s="316"/>
      <c r="V1023" s="316"/>
      <c r="W1023" s="316"/>
      <c r="X1023" s="316"/>
      <c r="Y1023" s="432"/>
      <c r="Z1023" s="432"/>
      <c r="AA1023" s="432"/>
      <c r="AB1023" s="432"/>
      <c r="AC1023" s="432"/>
      <c r="AD1023" s="432"/>
      <c r="AE1023" s="432"/>
      <c r="AF1023" s="432"/>
      <c r="AG1023" s="432"/>
      <c r="AH1023" s="432"/>
      <c r="AI1023" s="432"/>
      <c r="AJ1023" s="432"/>
      <c r="AK1023" s="432"/>
      <c r="AL1023" s="432"/>
      <c r="AM1023" s="331"/>
    </row>
    <row r="1024" spans="1:39" ht="15" hidden="1" outlineLevel="1">
      <c r="A1024" s="560">
        <v>20</v>
      </c>
      <c r="B1024" s="448" t="s">
        <v>111</v>
      </c>
      <c r="C1024" s="316" t="s">
        <v>25</v>
      </c>
      <c r="D1024" s="320"/>
      <c r="E1024" s="320"/>
      <c r="F1024" s="320"/>
      <c r="G1024" s="320"/>
      <c r="H1024" s="320"/>
      <c r="I1024" s="320"/>
      <c r="J1024" s="320"/>
      <c r="K1024" s="320"/>
      <c r="L1024" s="320"/>
      <c r="M1024" s="320"/>
      <c r="N1024" s="320">
        <v>0</v>
      </c>
      <c r="O1024" s="320"/>
      <c r="P1024" s="320"/>
      <c r="Q1024" s="320"/>
      <c r="R1024" s="320"/>
      <c r="S1024" s="320"/>
      <c r="T1024" s="320"/>
      <c r="U1024" s="320"/>
      <c r="V1024" s="320"/>
      <c r="W1024" s="320"/>
      <c r="X1024" s="320"/>
      <c r="Y1024" s="446"/>
      <c r="Z1024" s="430"/>
      <c r="AA1024" s="430"/>
      <c r="AB1024" s="430"/>
      <c r="AC1024" s="430"/>
      <c r="AD1024" s="430"/>
      <c r="AE1024" s="430"/>
      <c r="AF1024" s="435"/>
      <c r="AG1024" s="435"/>
      <c r="AH1024" s="435"/>
      <c r="AI1024" s="435"/>
      <c r="AJ1024" s="435"/>
      <c r="AK1024" s="435"/>
      <c r="AL1024" s="435"/>
      <c r="AM1024" s="321">
        <f>SUM(Y1024:AL1024)</f>
        <v>0</v>
      </c>
    </row>
    <row r="1025" spans="1:39" ht="15" hidden="1" outlineLevel="1">
      <c r="A1025" s="560"/>
      <c r="B1025" s="319" t="s">
        <v>345</v>
      </c>
      <c r="C1025" s="316" t="s">
        <v>164</v>
      </c>
      <c r="D1025" s="320"/>
      <c r="E1025" s="320"/>
      <c r="F1025" s="320"/>
      <c r="G1025" s="320"/>
      <c r="H1025" s="320"/>
      <c r="I1025" s="320"/>
      <c r="J1025" s="320"/>
      <c r="K1025" s="320"/>
      <c r="L1025" s="320"/>
      <c r="M1025" s="320"/>
      <c r="N1025" s="320">
        <f>N1024</f>
        <v>0</v>
      </c>
      <c r="O1025" s="320"/>
      <c r="P1025" s="320"/>
      <c r="Q1025" s="320"/>
      <c r="R1025" s="320"/>
      <c r="S1025" s="320"/>
      <c r="T1025" s="320"/>
      <c r="U1025" s="320"/>
      <c r="V1025" s="320"/>
      <c r="W1025" s="320"/>
      <c r="X1025" s="320"/>
      <c r="Y1025" s="431">
        <f t="shared" ref="Y1025:AL1025" si="3070">Y1024</f>
        <v>0</v>
      </c>
      <c r="Z1025" s="431">
        <f t="shared" si="3070"/>
        <v>0</v>
      </c>
      <c r="AA1025" s="431">
        <f t="shared" si="3070"/>
        <v>0</v>
      </c>
      <c r="AB1025" s="431">
        <f t="shared" si="3070"/>
        <v>0</v>
      </c>
      <c r="AC1025" s="431">
        <f t="shared" si="3070"/>
        <v>0</v>
      </c>
      <c r="AD1025" s="431">
        <f t="shared" si="3070"/>
        <v>0</v>
      </c>
      <c r="AE1025" s="431">
        <f t="shared" si="3070"/>
        <v>0</v>
      </c>
      <c r="AF1025" s="431">
        <f t="shared" si="3070"/>
        <v>0</v>
      </c>
      <c r="AG1025" s="431">
        <f t="shared" si="3070"/>
        <v>0</v>
      </c>
      <c r="AH1025" s="431">
        <f t="shared" si="3070"/>
        <v>0</v>
      </c>
      <c r="AI1025" s="431">
        <f t="shared" si="3070"/>
        <v>0</v>
      </c>
      <c r="AJ1025" s="431">
        <f t="shared" si="3070"/>
        <v>0</v>
      </c>
      <c r="AK1025" s="431">
        <f t="shared" si="3070"/>
        <v>0</v>
      </c>
      <c r="AL1025" s="431">
        <f t="shared" si="3070"/>
        <v>0</v>
      </c>
      <c r="AM1025" s="331"/>
    </row>
    <row r="1026" spans="1:39" ht="15.6" hidden="1" outlineLevel="1">
      <c r="A1026" s="560"/>
      <c r="B1026" s="348"/>
      <c r="C1026" s="325"/>
      <c r="D1026" s="316"/>
      <c r="E1026" s="316"/>
      <c r="F1026" s="316"/>
      <c r="G1026" s="316"/>
      <c r="H1026" s="316"/>
      <c r="I1026" s="316"/>
      <c r="J1026" s="316"/>
      <c r="K1026" s="316"/>
      <c r="L1026" s="316"/>
      <c r="M1026" s="316"/>
      <c r="N1026" s="325"/>
      <c r="O1026" s="316"/>
      <c r="P1026" s="316"/>
      <c r="Q1026" s="316"/>
      <c r="R1026" s="316"/>
      <c r="S1026" s="316"/>
      <c r="T1026" s="316"/>
      <c r="U1026" s="316"/>
      <c r="V1026" s="316"/>
      <c r="W1026" s="316"/>
      <c r="X1026" s="316"/>
      <c r="Y1026" s="432"/>
      <c r="Z1026" s="432"/>
      <c r="AA1026" s="432"/>
      <c r="AB1026" s="432"/>
      <c r="AC1026" s="432"/>
      <c r="AD1026" s="432"/>
      <c r="AE1026" s="432"/>
      <c r="AF1026" s="432"/>
      <c r="AG1026" s="432"/>
      <c r="AH1026" s="432"/>
      <c r="AI1026" s="432"/>
      <c r="AJ1026" s="432"/>
      <c r="AK1026" s="432"/>
      <c r="AL1026" s="432"/>
      <c r="AM1026" s="331"/>
    </row>
    <row r="1027" spans="1:39" ht="15.6" hidden="1" outlineLevel="1">
      <c r="A1027" s="560"/>
      <c r="B1027" s="547" t="s">
        <v>517</v>
      </c>
      <c r="C1027" s="316"/>
      <c r="D1027" s="316"/>
      <c r="E1027" s="316"/>
      <c r="F1027" s="316"/>
      <c r="G1027" s="316"/>
      <c r="H1027" s="316"/>
      <c r="I1027" s="316"/>
      <c r="J1027" s="316"/>
      <c r="K1027" s="316"/>
      <c r="L1027" s="316"/>
      <c r="M1027" s="316"/>
      <c r="N1027" s="316"/>
      <c r="O1027" s="316"/>
      <c r="P1027" s="316"/>
      <c r="Q1027" s="316"/>
      <c r="R1027" s="316"/>
      <c r="S1027" s="316"/>
      <c r="T1027" s="316"/>
      <c r="U1027" s="316"/>
      <c r="V1027" s="316"/>
      <c r="W1027" s="316"/>
      <c r="X1027" s="316"/>
      <c r="Y1027" s="442"/>
      <c r="Z1027" s="445"/>
      <c r="AA1027" s="445"/>
      <c r="AB1027" s="445"/>
      <c r="AC1027" s="445"/>
      <c r="AD1027" s="445"/>
      <c r="AE1027" s="445"/>
      <c r="AF1027" s="445"/>
      <c r="AG1027" s="445"/>
      <c r="AH1027" s="445"/>
      <c r="AI1027" s="445"/>
      <c r="AJ1027" s="445"/>
      <c r="AK1027" s="445"/>
      <c r="AL1027" s="445"/>
      <c r="AM1027" s="331"/>
    </row>
    <row r="1028" spans="1:39" ht="15.6" hidden="1" outlineLevel="1">
      <c r="A1028" s="560"/>
      <c r="B1028" s="533" t="s">
        <v>513</v>
      </c>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21</v>
      </c>
      <c r="B1029" s="448" t="s">
        <v>114</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071">Z1029</f>
        <v>0</v>
      </c>
      <c r="AA1030" s="431">
        <f t="shared" ref="AA1030" si="3072">AA1029</f>
        <v>0</v>
      </c>
      <c r="AB1030" s="431">
        <f t="shared" ref="AB1030" si="3073">AB1029</f>
        <v>0</v>
      </c>
      <c r="AC1030" s="431">
        <f t="shared" ref="AC1030" si="3074">AC1029</f>
        <v>0</v>
      </c>
      <c r="AD1030" s="431">
        <f t="shared" ref="AD1030" si="3075">AD1029</f>
        <v>0</v>
      </c>
      <c r="AE1030" s="431">
        <f t="shared" ref="AE1030" si="3076">AE1029</f>
        <v>0</v>
      </c>
      <c r="AF1030" s="431">
        <f t="shared" ref="AF1030" si="3077">AF1029</f>
        <v>0</v>
      </c>
      <c r="AG1030" s="431">
        <f t="shared" ref="AG1030" si="3078">AG1029</f>
        <v>0</v>
      </c>
      <c r="AH1030" s="431">
        <f t="shared" ref="AH1030" si="3079">AH1029</f>
        <v>0</v>
      </c>
      <c r="AI1030" s="431">
        <f t="shared" ref="AI1030" si="3080">AI1029</f>
        <v>0</v>
      </c>
      <c r="AJ1030" s="431">
        <f t="shared" ref="AJ1030" si="3081">AJ1029</f>
        <v>0</v>
      </c>
      <c r="AK1030" s="431">
        <f t="shared" ref="AK1030" si="3082">AK1029</f>
        <v>0</v>
      </c>
      <c r="AL1030" s="431">
        <f t="shared" ref="AL1030" si="3083">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4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v>22</v>
      </c>
      <c r="B1032" s="448" t="s">
        <v>115</v>
      </c>
      <c r="C1032" s="316" t="s">
        <v>25</v>
      </c>
      <c r="D1032" s="320"/>
      <c r="E1032" s="320"/>
      <c r="F1032" s="320"/>
      <c r="G1032" s="320"/>
      <c r="H1032" s="320"/>
      <c r="I1032" s="320"/>
      <c r="J1032" s="320"/>
      <c r="K1032" s="320"/>
      <c r="L1032" s="320"/>
      <c r="M1032" s="320"/>
      <c r="N1032" s="316"/>
      <c r="O1032" s="320"/>
      <c r="P1032" s="320"/>
      <c r="Q1032" s="320"/>
      <c r="R1032" s="320"/>
      <c r="S1032" s="320"/>
      <c r="T1032" s="320"/>
      <c r="U1032" s="320"/>
      <c r="V1032" s="320"/>
      <c r="W1032" s="320"/>
      <c r="X1032" s="320"/>
      <c r="Y1032" s="430"/>
      <c r="Z1032" s="430"/>
      <c r="AA1032" s="430"/>
      <c r="AB1032" s="430"/>
      <c r="AC1032" s="430"/>
      <c r="AD1032" s="430"/>
      <c r="AE1032" s="430"/>
      <c r="AF1032" s="430"/>
      <c r="AG1032" s="430"/>
      <c r="AH1032" s="430"/>
      <c r="AI1032" s="430"/>
      <c r="AJ1032" s="430"/>
      <c r="AK1032" s="430"/>
      <c r="AL1032" s="430"/>
      <c r="AM1032" s="321">
        <f>SUM(Y1032:AL1032)</f>
        <v>0</v>
      </c>
    </row>
    <row r="1033" spans="1:39" ht="15" hidden="1" customHeight="1" outlineLevel="1">
      <c r="A1033" s="560"/>
      <c r="B1033" s="319" t="s">
        <v>349</v>
      </c>
      <c r="C1033" s="316" t="s">
        <v>164</v>
      </c>
      <c r="D1033" s="320"/>
      <c r="E1033" s="320"/>
      <c r="F1033" s="320"/>
      <c r="G1033" s="320"/>
      <c r="H1033" s="320"/>
      <c r="I1033" s="320"/>
      <c r="J1033" s="320"/>
      <c r="K1033" s="320"/>
      <c r="L1033" s="320"/>
      <c r="M1033" s="320"/>
      <c r="N1033" s="316"/>
      <c r="O1033" s="320"/>
      <c r="P1033" s="320"/>
      <c r="Q1033" s="320"/>
      <c r="R1033" s="320"/>
      <c r="S1033" s="320"/>
      <c r="T1033" s="320"/>
      <c r="U1033" s="320"/>
      <c r="V1033" s="320"/>
      <c r="W1033" s="320"/>
      <c r="X1033" s="320"/>
      <c r="Y1033" s="431">
        <f>Y1032</f>
        <v>0</v>
      </c>
      <c r="Z1033" s="431">
        <f t="shared" ref="Z1033" si="3084">Z1032</f>
        <v>0</v>
      </c>
      <c r="AA1033" s="431">
        <f t="shared" ref="AA1033" si="3085">AA1032</f>
        <v>0</v>
      </c>
      <c r="AB1033" s="431">
        <f t="shared" ref="AB1033" si="3086">AB1032</f>
        <v>0</v>
      </c>
      <c r="AC1033" s="431">
        <f t="shared" ref="AC1033" si="3087">AC1032</f>
        <v>0</v>
      </c>
      <c r="AD1033" s="431">
        <f t="shared" ref="AD1033" si="3088">AD1032</f>
        <v>0</v>
      </c>
      <c r="AE1033" s="431">
        <f t="shared" ref="AE1033" si="3089">AE1032</f>
        <v>0</v>
      </c>
      <c r="AF1033" s="431">
        <f t="shared" ref="AF1033" si="3090">AF1032</f>
        <v>0</v>
      </c>
      <c r="AG1033" s="431">
        <f t="shared" ref="AG1033" si="3091">AG1032</f>
        <v>0</v>
      </c>
      <c r="AH1033" s="431">
        <f t="shared" ref="AH1033" si="3092">AH1032</f>
        <v>0</v>
      </c>
      <c r="AI1033" s="431">
        <f t="shared" ref="AI1033" si="3093">AI1032</f>
        <v>0</v>
      </c>
      <c r="AJ1033" s="431">
        <f t="shared" ref="AJ1033" si="3094">AJ1032</f>
        <v>0</v>
      </c>
      <c r="AK1033" s="431">
        <f t="shared" ref="AK1033" si="3095">AK1032</f>
        <v>0</v>
      </c>
      <c r="AL1033" s="431">
        <f t="shared" ref="AL1033" si="3096">AL1032</f>
        <v>0</v>
      </c>
      <c r="AM1033" s="331"/>
    </row>
    <row r="1034" spans="1:39" ht="15" hidden="1" customHeight="1" outlineLevel="1">
      <c r="A1034" s="560"/>
      <c r="B1034" s="319"/>
      <c r="C1034" s="316"/>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442"/>
      <c r="Z1034" s="445"/>
      <c r="AA1034" s="445"/>
      <c r="AB1034" s="445"/>
      <c r="AC1034" s="445"/>
      <c r="AD1034" s="445"/>
      <c r="AE1034" s="445"/>
      <c r="AF1034" s="445"/>
      <c r="AG1034" s="445"/>
      <c r="AH1034" s="445"/>
      <c r="AI1034" s="445"/>
      <c r="AJ1034" s="445"/>
      <c r="AK1034" s="445"/>
      <c r="AL1034" s="445"/>
      <c r="AM1034" s="331"/>
    </row>
    <row r="1035" spans="1:39" ht="15" hidden="1" customHeight="1" outlineLevel="1">
      <c r="A1035" s="560">
        <v>23</v>
      </c>
      <c r="B1035" s="448" t="s">
        <v>116</v>
      </c>
      <c r="C1035" s="316" t="s">
        <v>25</v>
      </c>
      <c r="D1035" s="320"/>
      <c r="E1035" s="320"/>
      <c r="F1035" s="320"/>
      <c r="G1035" s="320"/>
      <c r="H1035" s="320"/>
      <c r="I1035" s="320"/>
      <c r="J1035" s="320"/>
      <c r="K1035" s="320"/>
      <c r="L1035" s="320"/>
      <c r="M1035" s="320"/>
      <c r="N1035" s="316"/>
      <c r="O1035" s="320"/>
      <c r="P1035" s="320"/>
      <c r="Q1035" s="320"/>
      <c r="R1035" s="320"/>
      <c r="S1035" s="320"/>
      <c r="T1035" s="320"/>
      <c r="U1035" s="320"/>
      <c r="V1035" s="320"/>
      <c r="W1035" s="320"/>
      <c r="X1035" s="320"/>
      <c r="Y1035" s="430"/>
      <c r="Z1035" s="430"/>
      <c r="AA1035" s="430"/>
      <c r="AB1035" s="430"/>
      <c r="AC1035" s="430"/>
      <c r="AD1035" s="430"/>
      <c r="AE1035" s="430"/>
      <c r="AF1035" s="430"/>
      <c r="AG1035" s="430"/>
      <c r="AH1035" s="430"/>
      <c r="AI1035" s="430"/>
      <c r="AJ1035" s="430"/>
      <c r="AK1035" s="430"/>
      <c r="AL1035" s="430"/>
      <c r="AM1035" s="321">
        <f>SUM(Y1035:AL1035)</f>
        <v>0</v>
      </c>
    </row>
    <row r="1036" spans="1:39" ht="15" hidden="1" customHeight="1" outlineLevel="1">
      <c r="A1036" s="560"/>
      <c r="B1036" s="319" t="s">
        <v>349</v>
      </c>
      <c r="C1036" s="316" t="s">
        <v>164</v>
      </c>
      <c r="D1036" s="320"/>
      <c r="E1036" s="320"/>
      <c r="F1036" s="320"/>
      <c r="G1036" s="320"/>
      <c r="H1036" s="320"/>
      <c r="I1036" s="320"/>
      <c r="J1036" s="320"/>
      <c r="K1036" s="320"/>
      <c r="L1036" s="320"/>
      <c r="M1036" s="320"/>
      <c r="N1036" s="316"/>
      <c r="O1036" s="320"/>
      <c r="P1036" s="320"/>
      <c r="Q1036" s="320"/>
      <c r="R1036" s="320"/>
      <c r="S1036" s="320"/>
      <c r="T1036" s="320"/>
      <c r="U1036" s="320"/>
      <c r="V1036" s="320"/>
      <c r="W1036" s="320"/>
      <c r="X1036" s="320"/>
      <c r="Y1036" s="431">
        <f>Y1035</f>
        <v>0</v>
      </c>
      <c r="Z1036" s="431">
        <f t="shared" ref="Z1036" si="3097">Z1035</f>
        <v>0</v>
      </c>
      <c r="AA1036" s="431">
        <f t="shared" ref="AA1036" si="3098">AA1035</f>
        <v>0</v>
      </c>
      <c r="AB1036" s="431">
        <f t="shared" ref="AB1036" si="3099">AB1035</f>
        <v>0</v>
      </c>
      <c r="AC1036" s="431">
        <f t="shared" ref="AC1036" si="3100">AC1035</f>
        <v>0</v>
      </c>
      <c r="AD1036" s="431">
        <f t="shared" ref="AD1036" si="3101">AD1035</f>
        <v>0</v>
      </c>
      <c r="AE1036" s="431">
        <f t="shared" ref="AE1036" si="3102">AE1035</f>
        <v>0</v>
      </c>
      <c r="AF1036" s="431">
        <f t="shared" ref="AF1036" si="3103">AF1035</f>
        <v>0</v>
      </c>
      <c r="AG1036" s="431">
        <f t="shared" ref="AG1036" si="3104">AG1035</f>
        <v>0</v>
      </c>
      <c r="AH1036" s="431">
        <f t="shared" ref="AH1036" si="3105">AH1035</f>
        <v>0</v>
      </c>
      <c r="AI1036" s="431">
        <f t="shared" ref="AI1036" si="3106">AI1035</f>
        <v>0</v>
      </c>
      <c r="AJ1036" s="431">
        <f t="shared" ref="AJ1036" si="3107">AJ1035</f>
        <v>0</v>
      </c>
      <c r="AK1036" s="431">
        <f t="shared" ref="AK1036" si="3108">AK1035</f>
        <v>0</v>
      </c>
      <c r="AL1036" s="431">
        <f t="shared" ref="AL1036" si="3109">AL1035</f>
        <v>0</v>
      </c>
      <c r="AM1036" s="331"/>
    </row>
    <row r="1037" spans="1:39" ht="15" hidden="1" customHeight="1" outlineLevel="1">
      <c r="A1037" s="560"/>
      <c r="B1037" s="450"/>
      <c r="C1037" s="316"/>
      <c r="D1037" s="316"/>
      <c r="E1037" s="316"/>
      <c r="F1037" s="316"/>
      <c r="G1037" s="316"/>
      <c r="H1037" s="316"/>
      <c r="I1037" s="316"/>
      <c r="J1037" s="316"/>
      <c r="K1037" s="316"/>
      <c r="L1037" s="316"/>
      <c r="M1037" s="316"/>
      <c r="N1037" s="316"/>
      <c r="O1037" s="316"/>
      <c r="P1037" s="316"/>
      <c r="Q1037" s="316"/>
      <c r="R1037" s="316"/>
      <c r="S1037" s="316"/>
      <c r="T1037" s="316"/>
      <c r="U1037" s="316"/>
      <c r="V1037" s="316"/>
      <c r="W1037" s="316"/>
      <c r="X1037" s="316"/>
      <c r="Y1037" s="442"/>
      <c r="Z1037" s="445"/>
      <c r="AA1037" s="445"/>
      <c r="AB1037" s="445"/>
      <c r="AC1037" s="445"/>
      <c r="AD1037" s="445"/>
      <c r="AE1037" s="445"/>
      <c r="AF1037" s="445"/>
      <c r="AG1037" s="445"/>
      <c r="AH1037" s="445"/>
      <c r="AI1037" s="445"/>
      <c r="AJ1037" s="445"/>
      <c r="AK1037" s="445"/>
      <c r="AL1037" s="445"/>
      <c r="AM1037" s="331"/>
    </row>
    <row r="1038" spans="1:39" ht="15" hidden="1" customHeight="1" outlineLevel="1">
      <c r="A1038" s="560">
        <v>24</v>
      </c>
      <c r="B1038" s="448" t="s">
        <v>117</v>
      </c>
      <c r="C1038" s="316" t="s">
        <v>25</v>
      </c>
      <c r="D1038" s="320"/>
      <c r="E1038" s="320"/>
      <c r="F1038" s="320"/>
      <c r="G1038" s="320"/>
      <c r="H1038" s="320"/>
      <c r="I1038" s="320"/>
      <c r="J1038" s="320"/>
      <c r="K1038" s="320"/>
      <c r="L1038" s="320"/>
      <c r="M1038" s="320"/>
      <c r="N1038" s="316"/>
      <c r="O1038" s="320"/>
      <c r="P1038" s="320"/>
      <c r="Q1038" s="320"/>
      <c r="R1038" s="320"/>
      <c r="S1038" s="320"/>
      <c r="T1038" s="320"/>
      <c r="U1038" s="320"/>
      <c r="V1038" s="320"/>
      <c r="W1038" s="320"/>
      <c r="X1038" s="320"/>
      <c r="Y1038" s="430"/>
      <c r="Z1038" s="430"/>
      <c r="AA1038" s="430"/>
      <c r="AB1038" s="430"/>
      <c r="AC1038" s="430"/>
      <c r="AD1038" s="430"/>
      <c r="AE1038" s="430"/>
      <c r="AF1038" s="430"/>
      <c r="AG1038" s="430"/>
      <c r="AH1038" s="430"/>
      <c r="AI1038" s="430"/>
      <c r="AJ1038" s="430"/>
      <c r="AK1038" s="430"/>
      <c r="AL1038" s="430"/>
      <c r="AM1038" s="321">
        <f>SUM(Y1038:AL1038)</f>
        <v>0</v>
      </c>
    </row>
    <row r="1039" spans="1:39" ht="15" hidden="1" customHeight="1" outlineLevel="1">
      <c r="A1039" s="560"/>
      <c r="B1039" s="319" t="s">
        <v>349</v>
      </c>
      <c r="C1039" s="316" t="s">
        <v>164</v>
      </c>
      <c r="D1039" s="320"/>
      <c r="E1039" s="320"/>
      <c r="F1039" s="320"/>
      <c r="G1039" s="320"/>
      <c r="H1039" s="320"/>
      <c r="I1039" s="320"/>
      <c r="J1039" s="320"/>
      <c r="K1039" s="320"/>
      <c r="L1039" s="320"/>
      <c r="M1039" s="320"/>
      <c r="N1039" s="316"/>
      <c r="O1039" s="320"/>
      <c r="P1039" s="320"/>
      <c r="Q1039" s="320"/>
      <c r="R1039" s="320"/>
      <c r="S1039" s="320"/>
      <c r="T1039" s="320"/>
      <c r="U1039" s="320"/>
      <c r="V1039" s="320"/>
      <c r="W1039" s="320"/>
      <c r="X1039" s="320"/>
      <c r="Y1039" s="431">
        <f>Y1038</f>
        <v>0</v>
      </c>
      <c r="Z1039" s="431">
        <f t="shared" ref="Z1039" si="3110">Z1038</f>
        <v>0</v>
      </c>
      <c r="AA1039" s="431">
        <f t="shared" ref="AA1039" si="3111">AA1038</f>
        <v>0</v>
      </c>
      <c r="AB1039" s="431">
        <f t="shared" ref="AB1039" si="3112">AB1038</f>
        <v>0</v>
      </c>
      <c r="AC1039" s="431">
        <f t="shared" ref="AC1039" si="3113">AC1038</f>
        <v>0</v>
      </c>
      <c r="AD1039" s="431">
        <f t="shared" ref="AD1039" si="3114">AD1038</f>
        <v>0</v>
      </c>
      <c r="AE1039" s="431">
        <f t="shared" ref="AE1039" si="3115">AE1038</f>
        <v>0</v>
      </c>
      <c r="AF1039" s="431">
        <f t="shared" ref="AF1039" si="3116">AF1038</f>
        <v>0</v>
      </c>
      <c r="AG1039" s="431">
        <f t="shared" ref="AG1039" si="3117">AG1038</f>
        <v>0</v>
      </c>
      <c r="AH1039" s="431">
        <f t="shared" ref="AH1039" si="3118">AH1038</f>
        <v>0</v>
      </c>
      <c r="AI1039" s="431">
        <f t="shared" ref="AI1039" si="3119">AI1038</f>
        <v>0</v>
      </c>
      <c r="AJ1039" s="431">
        <f t="shared" ref="AJ1039" si="3120">AJ1038</f>
        <v>0</v>
      </c>
      <c r="AK1039" s="431">
        <f t="shared" ref="AK1039" si="3121">AK1038</f>
        <v>0</v>
      </c>
      <c r="AL1039" s="431">
        <f t="shared" ref="AL1039" si="3122">AL1038</f>
        <v>0</v>
      </c>
      <c r="AM1039" s="331"/>
    </row>
    <row r="1040" spans="1:39" ht="15" hidden="1" customHeight="1" outlineLevel="1">
      <c r="A1040" s="560"/>
      <c r="B1040" s="319"/>
      <c r="C1040" s="316"/>
      <c r="D1040" s="316"/>
      <c r="E1040" s="316"/>
      <c r="F1040" s="316"/>
      <c r="G1040" s="316"/>
      <c r="H1040" s="316"/>
      <c r="I1040" s="316"/>
      <c r="J1040" s="316"/>
      <c r="K1040" s="316"/>
      <c r="L1040" s="316"/>
      <c r="M1040" s="316"/>
      <c r="N1040" s="316"/>
      <c r="O1040" s="316"/>
      <c r="P1040" s="316"/>
      <c r="Q1040" s="316"/>
      <c r="R1040" s="316"/>
      <c r="S1040" s="316"/>
      <c r="T1040" s="316"/>
      <c r="U1040" s="316"/>
      <c r="V1040" s="316"/>
      <c r="W1040" s="316"/>
      <c r="X1040" s="316"/>
      <c r="Y1040" s="432"/>
      <c r="Z1040" s="445"/>
      <c r="AA1040" s="445"/>
      <c r="AB1040" s="445"/>
      <c r="AC1040" s="445"/>
      <c r="AD1040" s="445"/>
      <c r="AE1040" s="445"/>
      <c r="AF1040" s="445"/>
      <c r="AG1040" s="445"/>
      <c r="AH1040" s="445"/>
      <c r="AI1040" s="445"/>
      <c r="AJ1040" s="445"/>
      <c r="AK1040" s="445"/>
      <c r="AL1040" s="445"/>
      <c r="AM1040" s="331"/>
    </row>
    <row r="1041" spans="1:39" ht="15" hidden="1" customHeight="1" outlineLevel="1">
      <c r="A1041" s="560"/>
      <c r="B1041" s="313" t="s">
        <v>514</v>
      </c>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25</v>
      </c>
      <c r="B1042" s="448" t="s">
        <v>118</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 t="shared" ref="Z1043" si="3123">Z1042</f>
        <v>0</v>
      </c>
      <c r="AA1043" s="431">
        <f t="shared" ref="AA1043" si="3124">AA1042</f>
        <v>0</v>
      </c>
      <c r="AB1043" s="431">
        <f t="shared" ref="AB1043" si="3125">AB1042</f>
        <v>0</v>
      </c>
      <c r="AC1043" s="431">
        <f t="shared" ref="AC1043" si="3126">AC1042</f>
        <v>0</v>
      </c>
      <c r="AD1043" s="431">
        <f t="shared" ref="AD1043" si="3127">AD1042</f>
        <v>0</v>
      </c>
      <c r="AE1043" s="431">
        <f t="shared" ref="AE1043" si="3128">AE1042</f>
        <v>0</v>
      </c>
      <c r="AF1043" s="431">
        <f t="shared" ref="AF1043" si="3129">AF1042</f>
        <v>0</v>
      </c>
      <c r="AG1043" s="431">
        <f t="shared" ref="AG1043" si="3130">AG1042</f>
        <v>0</v>
      </c>
      <c r="AH1043" s="431">
        <f t="shared" ref="AH1043" si="3131">AH1042</f>
        <v>0</v>
      </c>
      <c r="AI1043" s="431">
        <f t="shared" ref="AI1043" si="3132">AI1042</f>
        <v>0</v>
      </c>
      <c r="AJ1043" s="431">
        <f t="shared" ref="AJ1043" si="3133">AJ1042</f>
        <v>0</v>
      </c>
      <c r="AK1043" s="431">
        <f t="shared" ref="AK1043" si="3134">AK1042</f>
        <v>0</v>
      </c>
      <c r="AL1043" s="431">
        <f t="shared" ref="AL1043" si="3135">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26</v>
      </c>
      <c r="B1045" s="448" t="s">
        <v>119</v>
      </c>
      <c r="C1045" s="316" t="s">
        <v>25</v>
      </c>
      <c r="D1045" s="320"/>
      <c r="E1045" s="320"/>
      <c r="F1045" s="320"/>
      <c r="G1045" s="320"/>
      <c r="H1045" s="320"/>
      <c r="I1045" s="320"/>
      <c r="J1045" s="320"/>
      <c r="K1045" s="320"/>
      <c r="L1045" s="320"/>
      <c r="M1045" s="320"/>
      <c r="N1045" s="320">
        <v>12</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12</v>
      </c>
      <c r="O1046" s="320"/>
      <c r="P1046" s="320"/>
      <c r="Q1046" s="320"/>
      <c r="R1046" s="320"/>
      <c r="S1046" s="320"/>
      <c r="T1046" s="320"/>
      <c r="U1046" s="320"/>
      <c r="V1046" s="320"/>
      <c r="W1046" s="320"/>
      <c r="X1046" s="320"/>
      <c r="Y1046" s="431">
        <f>Y1045</f>
        <v>0</v>
      </c>
      <c r="Z1046" s="431">
        <f t="shared" ref="Z1046" si="3136">Z1045</f>
        <v>0</v>
      </c>
      <c r="AA1046" s="431">
        <f t="shared" ref="AA1046" si="3137">AA1045</f>
        <v>0</v>
      </c>
      <c r="AB1046" s="431">
        <f t="shared" ref="AB1046" si="3138">AB1045</f>
        <v>0</v>
      </c>
      <c r="AC1046" s="431">
        <f t="shared" ref="AC1046" si="3139">AC1045</f>
        <v>0</v>
      </c>
      <c r="AD1046" s="431">
        <f t="shared" ref="AD1046" si="3140">AD1045</f>
        <v>0</v>
      </c>
      <c r="AE1046" s="431">
        <f t="shared" ref="AE1046" si="3141">AE1045</f>
        <v>0</v>
      </c>
      <c r="AF1046" s="431">
        <f t="shared" ref="AF1046" si="3142">AF1045</f>
        <v>0</v>
      </c>
      <c r="AG1046" s="431">
        <f t="shared" ref="AG1046" si="3143">AG1045</f>
        <v>0</v>
      </c>
      <c r="AH1046" s="431">
        <f t="shared" ref="AH1046" si="3144">AH1045</f>
        <v>0</v>
      </c>
      <c r="AI1046" s="431">
        <f t="shared" ref="AI1046" si="3145">AI1045</f>
        <v>0</v>
      </c>
      <c r="AJ1046" s="431">
        <f t="shared" ref="AJ1046" si="3146">AJ1045</f>
        <v>0</v>
      </c>
      <c r="AK1046" s="431">
        <f t="shared" ref="AK1046" si="3147">AK1045</f>
        <v>0</v>
      </c>
      <c r="AL1046" s="431">
        <f t="shared" ref="AL1046" si="3148">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27</v>
      </c>
      <c r="B1048" s="448" t="s">
        <v>120</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49">Z1048</f>
        <v>0</v>
      </c>
      <c r="AA1049" s="431">
        <f t="shared" ref="AA1049" si="3150">AA1048</f>
        <v>0</v>
      </c>
      <c r="AB1049" s="431">
        <f t="shared" ref="AB1049" si="3151">AB1048</f>
        <v>0</v>
      </c>
      <c r="AC1049" s="431">
        <f t="shared" ref="AC1049" si="3152">AC1048</f>
        <v>0</v>
      </c>
      <c r="AD1049" s="431">
        <f t="shared" ref="AD1049" si="3153">AD1048</f>
        <v>0</v>
      </c>
      <c r="AE1049" s="431">
        <f t="shared" ref="AE1049" si="3154">AE1048</f>
        <v>0</v>
      </c>
      <c r="AF1049" s="431">
        <f t="shared" ref="AF1049" si="3155">AF1048</f>
        <v>0</v>
      </c>
      <c r="AG1049" s="431">
        <f t="shared" ref="AG1049" si="3156">AG1048</f>
        <v>0</v>
      </c>
      <c r="AH1049" s="431">
        <f t="shared" ref="AH1049" si="3157">AH1048</f>
        <v>0</v>
      </c>
      <c r="AI1049" s="431">
        <f t="shared" ref="AI1049" si="3158">AI1048</f>
        <v>0</v>
      </c>
      <c r="AJ1049" s="431">
        <f t="shared" ref="AJ1049" si="3159">AJ1048</f>
        <v>0</v>
      </c>
      <c r="AK1049" s="431">
        <f t="shared" ref="AK1049" si="3160">AK1048</f>
        <v>0</v>
      </c>
      <c r="AL1049" s="431">
        <f t="shared" ref="AL1049" si="3161">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28</v>
      </c>
      <c r="B1051" s="448" t="s">
        <v>121</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Z1051</f>
        <v>0</v>
      </c>
      <c r="AA1052" s="431">
        <f t="shared" ref="AA1052" si="3162">AA1051</f>
        <v>0</v>
      </c>
      <c r="AB1052" s="431">
        <f t="shared" ref="AB1052" si="3163">AB1051</f>
        <v>0</v>
      </c>
      <c r="AC1052" s="431">
        <f t="shared" ref="AC1052" si="3164">AC1051</f>
        <v>0</v>
      </c>
      <c r="AD1052" s="431">
        <f t="shared" ref="AD1052" si="3165">AD1051</f>
        <v>0</v>
      </c>
      <c r="AE1052" s="431">
        <f>AE1051</f>
        <v>0</v>
      </c>
      <c r="AF1052" s="431">
        <f t="shared" ref="AF1052" si="3166">AF1051</f>
        <v>0</v>
      </c>
      <c r="AG1052" s="431">
        <f t="shared" ref="AG1052" si="3167">AG1051</f>
        <v>0</v>
      </c>
      <c r="AH1052" s="431">
        <f t="shared" ref="AH1052" si="3168">AH1051</f>
        <v>0</v>
      </c>
      <c r="AI1052" s="431">
        <f t="shared" ref="AI1052" si="3169">AI1051</f>
        <v>0</v>
      </c>
      <c r="AJ1052" s="431">
        <f t="shared" ref="AJ1052" si="3170">AJ1051</f>
        <v>0</v>
      </c>
      <c r="AK1052" s="431">
        <f t="shared" ref="AK1052" si="3171">AK1051</f>
        <v>0</v>
      </c>
      <c r="AL1052" s="431">
        <f t="shared" ref="AL1052" si="3172">AL1051</f>
        <v>0</v>
      </c>
      <c r="AM1052" s="331"/>
    </row>
    <row r="1053" spans="1:39" ht="15" hidden="1" customHeight="1" outlineLevel="1">
      <c r="A1053" s="560"/>
      <c r="B1053" s="319"/>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29</v>
      </c>
      <c r="B1054" s="448" t="s">
        <v>122</v>
      </c>
      <c r="C1054" s="316" t="s">
        <v>25</v>
      </c>
      <c r="D1054" s="320"/>
      <c r="E1054" s="320"/>
      <c r="F1054" s="320"/>
      <c r="G1054" s="320"/>
      <c r="H1054" s="320"/>
      <c r="I1054" s="320"/>
      <c r="J1054" s="320"/>
      <c r="K1054" s="320"/>
      <c r="L1054" s="320"/>
      <c r="M1054" s="320"/>
      <c r="N1054" s="320">
        <v>3</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3</v>
      </c>
      <c r="O1055" s="320"/>
      <c r="P1055" s="320"/>
      <c r="Q1055" s="320"/>
      <c r="R1055" s="320"/>
      <c r="S1055" s="320"/>
      <c r="T1055" s="320"/>
      <c r="U1055" s="320"/>
      <c r="V1055" s="320"/>
      <c r="W1055" s="320"/>
      <c r="X1055" s="320"/>
      <c r="Y1055" s="431">
        <f>Y1054</f>
        <v>0</v>
      </c>
      <c r="Z1055" s="431">
        <f t="shared" ref="Z1055" si="3173">Z1054</f>
        <v>0</v>
      </c>
      <c r="AA1055" s="431">
        <f t="shared" ref="AA1055" si="3174">AA1054</f>
        <v>0</v>
      </c>
      <c r="AB1055" s="431">
        <f t="shared" ref="AB1055" si="3175">AB1054</f>
        <v>0</v>
      </c>
      <c r="AC1055" s="431">
        <f t="shared" ref="AC1055" si="3176">AC1054</f>
        <v>0</v>
      </c>
      <c r="AD1055" s="431">
        <f t="shared" ref="AD1055" si="3177">AD1054</f>
        <v>0</v>
      </c>
      <c r="AE1055" s="431">
        <f t="shared" ref="AE1055" si="3178">AE1054</f>
        <v>0</v>
      </c>
      <c r="AF1055" s="431">
        <f t="shared" ref="AF1055" si="3179">AF1054</f>
        <v>0</v>
      </c>
      <c r="AG1055" s="431">
        <f t="shared" ref="AG1055" si="3180">AG1054</f>
        <v>0</v>
      </c>
      <c r="AH1055" s="431">
        <f t="shared" ref="AH1055" si="3181">AH1054</f>
        <v>0</v>
      </c>
      <c r="AI1055" s="431">
        <f t="shared" ref="AI1055" si="3182">AI1054</f>
        <v>0</v>
      </c>
      <c r="AJ1055" s="431">
        <f t="shared" ref="AJ1055" si="3183">AJ1054</f>
        <v>0</v>
      </c>
      <c r="AK1055" s="431">
        <f t="shared" ref="AK1055" si="3184">AK1054</f>
        <v>0</v>
      </c>
      <c r="AL1055" s="431">
        <f t="shared" ref="AL1055" si="3185">AL1054</f>
        <v>0</v>
      </c>
      <c r="AM1055" s="331"/>
    </row>
    <row r="1056" spans="1:39" ht="15" hidden="1" customHeight="1" outlineLevel="1">
      <c r="A1056" s="560"/>
      <c r="B1056" s="319"/>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v>30</v>
      </c>
      <c r="B1057" s="448" t="s">
        <v>123</v>
      </c>
      <c r="C1057" s="316" t="s">
        <v>25</v>
      </c>
      <c r="D1057" s="320"/>
      <c r="E1057" s="320"/>
      <c r="F1057" s="320"/>
      <c r="G1057" s="320"/>
      <c r="H1057" s="320"/>
      <c r="I1057" s="320"/>
      <c r="J1057" s="320"/>
      <c r="K1057" s="320"/>
      <c r="L1057" s="320"/>
      <c r="M1057" s="320"/>
      <c r="N1057" s="320">
        <v>12</v>
      </c>
      <c r="O1057" s="320"/>
      <c r="P1057" s="320"/>
      <c r="Q1057" s="320"/>
      <c r="R1057" s="320"/>
      <c r="S1057" s="320"/>
      <c r="T1057" s="320"/>
      <c r="U1057" s="320"/>
      <c r="V1057" s="320"/>
      <c r="W1057" s="320"/>
      <c r="X1057" s="320"/>
      <c r="Y1057" s="446"/>
      <c r="Z1057" s="435"/>
      <c r="AA1057" s="435"/>
      <c r="AB1057" s="435"/>
      <c r="AC1057" s="435"/>
      <c r="AD1057" s="435"/>
      <c r="AE1057" s="435"/>
      <c r="AF1057" s="435"/>
      <c r="AG1057" s="435"/>
      <c r="AH1057" s="435"/>
      <c r="AI1057" s="435"/>
      <c r="AJ1057" s="435"/>
      <c r="AK1057" s="435"/>
      <c r="AL1057" s="435"/>
      <c r="AM1057" s="321">
        <f>SUM(Y1057:AL1057)</f>
        <v>0</v>
      </c>
    </row>
    <row r="1058" spans="1:39" ht="15" hidden="1" customHeight="1" outlineLevel="1">
      <c r="A1058" s="560"/>
      <c r="B1058" s="319" t="s">
        <v>349</v>
      </c>
      <c r="C1058" s="316" t="s">
        <v>164</v>
      </c>
      <c r="D1058" s="320"/>
      <c r="E1058" s="320"/>
      <c r="F1058" s="320"/>
      <c r="G1058" s="320"/>
      <c r="H1058" s="320"/>
      <c r="I1058" s="320"/>
      <c r="J1058" s="320"/>
      <c r="K1058" s="320"/>
      <c r="L1058" s="320"/>
      <c r="M1058" s="320"/>
      <c r="N1058" s="320">
        <f>N1057</f>
        <v>12</v>
      </c>
      <c r="O1058" s="320"/>
      <c r="P1058" s="320"/>
      <c r="Q1058" s="320"/>
      <c r="R1058" s="320"/>
      <c r="S1058" s="320"/>
      <c r="T1058" s="320"/>
      <c r="U1058" s="320"/>
      <c r="V1058" s="320"/>
      <c r="W1058" s="320"/>
      <c r="X1058" s="320"/>
      <c r="Y1058" s="431">
        <f>Y1057</f>
        <v>0</v>
      </c>
      <c r="Z1058" s="431">
        <f t="shared" ref="Z1058" si="3186">Z1057</f>
        <v>0</v>
      </c>
      <c r="AA1058" s="431">
        <f t="shared" ref="AA1058" si="3187">AA1057</f>
        <v>0</v>
      </c>
      <c r="AB1058" s="431">
        <f t="shared" ref="AB1058" si="3188">AB1057</f>
        <v>0</v>
      </c>
      <c r="AC1058" s="431">
        <f t="shared" ref="AC1058" si="3189">AC1057</f>
        <v>0</v>
      </c>
      <c r="AD1058" s="431">
        <f t="shared" ref="AD1058" si="3190">AD1057</f>
        <v>0</v>
      </c>
      <c r="AE1058" s="431">
        <f t="shared" ref="AE1058" si="3191">AE1057</f>
        <v>0</v>
      </c>
      <c r="AF1058" s="431">
        <f t="shared" ref="AF1058" si="3192">AF1057</f>
        <v>0</v>
      </c>
      <c r="AG1058" s="431">
        <f t="shared" ref="AG1058" si="3193">AG1057</f>
        <v>0</v>
      </c>
      <c r="AH1058" s="431">
        <f t="shared" ref="AH1058" si="3194">AH1057</f>
        <v>0</v>
      </c>
      <c r="AI1058" s="431">
        <f t="shared" ref="AI1058" si="3195">AI1057</f>
        <v>0</v>
      </c>
      <c r="AJ1058" s="431">
        <f t="shared" ref="AJ1058" si="3196">AJ1057</f>
        <v>0</v>
      </c>
      <c r="AK1058" s="431">
        <f t="shared" ref="AK1058" si="3197">AK1057</f>
        <v>0</v>
      </c>
      <c r="AL1058" s="431">
        <f t="shared" ref="AL1058" si="3198">AL1057</f>
        <v>0</v>
      </c>
      <c r="AM1058" s="331"/>
    </row>
    <row r="1059" spans="1:39" ht="15" hidden="1" customHeight="1" outlineLevel="1">
      <c r="A1059" s="560"/>
      <c r="B1059" s="319"/>
      <c r="C1059" s="316"/>
      <c r="D1059" s="316"/>
      <c r="E1059" s="316"/>
      <c r="F1059" s="316"/>
      <c r="G1059" s="316"/>
      <c r="H1059" s="316"/>
      <c r="I1059" s="316"/>
      <c r="J1059" s="316"/>
      <c r="K1059" s="316"/>
      <c r="L1059" s="316"/>
      <c r="M1059" s="316"/>
      <c r="N1059" s="316"/>
      <c r="O1059" s="316"/>
      <c r="P1059" s="316"/>
      <c r="Q1059" s="316"/>
      <c r="R1059" s="316"/>
      <c r="S1059" s="316"/>
      <c r="T1059" s="316"/>
      <c r="U1059" s="316"/>
      <c r="V1059" s="316"/>
      <c r="W1059" s="316"/>
      <c r="X1059" s="316"/>
      <c r="Y1059" s="432"/>
      <c r="Z1059" s="445"/>
      <c r="AA1059" s="445"/>
      <c r="AB1059" s="445"/>
      <c r="AC1059" s="445"/>
      <c r="AD1059" s="445"/>
      <c r="AE1059" s="445"/>
      <c r="AF1059" s="445"/>
      <c r="AG1059" s="445"/>
      <c r="AH1059" s="445"/>
      <c r="AI1059" s="445"/>
      <c r="AJ1059" s="445"/>
      <c r="AK1059" s="445"/>
      <c r="AL1059" s="445"/>
      <c r="AM1059" s="331"/>
    </row>
    <row r="1060" spans="1:39" ht="15" hidden="1" customHeight="1" outlineLevel="1">
      <c r="A1060" s="560">
        <v>31</v>
      </c>
      <c r="B1060" s="448" t="s">
        <v>124</v>
      </c>
      <c r="C1060" s="316" t="s">
        <v>25</v>
      </c>
      <c r="D1060" s="320"/>
      <c r="E1060" s="320"/>
      <c r="F1060" s="320"/>
      <c r="G1060" s="320"/>
      <c r="H1060" s="320"/>
      <c r="I1060" s="320"/>
      <c r="J1060" s="320"/>
      <c r="K1060" s="320"/>
      <c r="L1060" s="320"/>
      <c r="M1060" s="320"/>
      <c r="N1060" s="320">
        <v>12</v>
      </c>
      <c r="O1060" s="320"/>
      <c r="P1060" s="320"/>
      <c r="Q1060" s="320"/>
      <c r="R1060" s="320"/>
      <c r="S1060" s="320"/>
      <c r="T1060" s="320"/>
      <c r="U1060" s="320"/>
      <c r="V1060" s="320"/>
      <c r="W1060" s="320"/>
      <c r="X1060" s="320"/>
      <c r="Y1060" s="446"/>
      <c r="Z1060" s="435"/>
      <c r="AA1060" s="435"/>
      <c r="AB1060" s="435"/>
      <c r="AC1060" s="435"/>
      <c r="AD1060" s="435"/>
      <c r="AE1060" s="435"/>
      <c r="AF1060" s="435"/>
      <c r="AG1060" s="435"/>
      <c r="AH1060" s="435"/>
      <c r="AI1060" s="435"/>
      <c r="AJ1060" s="435"/>
      <c r="AK1060" s="435"/>
      <c r="AL1060" s="435"/>
      <c r="AM1060" s="321">
        <f>SUM(Y1060:AL1060)</f>
        <v>0</v>
      </c>
    </row>
    <row r="1061" spans="1:39" ht="15" hidden="1" customHeight="1" outlineLevel="1">
      <c r="A1061" s="560"/>
      <c r="B1061" s="319" t="s">
        <v>349</v>
      </c>
      <c r="C1061" s="316" t="s">
        <v>164</v>
      </c>
      <c r="D1061" s="320"/>
      <c r="E1061" s="320"/>
      <c r="F1061" s="320"/>
      <c r="G1061" s="320"/>
      <c r="H1061" s="320"/>
      <c r="I1061" s="320"/>
      <c r="J1061" s="320"/>
      <c r="K1061" s="320"/>
      <c r="L1061" s="320"/>
      <c r="M1061" s="320"/>
      <c r="N1061" s="320">
        <f>N1060</f>
        <v>12</v>
      </c>
      <c r="O1061" s="320"/>
      <c r="P1061" s="320"/>
      <c r="Q1061" s="320"/>
      <c r="R1061" s="320"/>
      <c r="S1061" s="320"/>
      <c r="T1061" s="320"/>
      <c r="U1061" s="320"/>
      <c r="V1061" s="320"/>
      <c r="W1061" s="320"/>
      <c r="X1061" s="320"/>
      <c r="Y1061" s="431">
        <f>Y1060</f>
        <v>0</v>
      </c>
      <c r="Z1061" s="431">
        <f t="shared" ref="Z1061" si="3199">Z1060</f>
        <v>0</v>
      </c>
      <c r="AA1061" s="431">
        <f t="shared" ref="AA1061" si="3200">AA1060</f>
        <v>0</v>
      </c>
      <c r="AB1061" s="431">
        <f t="shared" ref="AB1061" si="3201">AB1060</f>
        <v>0</v>
      </c>
      <c r="AC1061" s="431">
        <f t="shared" ref="AC1061" si="3202">AC1060</f>
        <v>0</v>
      </c>
      <c r="AD1061" s="431">
        <f t="shared" ref="AD1061" si="3203">AD1060</f>
        <v>0</v>
      </c>
      <c r="AE1061" s="431">
        <f t="shared" ref="AE1061" si="3204">AE1060</f>
        <v>0</v>
      </c>
      <c r="AF1061" s="431">
        <f t="shared" ref="AF1061" si="3205">AF1060</f>
        <v>0</v>
      </c>
      <c r="AG1061" s="431">
        <f t="shared" ref="AG1061" si="3206">AG1060</f>
        <v>0</v>
      </c>
      <c r="AH1061" s="431">
        <f t="shared" ref="AH1061" si="3207">AH1060</f>
        <v>0</v>
      </c>
      <c r="AI1061" s="431">
        <f t="shared" ref="AI1061" si="3208">AI1060</f>
        <v>0</v>
      </c>
      <c r="AJ1061" s="431">
        <f t="shared" ref="AJ1061" si="3209">AJ1060</f>
        <v>0</v>
      </c>
      <c r="AK1061" s="431">
        <f t="shared" ref="AK1061" si="3210">AK1060</f>
        <v>0</v>
      </c>
      <c r="AL1061" s="431">
        <f t="shared" ref="AL1061" si="3211">AL1060</f>
        <v>0</v>
      </c>
      <c r="AM1061" s="331"/>
    </row>
    <row r="1062" spans="1:39" ht="15" hidden="1" customHeight="1" outlineLevel="1">
      <c r="A1062" s="560"/>
      <c r="B1062" s="448"/>
      <c r="C1062" s="316"/>
      <c r="D1062" s="316"/>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432"/>
      <c r="Z1062" s="445"/>
      <c r="AA1062" s="445"/>
      <c r="AB1062" s="445"/>
      <c r="AC1062" s="445"/>
      <c r="AD1062" s="445"/>
      <c r="AE1062" s="445"/>
      <c r="AF1062" s="445"/>
      <c r="AG1062" s="445"/>
      <c r="AH1062" s="445"/>
      <c r="AI1062" s="445"/>
      <c r="AJ1062" s="445"/>
      <c r="AK1062" s="445"/>
      <c r="AL1062" s="445"/>
      <c r="AM1062" s="331"/>
    </row>
    <row r="1063" spans="1:39" ht="15" hidden="1" customHeight="1" outlineLevel="1">
      <c r="A1063" s="560">
        <v>32</v>
      </c>
      <c r="B1063" s="448" t="s">
        <v>125</v>
      </c>
      <c r="C1063" s="316" t="s">
        <v>25</v>
      </c>
      <c r="D1063" s="320"/>
      <c r="E1063" s="320"/>
      <c r="F1063" s="320"/>
      <c r="G1063" s="320"/>
      <c r="H1063" s="320"/>
      <c r="I1063" s="320"/>
      <c r="J1063" s="320"/>
      <c r="K1063" s="320"/>
      <c r="L1063" s="320"/>
      <c r="M1063" s="320"/>
      <c r="N1063" s="320">
        <v>12</v>
      </c>
      <c r="O1063" s="320"/>
      <c r="P1063" s="320"/>
      <c r="Q1063" s="320"/>
      <c r="R1063" s="320"/>
      <c r="S1063" s="320"/>
      <c r="T1063" s="320"/>
      <c r="U1063" s="320"/>
      <c r="V1063" s="320"/>
      <c r="W1063" s="320"/>
      <c r="X1063" s="320"/>
      <c r="Y1063" s="446"/>
      <c r="Z1063" s="435"/>
      <c r="AA1063" s="435"/>
      <c r="AB1063" s="435"/>
      <c r="AC1063" s="435"/>
      <c r="AD1063" s="435"/>
      <c r="AE1063" s="435"/>
      <c r="AF1063" s="435"/>
      <c r="AG1063" s="435"/>
      <c r="AH1063" s="435"/>
      <c r="AI1063" s="435"/>
      <c r="AJ1063" s="435"/>
      <c r="AK1063" s="435"/>
      <c r="AL1063" s="435"/>
      <c r="AM1063" s="321">
        <f>SUM(Y1063:AL1063)</f>
        <v>0</v>
      </c>
    </row>
    <row r="1064" spans="1:39" ht="15" hidden="1" customHeight="1" outlineLevel="1">
      <c r="A1064" s="560"/>
      <c r="B1064" s="319" t="s">
        <v>349</v>
      </c>
      <c r="C1064" s="316" t="s">
        <v>164</v>
      </c>
      <c r="D1064" s="320"/>
      <c r="E1064" s="320"/>
      <c r="F1064" s="320"/>
      <c r="G1064" s="320"/>
      <c r="H1064" s="320"/>
      <c r="I1064" s="320"/>
      <c r="J1064" s="320"/>
      <c r="K1064" s="320"/>
      <c r="L1064" s="320"/>
      <c r="M1064" s="320"/>
      <c r="N1064" s="320">
        <f>N1063</f>
        <v>12</v>
      </c>
      <c r="O1064" s="320"/>
      <c r="P1064" s="320"/>
      <c r="Q1064" s="320"/>
      <c r="R1064" s="320"/>
      <c r="S1064" s="320"/>
      <c r="T1064" s="320"/>
      <c r="U1064" s="320"/>
      <c r="V1064" s="320"/>
      <c r="W1064" s="320"/>
      <c r="X1064" s="320"/>
      <c r="Y1064" s="431">
        <f>Y1063</f>
        <v>0</v>
      </c>
      <c r="Z1064" s="431">
        <f t="shared" ref="Z1064" si="3212">Z1063</f>
        <v>0</v>
      </c>
      <c r="AA1064" s="431">
        <f t="shared" ref="AA1064" si="3213">AA1063</f>
        <v>0</v>
      </c>
      <c r="AB1064" s="431">
        <f t="shared" ref="AB1064" si="3214">AB1063</f>
        <v>0</v>
      </c>
      <c r="AC1064" s="431">
        <f t="shared" ref="AC1064" si="3215">AC1063</f>
        <v>0</v>
      </c>
      <c r="AD1064" s="431">
        <f t="shared" ref="AD1064" si="3216">AD1063</f>
        <v>0</v>
      </c>
      <c r="AE1064" s="431">
        <f t="shared" ref="AE1064" si="3217">AE1063</f>
        <v>0</v>
      </c>
      <c r="AF1064" s="431">
        <f t="shared" ref="AF1064" si="3218">AF1063</f>
        <v>0</v>
      </c>
      <c r="AG1064" s="431">
        <f t="shared" ref="AG1064" si="3219">AG1063</f>
        <v>0</v>
      </c>
      <c r="AH1064" s="431">
        <f t="shared" ref="AH1064" si="3220">AH1063</f>
        <v>0</v>
      </c>
      <c r="AI1064" s="431">
        <f t="shared" ref="AI1064" si="3221">AI1063</f>
        <v>0</v>
      </c>
      <c r="AJ1064" s="431">
        <f t="shared" ref="AJ1064" si="3222">AJ1063</f>
        <v>0</v>
      </c>
      <c r="AK1064" s="431">
        <f t="shared" ref="AK1064" si="3223">AK1063</f>
        <v>0</v>
      </c>
      <c r="AL1064" s="431">
        <f t="shared" ref="AL1064" si="3224">AL1063</f>
        <v>0</v>
      </c>
      <c r="AM1064" s="331"/>
    </row>
    <row r="1065" spans="1:39" ht="15" hidden="1" customHeight="1" outlineLevel="1">
      <c r="A1065" s="560"/>
      <c r="B1065" s="448"/>
      <c r="C1065" s="316"/>
      <c r="D1065" s="316"/>
      <c r="E1065" s="316"/>
      <c r="F1065" s="316"/>
      <c r="G1065" s="316"/>
      <c r="H1065" s="316"/>
      <c r="I1065" s="316"/>
      <c r="J1065" s="316"/>
      <c r="K1065" s="316"/>
      <c r="L1065" s="316"/>
      <c r="M1065" s="316"/>
      <c r="N1065" s="316"/>
      <c r="O1065" s="316"/>
      <c r="P1065" s="316"/>
      <c r="Q1065" s="316"/>
      <c r="R1065" s="316"/>
      <c r="S1065" s="316"/>
      <c r="T1065" s="316"/>
      <c r="U1065" s="316"/>
      <c r="V1065" s="316"/>
      <c r="W1065" s="316"/>
      <c r="X1065" s="316"/>
      <c r="Y1065" s="432"/>
      <c r="Z1065" s="445"/>
      <c r="AA1065" s="445"/>
      <c r="AB1065" s="445"/>
      <c r="AC1065" s="445"/>
      <c r="AD1065" s="445"/>
      <c r="AE1065" s="445"/>
      <c r="AF1065" s="445"/>
      <c r="AG1065" s="445"/>
      <c r="AH1065" s="445"/>
      <c r="AI1065" s="445"/>
      <c r="AJ1065" s="445"/>
      <c r="AK1065" s="445"/>
      <c r="AL1065" s="445"/>
      <c r="AM1065" s="331"/>
    </row>
    <row r="1066" spans="1:39" ht="15" hidden="1" customHeight="1" outlineLevel="1">
      <c r="A1066" s="560"/>
      <c r="B1066" s="313" t="s">
        <v>515</v>
      </c>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v>33</v>
      </c>
      <c r="B1067" s="448" t="s">
        <v>126</v>
      </c>
      <c r="C1067" s="316" t="s">
        <v>25</v>
      </c>
      <c r="D1067" s="320"/>
      <c r="E1067" s="320"/>
      <c r="F1067" s="320"/>
      <c r="G1067" s="320"/>
      <c r="H1067" s="320"/>
      <c r="I1067" s="320"/>
      <c r="J1067" s="320"/>
      <c r="K1067" s="320"/>
      <c r="L1067" s="320"/>
      <c r="M1067" s="320"/>
      <c r="N1067" s="320">
        <v>0</v>
      </c>
      <c r="O1067" s="320"/>
      <c r="P1067" s="320"/>
      <c r="Q1067" s="320"/>
      <c r="R1067" s="320"/>
      <c r="S1067" s="320"/>
      <c r="T1067" s="320"/>
      <c r="U1067" s="320"/>
      <c r="V1067" s="320"/>
      <c r="W1067" s="320"/>
      <c r="X1067" s="320"/>
      <c r="Y1067" s="446"/>
      <c r="Z1067" s="435"/>
      <c r="AA1067" s="435"/>
      <c r="AB1067" s="435"/>
      <c r="AC1067" s="435"/>
      <c r="AD1067" s="435"/>
      <c r="AE1067" s="435"/>
      <c r="AF1067" s="435"/>
      <c r="AG1067" s="435"/>
      <c r="AH1067" s="435"/>
      <c r="AI1067" s="435"/>
      <c r="AJ1067" s="435"/>
      <c r="AK1067" s="435"/>
      <c r="AL1067" s="435"/>
      <c r="AM1067" s="321">
        <f>SUM(Y1067:AL1067)</f>
        <v>0</v>
      </c>
    </row>
    <row r="1068" spans="1:39" ht="15" hidden="1" customHeight="1" outlineLevel="1">
      <c r="A1068" s="560"/>
      <c r="B1068" s="319" t="s">
        <v>349</v>
      </c>
      <c r="C1068" s="316" t="s">
        <v>164</v>
      </c>
      <c r="D1068" s="320"/>
      <c r="E1068" s="320"/>
      <c r="F1068" s="320"/>
      <c r="G1068" s="320"/>
      <c r="H1068" s="320"/>
      <c r="I1068" s="320"/>
      <c r="J1068" s="320"/>
      <c r="K1068" s="320"/>
      <c r="L1068" s="320"/>
      <c r="M1068" s="320"/>
      <c r="N1068" s="320">
        <f>N1067</f>
        <v>0</v>
      </c>
      <c r="O1068" s="320"/>
      <c r="P1068" s="320"/>
      <c r="Q1068" s="320"/>
      <c r="R1068" s="320"/>
      <c r="S1068" s="320"/>
      <c r="T1068" s="320"/>
      <c r="U1068" s="320"/>
      <c r="V1068" s="320"/>
      <c r="W1068" s="320"/>
      <c r="X1068" s="320"/>
      <c r="Y1068" s="431">
        <f>Y1067</f>
        <v>0</v>
      </c>
      <c r="Z1068" s="431">
        <f t="shared" ref="Z1068" si="3225">Z1067</f>
        <v>0</v>
      </c>
      <c r="AA1068" s="431">
        <f t="shared" ref="AA1068" si="3226">AA1067</f>
        <v>0</v>
      </c>
      <c r="AB1068" s="431">
        <f t="shared" ref="AB1068" si="3227">AB1067</f>
        <v>0</v>
      </c>
      <c r="AC1068" s="431">
        <f t="shared" ref="AC1068" si="3228">AC1067</f>
        <v>0</v>
      </c>
      <c r="AD1068" s="431">
        <f t="shared" ref="AD1068" si="3229">AD1067</f>
        <v>0</v>
      </c>
      <c r="AE1068" s="431">
        <f t="shared" ref="AE1068" si="3230">AE1067</f>
        <v>0</v>
      </c>
      <c r="AF1068" s="431">
        <f t="shared" ref="AF1068" si="3231">AF1067</f>
        <v>0</v>
      </c>
      <c r="AG1068" s="431">
        <f t="shared" ref="AG1068" si="3232">AG1067</f>
        <v>0</v>
      </c>
      <c r="AH1068" s="431">
        <f t="shared" ref="AH1068" si="3233">AH1067</f>
        <v>0</v>
      </c>
      <c r="AI1068" s="431">
        <f t="shared" ref="AI1068" si="3234">AI1067</f>
        <v>0</v>
      </c>
      <c r="AJ1068" s="431">
        <f t="shared" ref="AJ1068" si="3235">AJ1067</f>
        <v>0</v>
      </c>
      <c r="AK1068" s="431">
        <f t="shared" ref="AK1068" si="3236">AK1067</f>
        <v>0</v>
      </c>
      <c r="AL1068" s="431">
        <f t="shared" ref="AL1068" si="3237">AL1067</f>
        <v>0</v>
      </c>
      <c r="AM1068" s="331"/>
    </row>
    <row r="1069" spans="1:39" ht="15" hidden="1" customHeight="1" outlineLevel="1">
      <c r="A1069" s="560"/>
      <c r="B1069" s="448"/>
      <c r="C1069" s="316"/>
      <c r="D1069" s="316"/>
      <c r="E1069" s="316"/>
      <c r="F1069" s="316"/>
      <c r="G1069" s="316"/>
      <c r="H1069" s="316"/>
      <c r="I1069" s="316"/>
      <c r="J1069" s="316"/>
      <c r="K1069" s="316"/>
      <c r="L1069" s="316"/>
      <c r="M1069" s="316"/>
      <c r="N1069" s="316"/>
      <c r="O1069" s="316"/>
      <c r="P1069" s="316"/>
      <c r="Q1069" s="316"/>
      <c r="R1069" s="316"/>
      <c r="S1069" s="316"/>
      <c r="T1069" s="316"/>
      <c r="U1069" s="316"/>
      <c r="V1069" s="316"/>
      <c r="W1069" s="316"/>
      <c r="X1069" s="316"/>
      <c r="Y1069" s="432"/>
      <c r="Z1069" s="445"/>
      <c r="AA1069" s="445"/>
      <c r="AB1069" s="445"/>
      <c r="AC1069" s="445"/>
      <c r="AD1069" s="445"/>
      <c r="AE1069" s="445"/>
      <c r="AF1069" s="445"/>
      <c r="AG1069" s="445"/>
      <c r="AH1069" s="445"/>
      <c r="AI1069" s="445"/>
      <c r="AJ1069" s="445"/>
      <c r="AK1069" s="445"/>
      <c r="AL1069" s="445"/>
      <c r="AM1069" s="331"/>
    </row>
    <row r="1070" spans="1:39" ht="15" hidden="1" customHeight="1" outlineLevel="1">
      <c r="A1070" s="560">
        <v>34</v>
      </c>
      <c r="B1070" s="448" t="s">
        <v>127</v>
      </c>
      <c r="C1070" s="316" t="s">
        <v>25</v>
      </c>
      <c r="D1070" s="320"/>
      <c r="E1070" s="320"/>
      <c r="F1070" s="320"/>
      <c r="G1070" s="320"/>
      <c r="H1070" s="320"/>
      <c r="I1070" s="320"/>
      <c r="J1070" s="320"/>
      <c r="K1070" s="320"/>
      <c r="L1070" s="320"/>
      <c r="M1070" s="320"/>
      <c r="N1070" s="320">
        <v>0</v>
      </c>
      <c r="O1070" s="320"/>
      <c r="P1070" s="320"/>
      <c r="Q1070" s="320"/>
      <c r="R1070" s="320"/>
      <c r="S1070" s="320"/>
      <c r="T1070" s="320"/>
      <c r="U1070" s="320"/>
      <c r="V1070" s="320"/>
      <c r="W1070" s="320"/>
      <c r="X1070" s="320"/>
      <c r="Y1070" s="446"/>
      <c r="Z1070" s="435"/>
      <c r="AA1070" s="435"/>
      <c r="AB1070" s="435"/>
      <c r="AC1070" s="435"/>
      <c r="AD1070" s="435"/>
      <c r="AE1070" s="435"/>
      <c r="AF1070" s="435"/>
      <c r="AG1070" s="435"/>
      <c r="AH1070" s="435"/>
      <c r="AI1070" s="435"/>
      <c r="AJ1070" s="435"/>
      <c r="AK1070" s="435"/>
      <c r="AL1070" s="435"/>
      <c r="AM1070" s="321">
        <f>SUM(Y1070:AL1070)</f>
        <v>0</v>
      </c>
    </row>
    <row r="1071" spans="1:39" ht="15" hidden="1" customHeight="1" outlineLevel="1">
      <c r="A1071" s="560"/>
      <c r="B1071" s="319" t="s">
        <v>349</v>
      </c>
      <c r="C1071" s="316" t="s">
        <v>164</v>
      </c>
      <c r="D1071" s="320"/>
      <c r="E1071" s="320"/>
      <c r="F1071" s="320"/>
      <c r="G1071" s="320"/>
      <c r="H1071" s="320"/>
      <c r="I1071" s="320"/>
      <c r="J1071" s="320"/>
      <c r="K1071" s="320"/>
      <c r="L1071" s="320"/>
      <c r="M1071" s="320"/>
      <c r="N1071" s="320">
        <f>N1070</f>
        <v>0</v>
      </c>
      <c r="O1071" s="320"/>
      <c r="P1071" s="320"/>
      <c r="Q1071" s="320"/>
      <c r="R1071" s="320"/>
      <c r="S1071" s="320"/>
      <c r="T1071" s="320"/>
      <c r="U1071" s="320"/>
      <c r="V1071" s="320"/>
      <c r="W1071" s="320"/>
      <c r="X1071" s="320"/>
      <c r="Y1071" s="431">
        <f>Y1070</f>
        <v>0</v>
      </c>
      <c r="Z1071" s="431">
        <f t="shared" ref="Z1071" si="3238">Z1070</f>
        <v>0</v>
      </c>
      <c r="AA1071" s="431">
        <f t="shared" ref="AA1071" si="3239">AA1070</f>
        <v>0</v>
      </c>
      <c r="AB1071" s="431">
        <f t="shared" ref="AB1071" si="3240">AB1070</f>
        <v>0</v>
      </c>
      <c r="AC1071" s="431">
        <f t="shared" ref="AC1071" si="3241">AC1070</f>
        <v>0</v>
      </c>
      <c r="AD1071" s="431">
        <f t="shared" ref="AD1071" si="3242">AD1070</f>
        <v>0</v>
      </c>
      <c r="AE1071" s="431">
        <f t="shared" ref="AE1071" si="3243">AE1070</f>
        <v>0</v>
      </c>
      <c r="AF1071" s="431">
        <f t="shared" ref="AF1071" si="3244">AF1070</f>
        <v>0</v>
      </c>
      <c r="AG1071" s="431">
        <f t="shared" ref="AG1071" si="3245">AG1070</f>
        <v>0</v>
      </c>
      <c r="AH1071" s="431">
        <f t="shared" ref="AH1071" si="3246">AH1070</f>
        <v>0</v>
      </c>
      <c r="AI1071" s="431">
        <f t="shared" ref="AI1071" si="3247">AI1070</f>
        <v>0</v>
      </c>
      <c r="AJ1071" s="431">
        <f t="shared" ref="AJ1071" si="3248">AJ1070</f>
        <v>0</v>
      </c>
      <c r="AK1071" s="431">
        <f t="shared" ref="AK1071" si="3249">AK1070</f>
        <v>0</v>
      </c>
      <c r="AL1071" s="431">
        <f t="shared" ref="AL1071" si="3250">AL1070</f>
        <v>0</v>
      </c>
      <c r="AM1071" s="331"/>
    </row>
    <row r="1072" spans="1:39" ht="15" hidden="1" customHeight="1" outlineLevel="1">
      <c r="A1072" s="560"/>
      <c r="B1072" s="448"/>
      <c r="C1072" s="316"/>
      <c r="D1072" s="31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432"/>
      <c r="Z1072" s="445"/>
      <c r="AA1072" s="445"/>
      <c r="AB1072" s="445"/>
      <c r="AC1072" s="445"/>
      <c r="AD1072" s="445"/>
      <c r="AE1072" s="445"/>
      <c r="AF1072" s="445"/>
      <c r="AG1072" s="445"/>
      <c r="AH1072" s="445"/>
      <c r="AI1072" s="445"/>
      <c r="AJ1072" s="445"/>
      <c r="AK1072" s="445"/>
      <c r="AL1072" s="445"/>
      <c r="AM1072" s="331"/>
    </row>
    <row r="1073" spans="1:39" ht="15" hidden="1" customHeight="1" outlineLevel="1">
      <c r="A1073" s="560">
        <v>35</v>
      </c>
      <c r="B1073" s="448" t="s">
        <v>128</v>
      </c>
      <c r="C1073" s="316" t="s">
        <v>25</v>
      </c>
      <c r="D1073" s="320"/>
      <c r="E1073" s="320"/>
      <c r="F1073" s="320"/>
      <c r="G1073" s="320"/>
      <c r="H1073" s="320"/>
      <c r="I1073" s="320"/>
      <c r="J1073" s="320"/>
      <c r="K1073" s="320"/>
      <c r="L1073" s="320"/>
      <c r="M1073" s="320"/>
      <c r="N1073" s="320">
        <v>0</v>
      </c>
      <c r="O1073" s="320"/>
      <c r="P1073" s="320"/>
      <c r="Q1073" s="320"/>
      <c r="R1073" s="320"/>
      <c r="S1073" s="320"/>
      <c r="T1073" s="320"/>
      <c r="U1073" s="320"/>
      <c r="V1073" s="320"/>
      <c r="W1073" s="320"/>
      <c r="X1073" s="320"/>
      <c r="Y1073" s="446"/>
      <c r="Z1073" s="435"/>
      <c r="AA1073" s="435"/>
      <c r="AB1073" s="435"/>
      <c r="AC1073" s="435"/>
      <c r="AD1073" s="435"/>
      <c r="AE1073" s="435"/>
      <c r="AF1073" s="435"/>
      <c r="AG1073" s="435"/>
      <c r="AH1073" s="435"/>
      <c r="AI1073" s="435"/>
      <c r="AJ1073" s="435"/>
      <c r="AK1073" s="435"/>
      <c r="AL1073" s="435"/>
      <c r="AM1073" s="321">
        <f>SUM(Y1073:AL1073)</f>
        <v>0</v>
      </c>
    </row>
    <row r="1074" spans="1:39" ht="15" hidden="1" customHeight="1" outlineLevel="1">
      <c r="A1074" s="560"/>
      <c r="B1074" s="319" t="s">
        <v>349</v>
      </c>
      <c r="C1074" s="316" t="s">
        <v>164</v>
      </c>
      <c r="D1074" s="320"/>
      <c r="E1074" s="320"/>
      <c r="F1074" s="320"/>
      <c r="G1074" s="320"/>
      <c r="H1074" s="320"/>
      <c r="I1074" s="320"/>
      <c r="J1074" s="320"/>
      <c r="K1074" s="320"/>
      <c r="L1074" s="320"/>
      <c r="M1074" s="320"/>
      <c r="N1074" s="320">
        <f>N1073</f>
        <v>0</v>
      </c>
      <c r="O1074" s="320"/>
      <c r="P1074" s="320"/>
      <c r="Q1074" s="320"/>
      <c r="R1074" s="320"/>
      <c r="S1074" s="320"/>
      <c r="T1074" s="320"/>
      <c r="U1074" s="320"/>
      <c r="V1074" s="320"/>
      <c r="W1074" s="320"/>
      <c r="X1074" s="320"/>
      <c r="Y1074" s="431">
        <f>Y1073</f>
        <v>0</v>
      </c>
      <c r="Z1074" s="431">
        <f t="shared" ref="Z1074" si="3251">Z1073</f>
        <v>0</v>
      </c>
      <c r="AA1074" s="431">
        <f t="shared" ref="AA1074" si="3252">AA1073</f>
        <v>0</v>
      </c>
      <c r="AB1074" s="431">
        <f t="shared" ref="AB1074" si="3253">AB1073</f>
        <v>0</v>
      </c>
      <c r="AC1074" s="431">
        <f t="shared" ref="AC1074" si="3254">AC1073</f>
        <v>0</v>
      </c>
      <c r="AD1074" s="431">
        <f t="shared" ref="AD1074" si="3255">AD1073</f>
        <v>0</v>
      </c>
      <c r="AE1074" s="431">
        <f t="shared" ref="AE1074" si="3256">AE1073</f>
        <v>0</v>
      </c>
      <c r="AF1074" s="431">
        <f t="shared" ref="AF1074" si="3257">AF1073</f>
        <v>0</v>
      </c>
      <c r="AG1074" s="431">
        <f t="shared" ref="AG1074" si="3258">AG1073</f>
        <v>0</v>
      </c>
      <c r="AH1074" s="431">
        <f t="shared" ref="AH1074" si="3259">AH1073</f>
        <v>0</v>
      </c>
      <c r="AI1074" s="431">
        <f t="shared" ref="AI1074" si="3260">AI1073</f>
        <v>0</v>
      </c>
      <c r="AJ1074" s="431">
        <f t="shared" ref="AJ1074" si="3261">AJ1073</f>
        <v>0</v>
      </c>
      <c r="AK1074" s="431">
        <f t="shared" ref="AK1074" si="3262">AK1073</f>
        <v>0</v>
      </c>
      <c r="AL1074" s="431">
        <f t="shared" ref="AL1074" si="3263">AL1073</f>
        <v>0</v>
      </c>
      <c r="AM1074" s="331"/>
    </row>
    <row r="1075" spans="1:39" ht="15" hidden="1" customHeight="1" outlineLevel="1">
      <c r="A1075" s="560"/>
      <c r="B1075" s="451"/>
      <c r="C1075" s="316"/>
      <c r="D1075" s="316"/>
      <c r="E1075" s="316"/>
      <c r="F1075" s="316"/>
      <c r="G1075" s="316"/>
      <c r="H1075" s="316"/>
      <c r="I1075" s="316"/>
      <c r="J1075" s="316"/>
      <c r="K1075" s="316"/>
      <c r="L1075" s="316"/>
      <c r="M1075" s="316"/>
      <c r="N1075" s="316"/>
      <c r="O1075" s="316"/>
      <c r="P1075" s="316"/>
      <c r="Q1075" s="316"/>
      <c r="R1075" s="316"/>
      <c r="S1075" s="316"/>
      <c r="T1075" s="316"/>
      <c r="U1075" s="316"/>
      <c r="V1075" s="316"/>
      <c r="W1075" s="316"/>
      <c r="X1075" s="316"/>
      <c r="Y1075" s="432"/>
      <c r="Z1075" s="445"/>
      <c r="AA1075" s="445"/>
      <c r="AB1075" s="445"/>
      <c r="AC1075" s="445"/>
      <c r="AD1075" s="445"/>
      <c r="AE1075" s="445"/>
      <c r="AF1075" s="445"/>
      <c r="AG1075" s="445"/>
      <c r="AH1075" s="445"/>
      <c r="AI1075" s="445"/>
      <c r="AJ1075" s="445"/>
      <c r="AK1075" s="445"/>
      <c r="AL1075" s="445"/>
      <c r="AM1075" s="331"/>
    </row>
    <row r="1076" spans="1:39" ht="15" hidden="1" customHeight="1" outlineLevel="1">
      <c r="A1076" s="560"/>
      <c r="B1076" s="313" t="s">
        <v>516</v>
      </c>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28.5" hidden="1" customHeight="1" outlineLevel="1">
      <c r="A1077" s="560">
        <v>36</v>
      </c>
      <c r="B1077" s="448" t="s">
        <v>129</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64">Z1077</f>
        <v>0</v>
      </c>
      <c r="AA1078" s="431">
        <f t="shared" ref="AA1078" si="3265">AA1077</f>
        <v>0</v>
      </c>
      <c r="AB1078" s="431">
        <f t="shared" ref="AB1078" si="3266">AB1077</f>
        <v>0</v>
      </c>
      <c r="AC1078" s="431">
        <f t="shared" ref="AC1078" si="3267">AC1077</f>
        <v>0</v>
      </c>
      <c r="AD1078" s="431">
        <f t="shared" ref="AD1078" si="3268">AD1077</f>
        <v>0</v>
      </c>
      <c r="AE1078" s="431">
        <f t="shared" ref="AE1078" si="3269">AE1077</f>
        <v>0</v>
      </c>
      <c r="AF1078" s="431">
        <f t="shared" ref="AF1078" si="3270">AF1077</f>
        <v>0</v>
      </c>
      <c r="AG1078" s="431">
        <f t="shared" ref="AG1078" si="3271">AG1077</f>
        <v>0</v>
      </c>
      <c r="AH1078" s="431">
        <f t="shared" ref="AH1078" si="3272">AH1077</f>
        <v>0</v>
      </c>
      <c r="AI1078" s="431">
        <f t="shared" ref="AI1078" si="3273">AI1077</f>
        <v>0</v>
      </c>
      <c r="AJ1078" s="431">
        <f t="shared" ref="AJ1078" si="3274">AJ1077</f>
        <v>0</v>
      </c>
      <c r="AK1078" s="431">
        <f t="shared" ref="AK1078" si="3275">AK1077</f>
        <v>0</v>
      </c>
      <c r="AL1078" s="431">
        <f t="shared" ref="AL1078" si="3276">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37</v>
      </c>
      <c r="B1080" s="448" t="s">
        <v>130</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277">Z1080</f>
        <v>0</v>
      </c>
      <c r="AA1081" s="431">
        <f t="shared" ref="AA1081" si="3278">AA1080</f>
        <v>0</v>
      </c>
      <c r="AB1081" s="431">
        <f t="shared" ref="AB1081" si="3279">AB1080</f>
        <v>0</v>
      </c>
      <c r="AC1081" s="431">
        <f t="shared" ref="AC1081" si="3280">AC1080</f>
        <v>0</v>
      </c>
      <c r="AD1081" s="431">
        <f t="shared" ref="AD1081" si="3281">AD1080</f>
        <v>0</v>
      </c>
      <c r="AE1081" s="431">
        <f t="shared" ref="AE1081" si="3282">AE1080</f>
        <v>0</v>
      </c>
      <c r="AF1081" s="431">
        <f t="shared" ref="AF1081" si="3283">AF1080</f>
        <v>0</v>
      </c>
      <c r="AG1081" s="431">
        <f t="shared" ref="AG1081" si="3284">AG1080</f>
        <v>0</v>
      </c>
      <c r="AH1081" s="431">
        <f t="shared" ref="AH1081" si="3285">AH1080</f>
        <v>0</v>
      </c>
      <c r="AI1081" s="431">
        <f t="shared" ref="AI1081" si="3286">AI1080</f>
        <v>0</v>
      </c>
      <c r="AJ1081" s="431">
        <f t="shared" ref="AJ1081" si="3287">AJ1080</f>
        <v>0</v>
      </c>
      <c r="AK1081" s="431">
        <f t="shared" ref="AK1081" si="3288">AK1080</f>
        <v>0</v>
      </c>
      <c r="AL1081" s="431">
        <f t="shared" ref="AL1081" si="3289">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15" hidden="1" customHeight="1" outlineLevel="1">
      <c r="A1083" s="560">
        <v>38</v>
      </c>
      <c r="B1083" s="448" t="s">
        <v>131</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290">Z1083</f>
        <v>0</v>
      </c>
      <c r="AA1084" s="431">
        <f t="shared" ref="AA1084" si="3291">AA1083</f>
        <v>0</v>
      </c>
      <c r="AB1084" s="431">
        <f t="shared" ref="AB1084" si="3292">AB1083</f>
        <v>0</v>
      </c>
      <c r="AC1084" s="431">
        <f t="shared" ref="AC1084" si="3293">AC1083</f>
        <v>0</v>
      </c>
      <c r="AD1084" s="431">
        <f t="shared" ref="AD1084" si="3294">AD1083</f>
        <v>0</v>
      </c>
      <c r="AE1084" s="431">
        <f t="shared" ref="AE1084" si="3295">AE1083</f>
        <v>0</v>
      </c>
      <c r="AF1084" s="431">
        <f t="shared" ref="AF1084" si="3296">AF1083</f>
        <v>0</v>
      </c>
      <c r="AG1084" s="431">
        <f t="shared" ref="AG1084" si="3297">AG1083</f>
        <v>0</v>
      </c>
      <c r="AH1084" s="431">
        <f t="shared" ref="AH1084" si="3298">AH1083</f>
        <v>0</v>
      </c>
      <c r="AI1084" s="431">
        <f t="shared" ref="AI1084" si="3299">AI1083</f>
        <v>0</v>
      </c>
      <c r="AJ1084" s="431">
        <f t="shared" ref="AJ1084" si="3300">AJ1083</f>
        <v>0</v>
      </c>
      <c r="AK1084" s="431">
        <f t="shared" ref="AK1084" si="3301">AK1083</f>
        <v>0</v>
      </c>
      <c r="AL1084" s="431">
        <f t="shared" ref="AL1084" si="3302">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15" hidden="1" customHeight="1" outlineLevel="1">
      <c r="A1086" s="560">
        <v>39</v>
      </c>
      <c r="B1086" s="448" t="s">
        <v>132</v>
      </c>
      <c r="C1086" s="316" t="s">
        <v>25</v>
      </c>
      <c r="D1086" s="320"/>
      <c r="E1086" s="320"/>
      <c r="F1086" s="320"/>
      <c r="G1086" s="320"/>
      <c r="H1086" s="320"/>
      <c r="I1086" s="320"/>
      <c r="J1086" s="320"/>
      <c r="K1086" s="320"/>
      <c r="L1086" s="320"/>
      <c r="M1086" s="320"/>
      <c r="N1086" s="320">
        <v>0</v>
      </c>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320">
        <f>N1086</f>
        <v>0</v>
      </c>
      <c r="O1087" s="320"/>
      <c r="P1087" s="320"/>
      <c r="Q1087" s="320"/>
      <c r="R1087" s="320"/>
      <c r="S1087" s="320"/>
      <c r="T1087" s="320"/>
      <c r="U1087" s="320"/>
      <c r="V1087" s="320"/>
      <c r="W1087" s="320"/>
      <c r="X1087" s="320"/>
      <c r="Y1087" s="431">
        <f>Y1086</f>
        <v>0</v>
      </c>
      <c r="Z1087" s="431">
        <f t="shared" ref="Z1087" si="3303">Z1086</f>
        <v>0</v>
      </c>
      <c r="AA1087" s="431">
        <f t="shared" ref="AA1087" si="3304">AA1086</f>
        <v>0</v>
      </c>
      <c r="AB1087" s="431">
        <f t="shared" ref="AB1087" si="3305">AB1086</f>
        <v>0</v>
      </c>
      <c r="AC1087" s="431">
        <f t="shared" ref="AC1087" si="3306">AC1086</f>
        <v>0</v>
      </c>
      <c r="AD1087" s="431">
        <f t="shared" ref="AD1087" si="3307">AD1086</f>
        <v>0</v>
      </c>
      <c r="AE1087" s="431">
        <f t="shared" ref="AE1087" si="3308">AE1086</f>
        <v>0</v>
      </c>
      <c r="AF1087" s="431">
        <f t="shared" ref="AF1087" si="3309">AF1086</f>
        <v>0</v>
      </c>
      <c r="AG1087" s="431">
        <f t="shared" ref="AG1087" si="3310">AG1086</f>
        <v>0</v>
      </c>
      <c r="AH1087" s="431">
        <f t="shared" ref="AH1087" si="3311">AH1086</f>
        <v>0</v>
      </c>
      <c r="AI1087" s="431">
        <f t="shared" ref="AI1087" si="3312">AI1086</f>
        <v>0</v>
      </c>
      <c r="AJ1087" s="431">
        <f t="shared" ref="AJ1087" si="3313">AJ1086</f>
        <v>0</v>
      </c>
      <c r="AK1087" s="431">
        <f t="shared" ref="AK1087" si="3314">AK1086</f>
        <v>0</v>
      </c>
      <c r="AL1087" s="431">
        <f t="shared" ref="AL1087" si="3315">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40</v>
      </c>
      <c r="B1089" s="448" t="s">
        <v>133</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16">Z1089</f>
        <v>0</v>
      </c>
      <c r="AA1090" s="431">
        <f t="shared" ref="AA1090" si="3317">AA1089</f>
        <v>0</v>
      </c>
      <c r="AB1090" s="431">
        <f t="shared" ref="AB1090" si="3318">AB1089</f>
        <v>0</v>
      </c>
      <c r="AC1090" s="431">
        <f t="shared" ref="AC1090" si="3319">AC1089</f>
        <v>0</v>
      </c>
      <c r="AD1090" s="431">
        <f t="shared" ref="AD1090" si="3320">AD1089</f>
        <v>0</v>
      </c>
      <c r="AE1090" s="431">
        <f t="shared" ref="AE1090" si="3321">AE1089</f>
        <v>0</v>
      </c>
      <c r="AF1090" s="431">
        <f t="shared" ref="AF1090" si="3322">AF1089</f>
        <v>0</v>
      </c>
      <c r="AG1090" s="431">
        <f t="shared" ref="AG1090" si="3323">AG1089</f>
        <v>0</v>
      </c>
      <c r="AH1090" s="431">
        <f t="shared" ref="AH1090" si="3324">AH1089</f>
        <v>0</v>
      </c>
      <c r="AI1090" s="431">
        <f t="shared" ref="AI1090" si="3325">AI1089</f>
        <v>0</v>
      </c>
      <c r="AJ1090" s="431">
        <f t="shared" ref="AJ1090" si="3326">AJ1089</f>
        <v>0</v>
      </c>
      <c r="AK1090" s="431">
        <f t="shared" ref="AK1090" si="3327">AK1089</f>
        <v>0</v>
      </c>
      <c r="AL1090" s="431">
        <f t="shared" ref="AL1090" si="3328">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41</v>
      </c>
      <c r="B1092" s="448" t="s">
        <v>134</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29">Z1092</f>
        <v>0</v>
      </c>
      <c r="AA1093" s="431">
        <f t="shared" ref="AA1093" si="3330">AA1092</f>
        <v>0</v>
      </c>
      <c r="AB1093" s="431">
        <f t="shared" ref="AB1093" si="3331">AB1092</f>
        <v>0</v>
      </c>
      <c r="AC1093" s="431">
        <f t="shared" ref="AC1093" si="3332">AC1092</f>
        <v>0</v>
      </c>
      <c r="AD1093" s="431">
        <f t="shared" ref="AD1093" si="3333">AD1092</f>
        <v>0</v>
      </c>
      <c r="AE1093" s="431">
        <f t="shared" ref="AE1093" si="3334">AE1092</f>
        <v>0</v>
      </c>
      <c r="AF1093" s="431">
        <f t="shared" ref="AF1093" si="3335">AF1092</f>
        <v>0</v>
      </c>
      <c r="AG1093" s="431">
        <f t="shared" ref="AG1093" si="3336">AG1092</f>
        <v>0</v>
      </c>
      <c r="AH1093" s="431">
        <f t="shared" ref="AH1093" si="3337">AH1092</f>
        <v>0</v>
      </c>
      <c r="AI1093" s="431">
        <f t="shared" ref="AI1093" si="3338">AI1092</f>
        <v>0</v>
      </c>
      <c r="AJ1093" s="431">
        <f t="shared" ref="AJ1093" si="3339">AJ1092</f>
        <v>0</v>
      </c>
      <c r="AK1093" s="431">
        <f t="shared" ref="AK1093" si="3340">AK1092</f>
        <v>0</v>
      </c>
      <c r="AL1093" s="431">
        <f t="shared" ref="AL1093" si="3341">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28.5" hidden="1" customHeight="1" outlineLevel="1">
      <c r="A1095" s="560">
        <v>42</v>
      </c>
      <c r="B1095" s="448" t="s">
        <v>135</v>
      </c>
      <c r="C1095" s="316" t="s">
        <v>25</v>
      </c>
      <c r="D1095" s="320"/>
      <c r="E1095" s="320"/>
      <c r="F1095" s="320"/>
      <c r="G1095" s="320"/>
      <c r="H1095" s="320"/>
      <c r="I1095" s="320"/>
      <c r="J1095" s="320"/>
      <c r="K1095" s="320"/>
      <c r="L1095" s="320"/>
      <c r="M1095" s="320"/>
      <c r="N1095" s="316"/>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488"/>
      <c r="O1096" s="320"/>
      <c r="P1096" s="320"/>
      <c r="Q1096" s="320"/>
      <c r="R1096" s="320"/>
      <c r="S1096" s="320"/>
      <c r="T1096" s="320"/>
      <c r="U1096" s="320"/>
      <c r="V1096" s="320"/>
      <c r="W1096" s="320"/>
      <c r="X1096" s="320"/>
      <c r="Y1096" s="431">
        <f>Y1095</f>
        <v>0</v>
      </c>
      <c r="Z1096" s="431">
        <f t="shared" ref="Z1096" si="3342">Z1095</f>
        <v>0</v>
      </c>
      <c r="AA1096" s="431">
        <f t="shared" ref="AA1096" si="3343">AA1095</f>
        <v>0</v>
      </c>
      <c r="AB1096" s="431">
        <f t="shared" ref="AB1096" si="3344">AB1095</f>
        <v>0</v>
      </c>
      <c r="AC1096" s="431">
        <f t="shared" ref="AC1096" si="3345">AC1095</f>
        <v>0</v>
      </c>
      <c r="AD1096" s="431">
        <f t="shared" ref="AD1096" si="3346">AD1095</f>
        <v>0</v>
      </c>
      <c r="AE1096" s="431">
        <f t="shared" ref="AE1096" si="3347">AE1095</f>
        <v>0</v>
      </c>
      <c r="AF1096" s="431">
        <f t="shared" ref="AF1096" si="3348">AF1095</f>
        <v>0</v>
      </c>
      <c r="AG1096" s="431">
        <f t="shared" ref="AG1096" si="3349">AG1095</f>
        <v>0</v>
      </c>
      <c r="AH1096" s="431">
        <f t="shared" ref="AH1096" si="3350">AH1095</f>
        <v>0</v>
      </c>
      <c r="AI1096" s="431">
        <f t="shared" ref="AI1096" si="3351">AI1095</f>
        <v>0</v>
      </c>
      <c r="AJ1096" s="431">
        <f t="shared" ref="AJ1096" si="3352">AJ1095</f>
        <v>0</v>
      </c>
      <c r="AK1096" s="431">
        <f t="shared" ref="AK1096" si="3353">AK1095</f>
        <v>0</v>
      </c>
      <c r="AL1096" s="431">
        <f t="shared" ref="AL1096" si="3354">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43</v>
      </c>
      <c r="B1098" s="448" t="s">
        <v>136</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c r="AJ1098" s="435"/>
      <c r="AK1098" s="435"/>
      <c r="AL1098" s="435"/>
      <c r="AM1098" s="321">
        <f>SUM(Y1098:AL1098)</f>
        <v>0</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55">Z1098</f>
        <v>0</v>
      </c>
      <c r="AA1099" s="431">
        <f t="shared" ref="AA1099" si="3356">AA1098</f>
        <v>0</v>
      </c>
      <c r="AB1099" s="431">
        <f t="shared" ref="AB1099" si="3357">AB1098</f>
        <v>0</v>
      </c>
      <c r="AC1099" s="431">
        <f t="shared" ref="AC1099" si="3358">AC1098</f>
        <v>0</v>
      </c>
      <c r="AD1099" s="431">
        <f t="shared" ref="AD1099" si="3359">AD1098</f>
        <v>0</v>
      </c>
      <c r="AE1099" s="431">
        <f t="shared" ref="AE1099" si="3360">AE1098</f>
        <v>0</v>
      </c>
      <c r="AF1099" s="431">
        <f t="shared" ref="AF1099" si="3361">AF1098</f>
        <v>0</v>
      </c>
      <c r="AG1099" s="431">
        <f t="shared" ref="AG1099" si="3362">AG1098</f>
        <v>0</v>
      </c>
      <c r="AH1099" s="431">
        <f t="shared" ref="AH1099" si="3363">AH1098</f>
        <v>0</v>
      </c>
      <c r="AI1099" s="431">
        <f t="shared" ref="AI1099" si="3364">AI1098</f>
        <v>0</v>
      </c>
      <c r="AJ1099" s="431">
        <f t="shared" ref="AJ1099" si="3365">AJ1098</f>
        <v>0</v>
      </c>
      <c r="AK1099" s="431">
        <f t="shared" ref="AK1099" si="3366">AK1098</f>
        <v>0</v>
      </c>
      <c r="AL1099" s="431">
        <f t="shared" ref="AL1099" si="3367">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44</v>
      </c>
      <c r="B1101" s="448" t="s">
        <v>137</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368">Z1101</f>
        <v>0</v>
      </c>
      <c r="AA1102" s="431">
        <f t="shared" ref="AA1102" si="3369">AA1101</f>
        <v>0</v>
      </c>
      <c r="AB1102" s="431">
        <f t="shared" ref="AB1102" si="3370">AB1101</f>
        <v>0</v>
      </c>
      <c r="AC1102" s="431">
        <f t="shared" ref="AC1102" si="3371">AC1101</f>
        <v>0</v>
      </c>
      <c r="AD1102" s="431">
        <f t="shared" ref="AD1102" si="3372">AD1101</f>
        <v>0</v>
      </c>
      <c r="AE1102" s="431">
        <f t="shared" ref="AE1102" si="3373">AE1101</f>
        <v>0</v>
      </c>
      <c r="AF1102" s="431">
        <f t="shared" ref="AF1102" si="3374">AF1101</f>
        <v>0</v>
      </c>
      <c r="AG1102" s="431">
        <f t="shared" ref="AG1102" si="3375">AG1101</f>
        <v>0</v>
      </c>
      <c r="AH1102" s="431">
        <f t="shared" ref="AH1102" si="3376">AH1101</f>
        <v>0</v>
      </c>
      <c r="AI1102" s="431">
        <f t="shared" ref="AI1102" si="3377">AI1101</f>
        <v>0</v>
      </c>
      <c r="AJ1102" s="431">
        <f t="shared" ref="AJ1102" si="3378">AJ1101</f>
        <v>0</v>
      </c>
      <c r="AK1102" s="431">
        <f t="shared" ref="AK1102" si="3379">AK1101</f>
        <v>0</v>
      </c>
      <c r="AL1102" s="431">
        <f t="shared" ref="AL1102" si="3380">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15" hidden="1" customHeight="1" outlineLevel="1">
      <c r="A1104" s="560">
        <v>45</v>
      </c>
      <c r="B1104" s="448" t="s">
        <v>138</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381">Z1104</f>
        <v>0</v>
      </c>
      <c r="AA1105" s="431">
        <f t="shared" ref="AA1105" si="3382">AA1104</f>
        <v>0</v>
      </c>
      <c r="AB1105" s="431">
        <f t="shared" ref="AB1105" si="3383">AB1104</f>
        <v>0</v>
      </c>
      <c r="AC1105" s="431">
        <f t="shared" ref="AC1105" si="3384">AC1104</f>
        <v>0</v>
      </c>
      <c r="AD1105" s="431">
        <f t="shared" ref="AD1105" si="3385">AD1104</f>
        <v>0</v>
      </c>
      <c r="AE1105" s="431">
        <f t="shared" ref="AE1105" si="3386">AE1104</f>
        <v>0</v>
      </c>
      <c r="AF1105" s="431">
        <f t="shared" ref="AF1105" si="3387">AF1104</f>
        <v>0</v>
      </c>
      <c r="AG1105" s="431">
        <f t="shared" ref="AG1105" si="3388">AG1104</f>
        <v>0</v>
      </c>
      <c r="AH1105" s="431">
        <f t="shared" ref="AH1105" si="3389">AH1104</f>
        <v>0</v>
      </c>
      <c r="AI1105" s="431">
        <f t="shared" ref="AI1105" si="3390">AI1104</f>
        <v>0</v>
      </c>
      <c r="AJ1105" s="431">
        <f t="shared" ref="AJ1105" si="3391">AJ1104</f>
        <v>0</v>
      </c>
      <c r="AK1105" s="431">
        <f t="shared" ref="AK1105" si="3392">AK1104</f>
        <v>0</v>
      </c>
      <c r="AL1105" s="431">
        <f t="shared" ref="AL1105" si="3393">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46</v>
      </c>
      <c r="B1107" s="448" t="s">
        <v>139</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v>0.1</v>
      </c>
      <c r="AJ1107" s="435"/>
      <c r="AK1107" s="435"/>
      <c r="AL1107" s="435"/>
      <c r="AM1107" s="321">
        <f>SUM(Y1107:AL1107)</f>
        <v>0.1</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394">Z1107</f>
        <v>0</v>
      </c>
      <c r="AA1108" s="431">
        <f t="shared" ref="AA1108" si="3395">AA1107</f>
        <v>0</v>
      </c>
      <c r="AB1108" s="431">
        <f t="shared" ref="AB1108" si="3396">AB1107</f>
        <v>0</v>
      </c>
      <c r="AC1108" s="431">
        <f t="shared" ref="AC1108" si="3397">AC1107</f>
        <v>0</v>
      </c>
      <c r="AD1108" s="431">
        <f t="shared" ref="AD1108" si="3398">AD1107</f>
        <v>0</v>
      </c>
      <c r="AE1108" s="431">
        <f t="shared" ref="AE1108" si="3399">AE1107</f>
        <v>0</v>
      </c>
      <c r="AF1108" s="431">
        <f t="shared" ref="AF1108" si="3400">AF1107</f>
        <v>0</v>
      </c>
      <c r="AG1108" s="431">
        <f t="shared" ref="AG1108" si="3401">AG1107</f>
        <v>0</v>
      </c>
      <c r="AH1108" s="431">
        <f t="shared" ref="AH1108" si="3402">AH1107</f>
        <v>0</v>
      </c>
      <c r="AI1108" s="431">
        <f t="shared" ref="AI1108" si="3403">AI1107</f>
        <v>0.1</v>
      </c>
      <c r="AJ1108" s="431">
        <f t="shared" ref="AJ1108" si="3404">AJ1107</f>
        <v>0</v>
      </c>
      <c r="AK1108" s="431">
        <f t="shared" ref="AK1108" si="3405">AK1107</f>
        <v>0</v>
      </c>
      <c r="AL1108" s="431">
        <f t="shared" ref="AL1108" si="3406">AL1107</f>
        <v>0</v>
      </c>
      <c r="AM1108" s="331"/>
    </row>
    <row r="1109" spans="1:39" ht="15" hidden="1" customHeight="1" outlineLevel="1">
      <c r="A1109" s="560"/>
      <c r="B1109" s="448"/>
      <c r="C1109" s="316"/>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432"/>
      <c r="Z1109" s="445"/>
      <c r="AA1109" s="445"/>
      <c r="AB1109" s="445"/>
      <c r="AC1109" s="445"/>
      <c r="AD1109" s="445"/>
      <c r="AE1109" s="445"/>
      <c r="AF1109" s="445"/>
      <c r="AG1109" s="445"/>
      <c r="AH1109" s="445"/>
      <c r="AI1109" s="445"/>
      <c r="AJ1109" s="445"/>
      <c r="AK1109" s="445"/>
      <c r="AL1109" s="445"/>
      <c r="AM1109" s="331"/>
    </row>
    <row r="1110" spans="1:39" ht="28.5" hidden="1" customHeight="1" outlineLevel="1">
      <c r="A1110" s="560">
        <v>47</v>
      </c>
      <c r="B1110" s="448" t="s">
        <v>140</v>
      </c>
      <c r="C1110" s="316" t="s">
        <v>25</v>
      </c>
      <c r="D1110" s="320"/>
      <c r="E1110" s="320"/>
      <c r="F1110" s="320"/>
      <c r="G1110" s="320"/>
      <c r="H1110" s="320"/>
      <c r="I1110" s="320"/>
      <c r="J1110" s="320"/>
      <c r="K1110" s="320"/>
      <c r="L1110" s="320"/>
      <c r="M1110" s="320"/>
      <c r="N1110" s="320">
        <v>0</v>
      </c>
      <c r="O1110" s="320"/>
      <c r="P1110" s="320"/>
      <c r="Q1110" s="320"/>
      <c r="R1110" s="320"/>
      <c r="S1110" s="320"/>
      <c r="T1110" s="320"/>
      <c r="U1110" s="320"/>
      <c r="V1110" s="320"/>
      <c r="W1110" s="320"/>
      <c r="X1110" s="320"/>
      <c r="Y1110" s="446"/>
      <c r="Z1110" s="435"/>
      <c r="AA1110" s="435"/>
      <c r="AB1110" s="435"/>
      <c r="AC1110" s="435"/>
      <c r="AD1110" s="435"/>
      <c r="AE1110" s="435"/>
      <c r="AF1110" s="435"/>
      <c r="AG1110" s="435"/>
      <c r="AH1110" s="435"/>
      <c r="AI1110" s="435"/>
      <c r="AJ1110" s="435"/>
      <c r="AK1110" s="435"/>
      <c r="AL1110" s="435"/>
      <c r="AM1110" s="321">
        <f>SUM(Y1110:AL1110)</f>
        <v>0</v>
      </c>
    </row>
    <row r="1111" spans="1:39" ht="15" hidden="1" customHeight="1" outlineLevel="1">
      <c r="A1111" s="560"/>
      <c r="B1111" s="319" t="s">
        <v>349</v>
      </c>
      <c r="C1111" s="316" t="s">
        <v>164</v>
      </c>
      <c r="D1111" s="320"/>
      <c r="E1111" s="320"/>
      <c r="F1111" s="320"/>
      <c r="G1111" s="320"/>
      <c r="H1111" s="320"/>
      <c r="I1111" s="320"/>
      <c r="J1111" s="320"/>
      <c r="K1111" s="320"/>
      <c r="L1111" s="320"/>
      <c r="M1111" s="320"/>
      <c r="N1111" s="320">
        <f>N1110</f>
        <v>0</v>
      </c>
      <c r="O1111" s="320"/>
      <c r="P1111" s="320"/>
      <c r="Q1111" s="320"/>
      <c r="R1111" s="320"/>
      <c r="S1111" s="320"/>
      <c r="T1111" s="320"/>
      <c r="U1111" s="320"/>
      <c r="V1111" s="320"/>
      <c r="W1111" s="320"/>
      <c r="X1111" s="320"/>
      <c r="Y1111" s="431">
        <f>Y1110</f>
        <v>0</v>
      </c>
      <c r="Z1111" s="431">
        <f t="shared" ref="Z1111" si="3407">Z1110</f>
        <v>0</v>
      </c>
      <c r="AA1111" s="431">
        <f t="shared" ref="AA1111" si="3408">AA1110</f>
        <v>0</v>
      </c>
      <c r="AB1111" s="431">
        <f t="shared" ref="AB1111" si="3409">AB1110</f>
        <v>0</v>
      </c>
      <c r="AC1111" s="431">
        <f t="shared" ref="AC1111" si="3410">AC1110</f>
        <v>0</v>
      </c>
      <c r="AD1111" s="431">
        <f t="shared" ref="AD1111" si="3411">AD1110</f>
        <v>0</v>
      </c>
      <c r="AE1111" s="431">
        <f t="shared" ref="AE1111" si="3412">AE1110</f>
        <v>0</v>
      </c>
      <c r="AF1111" s="431">
        <f t="shared" ref="AF1111" si="3413">AF1110</f>
        <v>0</v>
      </c>
      <c r="AG1111" s="431">
        <f t="shared" ref="AG1111" si="3414">AG1110</f>
        <v>0</v>
      </c>
      <c r="AH1111" s="431">
        <f t="shared" ref="AH1111" si="3415">AH1110</f>
        <v>0</v>
      </c>
      <c r="AI1111" s="431">
        <f t="shared" ref="AI1111" si="3416">AI1110</f>
        <v>0</v>
      </c>
      <c r="AJ1111" s="431">
        <f t="shared" ref="AJ1111" si="3417">AJ1110</f>
        <v>0</v>
      </c>
      <c r="AK1111" s="431">
        <f t="shared" ref="AK1111" si="3418">AK1110</f>
        <v>0</v>
      </c>
      <c r="AL1111" s="431">
        <f t="shared" ref="AL1111" si="3419">AL1110</f>
        <v>0</v>
      </c>
      <c r="AM1111" s="331"/>
    </row>
    <row r="1112" spans="1:39" ht="15" hidden="1" customHeight="1" outlineLevel="1">
      <c r="A1112" s="560"/>
      <c r="B1112" s="448"/>
      <c r="C1112" s="316"/>
      <c r="D1112" s="316"/>
      <c r="E1112" s="316"/>
      <c r="F1112" s="316"/>
      <c r="G1112" s="316"/>
      <c r="H1112" s="316"/>
      <c r="I1112" s="316"/>
      <c r="J1112" s="316"/>
      <c r="K1112" s="316"/>
      <c r="L1112" s="316"/>
      <c r="M1112" s="316"/>
      <c r="N1112" s="316"/>
      <c r="O1112" s="316"/>
      <c r="P1112" s="316"/>
      <c r="Q1112" s="316"/>
      <c r="R1112" s="316"/>
      <c r="S1112" s="316"/>
      <c r="T1112" s="316"/>
      <c r="U1112" s="316"/>
      <c r="V1112" s="316"/>
      <c r="W1112" s="316"/>
      <c r="X1112" s="316"/>
      <c r="Y1112" s="432"/>
      <c r="Z1112" s="445"/>
      <c r="AA1112" s="445"/>
      <c r="AB1112" s="445"/>
      <c r="AC1112" s="445"/>
      <c r="AD1112" s="445"/>
      <c r="AE1112" s="445"/>
      <c r="AF1112" s="445"/>
      <c r="AG1112" s="445"/>
      <c r="AH1112" s="445"/>
      <c r="AI1112" s="445"/>
      <c r="AJ1112" s="445"/>
      <c r="AK1112" s="445"/>
      <c r="AL1112" s="445"/>
      <c r="AM1112" s="331"/>
    </row>
    <row r="1113" spans="1:39" ht="28.5" hidden="1" customHeight="1" outlineLevel="1">
      <c r="A1113" s="560">
        <v>48</v>
      </c>
      <c r="B1113" s="448" t="s">
        <v>141</v>
      </c>
      <c r="C1113" s="316" t="s">
        <v>25</v>
      </c>
      <c r="D1113" s="320"/>
      <c r="E1113" s="320"/>
      <c r="F1113" s="320"/>
      <c r="G1113" s="320"/>
      <c r="H1113" s="320"/>
      <c r="I1113" s="320"/>
      <c r="J1113" s="320"/>
      <c r="K1113" s="320"/>
      <c r="L1113" s="320"/>
      <c r="M1113" s="320"/>
      <c r="N1113" s="320">
        <v>0</v>
      </c>
      <c r="O1113" s="320"/>
      <c r="P1113" s="320"/>
      <c r="Q1113" s="320"/>
      <c r="R1113" s="320"/>
      <c r="S1113" s="320"/>
      <c r="T1113" s="320"/>
      <c r="U1113" s="320"/>
      <c r="V1113" s="320"/>
      <c r="W1113" s="320"/>
      <c r="X1113" s="320"/>
      <c r="Y1113" s="446"/>
      <c r="Z1113" s="435"/>
      <c r="AA1113" s="435"/>
      <c r="AB1113" s="435"/>
      <c r="AC1113" s="435"/>
      <c r="AD1113" s="435"/>
      <c r="AE1113" s="435"/>
      <c r="AF1113" s="435"/>
      <c r="AG1113" s="435"/>
      <c r="AH1113" s="435"/>
      <c r="AI1113" s="435"/>
      <c r="AJ1113" s="435"/>
      <c r="AK1113" s="435"/>
      <c r="AL1113" s="435"/>
      <c r="AM1113" s="321">
        <f>SUM(Y1113:AL1113)</f>
        <v>0</v>
      </c>
    </row>
    <row r="1114" spans="1:39" ht="15" hidden="1" customHeight="1" outlineLevel="1">
      <c r="A1114" s="560"/>
      <c r="B1114" s="319" t="s">
        <v>349</v>
      </c>
      <c r="C1114" s="316" t="s">
        <v>164</v>
      </c>
      <c r="D1114" s="320"/>
      <c r="E1114" s="320"/>
      <c r="F1114" s="320"/>
      <c r="G1114" s="320"/>
      <c r="H1114" s="320"/>
      <c r="I1114" s="320"/>
      <c r="J1114" s="320"/>
      <c r="K1114" s="320"/>
      <c r="L1114" s="320"/>
      <c r="M1114" s="320"/>
      <c r="N1114" s="320">
        <f>N1113</f>
        <v>0</v>
      </c>
      <c r="O1114" s="320"/>
      <c r="P1114" s="320"/>
      <c r="Q1114" s="320"/>
      <c r="R1114" s="320"/>
      <c r="S1114" s="320"/>
      <c r="T1114" s="320"/>
      <c r="U1114" s="320"/>
      <c r="V1114" s="320"/>
      <c r="W1114" s="320"/>
      <c r="X1114" s="320"/>
      <c r="Y1114" s="431">
        <f>Y1113</f>
        <v>0</v>
      </c>
      <c r="Z1114" s="431">
        <f t="shared" ref="Z1114" si="3420">Z1113</f>
        <v>0</v>
      </c>
      <c r="AA1114" s="431">
        <f t="shared" ref="AA1114" si="3421">AA1113</f>
        <v>0</v>
      </c>
      <c r="AB1114" s="431">
        <f t="shared" ref="AB1114" si="3422">AB1113</f>
        <v>0</v>
      </c>
      <c r="AC1114" s="431">
        <f t="shared" ref="AC1114" si="3423">AC1113</f>
        <v>0</v>
      </c>
      <c r="AD1114" s="431">
        <f t="shared" ref="AD1114" si="3424">AD1113</f>
        <v>0</v>
      </c>
      <c r="AE1114" s="431">
        <f t="shared" ref="AE1114" si="3425">AE1113</f>
        <v>0</v>
      </c>
      <c r="AF1114" s="431">
        <f t="shared" ref="AF1114" si="3426">AF1113</f>
        <v>0</v>
      </c>
      <c r="AG1114" s="431">
        <f t="shared" ref="AG1114" si="3427">AG1113</f>
        <v>0</v>
      </c>
      <c r="AH1114" s="431">
        <f t="shared" ref="AH1114" si="3428">AH1113</f>
        <v>0</v>
      </c>
      <c r="AI1114" s="431">
        <f t="shared" ref="AI1114" si="3429">AI1113</f>
        <v>0</v>
      </c>
      <c r="AJ1114" s="431">
        <f t="shared" ref="AJ1114" si="3430">AJ1113</f>
        <v>0</v>
      </c>
      <c r="AK1114" s="431">
        <f t="shared" ref="AK1114" si="3431">AK1113</f>
        <v>0</v>
      </c>
      <c r="AL1114" s="431">
        <f t="shared" ref="AL1114" si="3432">AL1113</f>
        <v>0</v>
      </c>
      <c r="AM1114" s="331"/>
    </row>
    <row r="1115" spans="1:39" ht="15" hidden="1" customHeight="1" outlineLevel="1">
      <c r="A1115" s="560"/>
      <c r="B1115" s="448"/>
      <c r="C1115" s="316"/>
      <c r="D1115" s="316"/>
      <c r="E1115" s="316"/>
      <c r="F1115" s="316"/>
      <c r="G1115" s="316"/>
      <c r="H1115" s="316"/>
      <c r="I1115" s="316"/>
      <c r="J1115" s="316"/>
      <c r="K1115" s="316"/>
      <c r="L1115" s="316"/>
      <c r="M1115" s="316"/>
      <c r="N1115" s="316"/>
      <c r="O1115" s="316"/>
      <c r="P1115" s="316"/>
      <c r="Q1115" s="316"/>
      <c r="R1115" s="316"/>
      <c r="S1115" s="316"/>
      <c r="T1115" s="316"/>
      <c r="U1115" s="316"/>
      <c r="V1115" s="316"/>
      <c r="W1115" s="316"/>
      <c r="X1115" s="316"/>
      <c r="Y1115" s="432"/>
      <c r="Z1115" s="445"/>
      <c r="AA1115" s="445"/>
      <c r="AB1115" s="445"/>
      <c r="AC1115" s="445"/>
      <c r="AD1115" s="445"/>
      <c r="AE1115" s="445"/>
      <c r="AF1115" s="445"/>
      <c r="AG1115" s="445"/>
      <c r="AH1115" s="445"/>
      <c r="AI1115" s="445"/>
      <c r="AJ1115" s="445"/>
      <c r="AK1115" s="445"/>
      <c r="AL1115" s="445"/>
      <c r="AM1115" s="331"/>
    </row>
    <row r="1116" spans="1:39" ht="15" hidden="1" customHeight="1" outlineLevel="1">
      <c r="A1116" s="560">
        <v>49</v>
      </c>
      <c r="B1116" s="448" t="s">
        <v>142</v>
      </c>
      <c r="C1116" s="316" t="s">
        <v>25</v>
      </c>
      <c r="D1116" s="320"/>
      <c r="E1116" s="320"/>
      <c r="F1116" s="320"/>
      <c r="G1116" s="320"/>
      <c r="H1116" s="320"/>
      <c r="I1116" s="320"/>
      <c r="J1116" s="320"/>
      <c r="K1116" s="320"/>
      <c r="L1116" s="320"/>
      <c r="M1116" s="320"/>
      <c r="N1116" s="320">
        <v>0</v>
      </c>
      <c r="O1116" s="320"/>
      <c r="P1116" s="320"/>
      <c r="Q1116" s="320"/>
      <c r="R1116" s="320"/>
      <c r="S1116" s="320"/>
      <c r="T1116" s="320"/>
      <c r="U1116" s="320"/>
      <c r="V1116" s="320"/>
      <c r="W1116" s="320"/>
      <c r="X1116" s="320"/>
      <c r="Y1116" s="446"/>
      <c r="Z1116" s="435"/>
      <c r="AA1116" s="435"/>
      <c r="AB1116" s="435"/>
      <c r="AC1116" s="435"/>
      <c r="AD1116" s="435"/>
      <c r="AE1116" s="435"/>
      <c r="AF1116" s="435"/>
      <c r="AG1116" s="435"/>
      <c r="AH1116" s="435"/>
      <c r="AI1116" s="435"/>
      <c r="AJ1116" s="435"/>
      <c r="AK1116" s="435"/>
      <c r="AL1116" s="435"/>
      <c r="AM1116" s="321">
        <f>SUM(Y1116:AL1116)</f>
        <v>0</v>
      </c>
    </row>
    <row r="1117" spans="1:39" ht="15" hidden="1" customHeight="1" outlineLevel="1">
      <c r="A1117" s="560"/>
      <c r="B1117" s="319" t="s">
        <v>349</v>
      </c>
      <c r="C1117" s="316" t="s">
        <v>164</v>
      </c>
      <c r="D1117" s="320"/>
      <c r="E1117" s="320"/>
      <c r="F1117" s="320"/>
      <c r="G1117" s="320"/>
      <c r="H1117" s="320"/>
      <c r="I1117" s="320"/>
      <c r="J1117" s="320"/>
      <c r="K1117" s="320"/>
      <c r="L1117" s="320"/>
      <c r="M1117" s="320"/>
      <c r="N1117" s="320">
        <f>N1116</f>
        <v>0</v>
      </c>
      <c r="O1117" s="320"/>
      <c r="P1117" s="320"/>
      <c r="Q1117" s="320"/>
      <c r="R1117" s="320"/>
      <c r="S1117" s="320"/>
      <c r="T1117" s="320"/>
      <c r="U1117" s="320"/>
      <c r="V1117" s="320"/>
      <c r="W1117" s="320"/>
      <c r="X1117" s="320"/>
      <c r="Y1117" s="431">
        <f>Y1116</f>
        <v>0</v>
      </c>
      <c r="Z1117" s="431">
        <f t="shared" ref="Z1117" si="3433">Z1116</f>
        <v>0</v>
      </c>
      <c r="AA1117" s="431">
        <f t="shared" ref="AA1117" si="3434">AA1116</f>
        <v>0</v>
      </c>
      <c r="AB1117" s="431">
        <f t="shared" ref="AB1117" si="3435">AB1116</f>
        <v>0</v>
      </c>
      <c r="AC1117" s="431">
        <f t="shared" ref="AC1117" si="3436">AC1116</f>
        <v>0</v>
      </c>
      <c r="AD1117" s="431">
        <f t="shared" ref="AD1117" si="3437">AD1116</f>
        <v>0</v>
      </c>
      <c r="AE1117" s="431">
        <f t="shared" ref="AE1117" si="3438">AE1116</f>
        <v>0</v>
      </c>
      <c r="AF1117" s="431">
        <f t="shared" ref="AF1117" si="3439">AF1116</f>
        <v>0</v>
      </c>
      <c r="AG1117" s="431">
        <f t="shared" ref="AG1117" si="3440">AG1116</f>
        <v>0</v>
      </c>
      <c r="AH1117" s="431">
        <f t="shared" ref="AH1117" si="3441">AH1116</f>
        <v>0</v>
      </c>
      <c r="AI1117" s="431">
        <f t="shared" ref="AI1117" si="3442">AI1116</f>
        <v>0</v>
      </c>
      <c r="AJ1117" s="431">
        <f t="shared" ref="AJ1117" si="3443">AJ1116</f>
        <v>0</v>
      </c>
      <c r="AK1117" s="431">
        <f t="shared" ref="AK1117" si="3444">AK1116</f>
        <v>0</v>
      </c>
      <c r="AL1117" s="431">
        <f t="shared" ref="AL1117" si="3445">AL1116</f>
        <v>0</v>
      </c>
      <c r="AM1117" s="331"/>
    </row>
    <row r="1118" spans="1:39" ht="15" hidden="1" customHeight="1" outlineLevel="1">
      <c r="A1118" s="560"/>
      <c r="B1118" s="319"/>
      <c r="C1118" s="330"/>
      <c r="D1118" s="316"/>
      <c r="E1118" s="316"/>
      <c r="F1118" s="316"/>
      <c r="G1118" s="316"/>
      <c r="H1118" s="316"/>
      <c r="I1118" s="316"/>
      <c r="J1118" s="316"/>
      <c r="K1118" s="316"/>
      <c r="L1118" s="316"/>
      <c r="M1118" s="316"/>
      <c r="N1118" s="316"/>
      <c r="O1118" s="316"/>
      <c r="P1118" s="316"/>
      <c r="Q1118" s="316"/>
      <c r="R1118" s="316"/>
      <c r="S1118" s="316"/>
      <c r="T1118" s="316"/>
      <c r="U1118" s="316"/>
      <c r="V1118" s="316"/>
      <c r="W1118" s="316"/>
      <c r="X1118" s="316"/>
      <c r="Y1118" s="326"/>
      <c r="Z1118" s="326"/>
      <c r="AA1118" s="326"/>
      <c r="AB1118" s="326"/>
      <c r="AC1118" s="326"/>
      <c r="AD1118" s="326"/>
      <c r="AE1118" s="326"/>
      <c r="AF1118" s="326"/>
      <c r="AG1118" s="326"/>
      <c r="AH1118" s="326"/>
      <c r="AI1118" s="326"/>
      <c r="AJ1118" s="326"/>
      <c r="AK1118" s="326"/>
      <c r="AL1118" s="326"/>
      <c r="AM1118" s="331"/>
    </row>
    <row r="1119" spans="1:39" ht="15.6" collapsed="1">
      <c r="B1119" s="352" t="s">
        <v>350</v>
      </c>
      <c r="C1119" s="354"/>
      <c r="D1119" s="354">
        <f>SUM(D962:D1117)</f>
        <v>0</v>
      </c>
      <c r="E1119" s="354"/>
      <c r="F1119" s="354"/>
      <c r="G1119" s="354"/>
      <c r="H1119" s="354"/>
      <c r="I1119" s="354"/>
      <c r="J1119" s="354"/>
      <c r="K1119" s="354"/>
      <c r="L1119" s="354"/>
      <c r="M1119" s="354"/>
      <c r="N1119" s="354"/>
      <c r="O1119" s="354">
        <f>SUM(O962:X1117)</f>
        <v>0</v>
      </c>
      <c r="P1119" s="354"/>
      <c r="Q1119" s="354"/>
      <c r="R1119" s="354"/>
      <c r="S1119" s="354"/>
      <c r="T1119" s="354"/>
      <c r="U1119" s="354"/>
      <c r="V1119" s="354"/>
      <c r="W1119" s="354"/>
      <c r="X1119" s="354"/>
      <c r="Y1119" s="354">
        <f>IF(Y960="kWh",SUMPRODUCT(D962:D1117,Y962:Y1117))</f>
        <v>0</v>
      </c>
      <c r="Z1119" s="354">
        <f>IF(Z960="kWh",SUMPRODUCT(D962:D1117,Z962:Z1117))</f>
        <v>0</v>
      </c>
      <c r="AA1119" s="354">
        <f>IF(AA960="kw",SUMPRODUCT(N962:N1117,O962:O1117,AA962:AA1117),SUMPRODUCT(D962:D1117,AA962:AA1117))</f>
        <v>0</v>
      </c>
      <c r="AB1119" s="354">
        <f>IF(AB960="kw",SUMPRODUCT(N962:N1117,O962:O1117,AB962:AB1117),SUMPRODUCT(D962:D1117,AB962:AB1117))</f>
        <v>0</v>
      </c>
      <c r="AC1119" s="354">
        <f>IF(AC960="kw",SUMPRODUCT(N962:N1117,O962:O1117,AC962:AC1117),SUMPRODUCT(D962:D1117,AC962:AC1117))</f>
        <v>0</v>
      </c>
      <c r="AD1119" s="354">
        <f>IF(AD960="kw",SUMPRODUCT(N962:N1117,O962:O1117,AD962:AD1117),SUMPRODUCT(D962:D1117,AD962:AD1117))</f>
        <v>0</v>
      </c>
      <c r="AE1119" s="354">
        <f>IF(AE960="kw",SUMPRODUCT(N962:N1117,O962:O1117,AE962:AE1117),SUMPRODUCT(D962:D1117,AE962:AE1117))</f>
        <v>0</v>
      </c>
      <c r="AF1119" s="354">
        <f>IF(AF960="kw",SUMPRODUCT(N962:N1117,O962:O1117,AF962:AF1117),SUMPRODUCT(D962:D1117,AF962:AF1117))</f>
        <v>0</v>
      </c>
      <c r="AG1119" s="354">
        <f>IF(AG960="kw",SUMPRODUCT(N962:N1117,O962:O1117,AG962:AG1117),SUMPRODUCT(D962:D1117,AG962:AG1117))</f>
        <v>0</v>
      </c>
      <c r="AH1119" s="354">
        <f>IF(AH960="kw",SUMPRODUCT(N962:N1117,O962:O1117,AH962:AH1117),SUMPRODUCT(D962:D1117,AH962:AH1117))</f>
        <v>0</v>
      </c>
      <c r="AI1119" s="354">
        <f>IF(AI960="kw",SUMPRODUCT(N962:N1117,O962:O1117,AI962:AI1117),SUMPRODUCT(D962:D1117,AI962:AI1117))</f>
        <v>0</v>
      </c>
      <c r="AJ1119" s="354">
        <f>IF(AJ960="kw",SUMPRODUCT(N962:N1117,O962:O1117,AJ962:AJ1117),SUMPRODUCT(D962:D1117,AJ962:AJ1117))</f>
        <v>0</v>
      </c>
      <c r="AK1119" s="354">
        <f>IF(AK960="kw",SUMPRODUCT(N962:N1117,O962:O1117,AK962:AK1117),SUMPRODUCT(D962:D1117,AK962:AK1117))</f>
        <v>0</v>
      </c>
      <c r="AL1119" s="354">
        <f>IF(AL960="kw",SUMPRODUCT(N962:N1117,O962:O1117,AL962:AL1117),SUMPRODUCT(D962:D1117,AL962:AL1117))</f>
        <v>0</v>
      </c>
      <c r="AM1119" s="355"/>
    </row>
    <row r="1120" spans="1:39" ht="15.6">
      <c r="B1120" s="415" t="s">
        <v>351</v>
      </c>
      <c r="C1120" s="416"/>
      <c r="D1120" s="416"/>
      <c r="E1120" s="416"/>
      <c r="F1120" s="416"/>
      <c r="G1120" s="416"/>
      <c r="H1120" s="416"/>
      <c r="I1120" s="416"/>
      <c r="J1120" s="416"/>
      <c r="K1120" s="416"/>
      <c r="L1120" s="416"/>
      <c r="M1120" s="416"/>
      <c r="N1120" s="416"/>
      <c r="O1120" s="416"/>
      <c r="P1120" s="416"/>
      <c r="Q1120" s="416"/>
      <c r="R1120" s="416"/>
      <c r="S1120" s="416"/>
      <c r="T1120" s="416"/>
      <c r="U1120" s="416"/>
      <c r="V1120" s="416"/>
      <c r="W1120" s="416"/>
      <c r="X1120" s="416"/>
      <c r="Y1120" s="416">
        <f>HLOOKUP(Y776,'2. LRAMVA Threshold'!$B$42:$Q$53,12,FALSE)</f>
        <v>0</v>
      </c>
      <c r="Z1120" s="416">
        <f>HLOOKUP(Z776,'2. LRAMVA Threshold'!$B$42:$Q$53,12,FALSE)</f>
        <v>0</v>
      </c>
      <c r="AA1120" s="416">
        <f>HLOOKUP(AA776,'2. LRAMVA Threshold'!$B$42:$Q$53,12,FALSE)</f>
        <v>0</v>
      </c>
      <c r="AB1120" s="416">
        <f>HLOOKUP(AB776,'2. LRAMVA Threshold'!$B$42:$Q$53,12,FALSE)</f>
        <v>0</v>
      </c>
      <c r="AC1120" s="416">
        <f>HLOOKUP(AC776,'2. LRAMVA Threshold'!$B$42:$Q$53,12,FALSE)</f>
        <v>0</v>
      </c>
      <c r="AD1120" s="416">
        <f>HLOOKUP(AD776,'2. LRAMVA Threshold'!$B$42:$Q$53,12,FALSE)</f>
        <v>0</v>
      </c>
      <c r="AE1120" s="416">
        <f>HLOOKUP(AE776,'2. LRAMVA Threshold'!$B$42:$Q$53,12,FALSE)</f>
        <v>0</v>
      </c>
      <c r="AF1120" s="416">
        <f>HLOOKUP(AF776,'2. LRAMVA Threshold'!$B$42:$Q$53,12,FALSE)</f>
        <v>0</v>
      </c>
      <c r="AG1120" s="416">
        <f>HLOOKUP(AG776,'2. LRAMVA Threshold'!$B$42:$Q$53,12,FALSE)</f>
        <v>0</v>
      </c>
      <c r="AH1120" s="416">
        <f>HLOOKUP(AH776,'2. LRAMVA Threshold'!$B$42:$Q$53,12,FALSE)</f>
        <v>0</v>
      </c>
      <c r="AI1120" s="416">
        <f>HLOOKUP(AI776,'2. LRAMVA Threshold'!$B$42:$Q$53,12,FALSE)</f>
        <v>0</v>
      </c>
      <c r="AJ1120" s="416">
        <f>HLOOKUP(AJ776,'2. LRAMVA Threshold'!$B$42:$Q$53,12,FALSE)</f>
        <v>0</v>
      </c>
      <c r="AK1120" s="416">
        <f>HLOOKUP(AK776,'2. LRAMVA Threshold'!$B$42:$Q$53,12,FALSE)</f>
        <v>0</v>
      </c>
      <c r="AL1120" s="416">
        <f>HLOOKUP(AL776,'2. LRAMVA Threshold'!$B$42:$Q$53,12,FALSE)</f>
        <v>0</v>
      </c>
      <c r="AM1120" s="462"/>
    </row>
    <row r="1121" spans="2:39" ht="15">
      <c r="B1121" s="418"/>
      <c r="C1121" s="452"/>
      <c r="D1121" s="453"/>
      <c r="E1121" s="453"/>
      <c r="F1121" s="453"/>
      <c r="G1121" s="453"/>
      <c r="H1121" s="453"/>
      <c r="I1121" s="453"/>
      <c r="J1121" s="453"/>
      <c r="K1121" s="453"/>
      <c r="L1121" s="453"/>
      <c r="M1121" s="453"/>
      <c r="N1121" s="453"/>
      <c r="O1121" s="454"/>
      <c r="P1121" s="453"/>
      <c r="Q1121" s="453"/>
      <c r="R1121" s="453"/>
      <c r="S1121" s="455"/>
      <c r="T1121" s="455"/>
      <c r="U1121" s="455"/>
      <c r="V1121" s="455"/>
      <c r="W1121" s="453"/>
      <c r="X1121" s="453"/>
      <c r="Y1121" s="456"/>
      <c r="Z1121" s="456"/>
      <c r="AA1121" s="456"/>
      <c r="AB1121" s="456"/>
      <c r="AC1121" s="456"/>
      <c r="AD1121" s="456"/>
      <c r="AE1121" s="456"/>
      <c r="AF1121" s="419"/>
      <c r="AG1121" s="419"/>
      <c r="AH1121" s="419"/>
      <c r="AI1121" s="419"/>
      <c r="AJ1121" s="419"/>
      <c r="AK1121" s="419"/>
      <c r="AL1121" s="419"/>
      <c r="AM1121" s="420"/>
    </row>
    <row r="1122" spans="2:39" ht="15">
      <c r="B1122" s="349" t="s">
        <v>352</v>
      </c>
      <c r="C1122" s="362"/>
      <c r="D1122" s="362"/>
      <c r="E1122" s="400"/>
      <c r="F1122" s="400"/>
      <c r="G1122" s="400"/>
      <c r="H1122" s="400"/>
      <c r="I1122" s="400"/>
      <c r="J1122" s="400"/>
      <c r="K1122" s="400"/>
      <c r="L1122" s="400"/>
      <c r="M1122" s="400"/>
      <c r="N1122" s="400"/>
      <c r="O1122" s="316"/>
      <c r="P1122" s="364"/>
      <c r="Q1122" s="364"/>
      <c r="R1122" s="364"/>
      <c r="S1122" s="363"/>
      <c r="T1122" s="363"/>
      <c r="U1122" s="363"/>
      <c r="V1122" s="363"/>
      <c r="W1122" s="364"/>
      <c r="X1122" s="364"/>
      <c r="Y1122" s="365">
        <f>HLOOKUP(Y$35,'3.  Distribution Rates'!$C$122:$P$133,12,FALSE)</f>
        <v>0</v>
      </c>
      <c r="Z1122" s="365">
        <f>HLOOKUP(Z$35,'3.  Distribution Rates'!$C$122:$P$133,12,FALSE)</f>
        <v>0</v>
      </c>
      <c r="AA1122" s="365">
        <f>HLOOKUP(AA$35,'3.  Distribution Rates'!$C$122:$P$133,12,FALSE)</f>
        <v>0</v>
      </c>
      <c r="AB1122" s="365">
        <f>HLOOKUP(AB$35,'3.  Distribution Rates'!$C$122:$P$133,12,FALSE)</f>
        <v>0</v>
      </c>
      <c r="AC1122" s="365">
        <f>HLOOKUP(AC$35,'3.  Distribution Rates'!$C$122:$P$133,12,FALSE)</f>
        <v>0</v>
      </c>
      <c r="AD1122" s="365">
        <f>HLOOKUP(AD$35,'3.  Distribution Rates'!$C$122:$P$133,12,FALSE)</f>
        <v>0</v>
      </c>
      <c r="AE1122" s="365">
        <f>HLOOKUP(AE$35,'3.  Distribution Rates'!$C$122:$P$133,12,FALSE)</f>
        <v>0</v>
      </c>
      <c r="AF1122" s="365">
        <f>HLOOKUP(AF$35,'3.  Distribution Rates'!$C$122:$P$133,12,FALSE)</f>
        <v>0</v>
      </c>
      <c r="AG1122" s="365">
        <f>HLOOKUP(AG$35,'3.  Distribution Rates'!$C$122:$P$133,12,FALSE)</f>
        <v>0</v>
      </c>
      <c r="AH1122" s="365">
        <f>HLOOKUP(AH$35,'3.  Distribution Rates'!$C$122:$P$133,12,FALSE)</f>
        <v>0</v>
      </c>
      <c r="AI1122" s="365">
        <f>HLOOKUP(AI$35,'3.  Distribution Rates'!$C$122:$P$133,12,FALSE)</f>
        <v>0</v>
      </c>
      <c r="AJ1122" s="365">
        <f>HLOOKUP(AJ$35,'3.  Distribution Rates'!$C$122:$P$133,12,FALSE)</f>
        <v>0</v>
      </c>
      <c r="AK1122" s="365">
        <f>HLOOKUP(AK$35,'3.  Distribution Rates'!$C$122:$P$133,12,FALSE)</f>
        <v>0</v>
      </c>
      <c r="AL1122" s="365">
        <f>HLOOKUP(AL$35,'3.  Distribution Rates'!$C$122:$P$133,12,FALSE)</f>
        <v>0</v>
      </c>
      <c r="AM1122" s="464"/>
    </row>
    <row r="1123" spans="2:39" ht="15">
      <c r="B1123" s="349" t="s">
        <v>356</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'4.  2011-2014 LRAM'!Y143*Y1122</f>
        <v>0</v>
      </c>
      <c r="Z1123" s="402">
        <f>'4.  2011-2014 LRAM'!Z143*Z1122</f>
        <v>0</v>
      </c>
      <c r="AA1123" s="402">
        <f>'4.  2011-2014 LRAM'!AA143*AA1122</f>
        <v>0</v>
      </c>
      <c r="AB1123" s="402">
        <f>'4.  2011-2014 LRAM'!AB143*AB1122</f>
        <v>0</v>
      </c>
      <c r="AC1123" s="402">
        <f>'4.  2011-2014 LRAM'!AC143*AC1122</f>
        <v>0</v>
      </c>
      <c r="AD1123" s="402">
        <f>'4.  2011-2014 LRAM'!AD143*AD1122</f>
        <v>0</v>
      </c>
      <c r="AE1123" s="402">
        <f>'4.  2011-2014 LRAM'!AE143*AE1122</f>
        <v>0</v>
      </c>
      <c r="AF1123" s="402">
        <f>'4.  2011-2014 LRAM'!AF143*AF1122</f>
        <v>0</v>
      </c>
      <c r="AG1123" s="402">
        <f>'4.  2011-2014 LRAM'!AG143*AG1122</f>
        <v>0</v>
      </c>
      <c r="AH1123" s="402">
        <f>'4.  2011-2014 LRAM'!AH143*AH1122</f>
        <v>0</v>
      </c>
      <c r="AI1123" s="402">
        <f>'4.  2011-2014 LRAM'!AI143*AI1122</f>
        <v>0</v>
      </c>
      <c r="AJ1123" s="402">
        <f>'4.  2011-2014 LRAM'!AJ143*AJ1122</f>
        <v>0</v>
      </c>
      <c r="AK1123" s="402">
        <f>'4.  2011-2014 LRAM'!AK143*AK1122</f>
        <v>0</v>
      </c>
      <c r="AL1123" s="402">
        <f>'4.  2011-2014 LRAM'!AL143*AL1122</f>
        <v>0</v>
      </c>
      <c r="AM1123" s="401">
        <f t="shared" ref="AM1123:AM1132" si="3446">SUM(Y1123:AL1123)</f>
        <v>0</v>
      </c>
    </row>
    <row r="1124" spans="2:39" ht="15">
      <c r="B1124" s="349" t="s">
        <v>357</v>
      </c>
      <c r="C1124" s="369"/>
      <c r="D1124" s="334"/>
      <c r="E1124" s="304"/>
      <c r="F1124" s="304"/>
      <c r="G1124" s="304"/>
      <c r="H1124" s="304"/>
      <c r="I1124" s="304"/>
      <c r="J1124" s="304"/>
      <c r="K1124" s="304"/>
      <c r="L1124" s="304"/>
      <c r="M1124" s="304"/>
      <c r="N1124" s="304"/>
      <c r="O1124" s="316"/>
      <c r="P1124" s="304"/>
      <c r="Q1124" s="304"/>
      <c r="R1124" s="304"/>
      <c r="S1124" s="334"/>
      <c r="T1124" s="334"/>
      <c r="U1124" s="334"/>
      <c r="V1124" s="334"/>
      <c r="W1124" s="304"/>
      <c r="X1124" s="304"/>
      <c r="Y1124" s="402">
        <f>'4.  2011-2014 LRAM'!Y272*Y1122</f>
        <v>0</v>
      </c>
      <c r="Z1124" s="402">
        <f>'4.  2011-2014 LRAM'!Z272*Z1122</f>
        <v>0</v>
      </c>
      <c r="AA1124" s="402">
        <f>'4.  2011-2014 LRAM'!AA272*AA1122</f>
        <v>0</v>
      </c>
      <c r="AB1124" s="402">
        <f>'4.  2011-2014 LRAM'!AB272*AB1122</f>
        <v>0</v>
      </c>
      <c r="AC1124" s="402">
        <f>'4.  2011-2014 LRAM'!AC272*AC1122</f>
        <v>0</v>
      </c>
      <c r="AD1124" s="402">
        <f>'4.  2011-2014 LRAM'!AD272*AD1122</f>
        <v>0</v>
      </c>
      <c r="AE1124" s="402">
        <f>'4.  2011-2014 LRAM'!AE272*AE1122</f>
        <v>0</v>
      </c>
      <c r="AF1124" s="402">
        <f>'4.  2011-2014 LRAM'!AF272*AF1122</f>
        <v>0</v>
      </c>
      <c r="AG1124" s="402">
        <f>'4.  2011-2014 LRAM'!AG272*AG1122</f>
        <v>0</v>
      </c>
      <c r="AH1124" s="402">
        <f>'4.  2011-2014 LRAM'!AH272*AH1122</f>
        <v>0</v>
      </c>
      <c r="AI1124" s="402">
        <f>'4.  2011-2014 LRAM'!AI272*AI1122</f>
        <v>0</v>
      </c>
      <c r="AJ1124" s="402">
        <f>'4.  2011-2014 LRAM'!AJ272*AJ1122</f>
        <v>0</v>
      </c>
      <c r="AK1124" s="402">
        <f>'4.  2011-2014 LRAM'!AK272*AK1122</f>
        <v>0</v>
      </c>
      <c r="AL1124" s="402">
        <f>'4.  2011-2014 LRAM'!AL272*AL1122</f>
        <v>0</v>
      </c>
      <c r="AM1124" s="401">
        <f t="shared" si="3446"/>
        <v>0</v>
      </c>
    </row>
    <row r="1125" spans="2:39" ht="15">
      <c r="B1125" s="349" t="s">
        <v>358</v>
      </c>
      <c r="C1125" s="369"/>
      <c r="D1125" s="334"/>
      <c r="E1125" s="304"/>
      <c r="F1125" s="304"/>
      <c r="G1125" s="304"/>
      <c r="H1125" s="304"/>
      <c r="I1125" s="304"/>
      <c r="J1125" s="304"/>
      <c r="K1125" s="304"/>
      <c r="L1125" s="304"/>
      <c r="M1125" s="304"/>
      <c r="N1125" s="304"/>
      <c r="O1125" s="316"/>
      <c r="P1125" s="304"/>
      <c r="Q1125" s="304"/>
      <c r="R1125" s="304"/>
      <c r="S1125" s="334"/>
      <c r="T1125" s="334"/>
      <c r="U1125" s="334"/>
      <c r="V1125" s="334"/>
      <c r="W1125" s="304"/>
      <c r="X1125" s="304"/>
      <c r="Y1125" s="402">
        <f>'4.  2011-2014 LRAM'!Y401*Y1122</f>
        <v>0</v>
      </c>
      <c r="Z1125" s="402">
        <f>'4.  2011-2014 LRAM'!Z401*Z1122</f>
        <v>0</v>
      </c>
      <c r="AA1125" s="402">
        <f>'4.  2011-2014 LRAM'!AA401*AA1122</f>
        <v>0</v>
      </c>
      <c r="AB1125" s="402">
        <f>'4.  2011-2014 LRAM'!AB401*AB1122</f>
        <v>0</v>
      </c>
      <c r="AC1125" s="402">
        <f>'4.  2011-2014 LRAM'!AC401*AC1122</f>
        <v>0</v>
      </c>
      <c r="AD1125" s="402">
        <f>'4.  2011-2014 LRAM'!AD401*AD1122</f>
        <v>0</v>
      </c>
      <c r="AE1125" s="402">
        <f>'4.  2011-2014 LRAM'!AE401*AE1122</f>
        <v>0</v>
      </c>
      <c r="AF1125" s="402">
        <f>'4.  2011-2014 LRAM'!AF401*AF1122</f>
        <v>0</v>
      </c>
      <c r="AG1125" s="402">
        <f>'4.  2011-2014 LRAM'!AG401*AG1122</f>
        <v>0</v>
      </c>
      <c r="AH1125" s="402">
        <f>'4.  2011-2014 LRAM'!AH401*AH1122</f>
        <v>0</v>
      </c>
      <c r="AI1125" s="402">
        <f>'4.  2011-2014 LRAM'!AI401*AI1122</f>
        <v>0</v>
      </c>
      <c r="AJ1125" s="402">
        <f>'4.  2011-2014 LRAM'!AJ401*AJ1122</f>
        <v>0</v>
      </c>
      <c r="AK1125" s="402">
        <f>'4.  2011-2014 LRAM'!AK401*AK1122</f>
        <v>0</v>
      </c>
      <c r="AL1125" s="402">
        <f>'4.  2011-2014 LRAM'!AL401*AL1122</f>
        <v>0</v>
      </c>
      <c r="AM1125" s="401">
        <f t="shared" si="3446"/>
        <v>0</v>
      </c>
    </row>
    <row r="1126" spans="2:39" ht="15">
      <c r="B1126" s="349" t="s">
        <v>359</v>
      </c>
      <c r="C1126" s="369"/>
      <c r="D1126" s="334"/>
      <c r="E1126" s="304"/>
      <c r="F1126" s="304"/>
      <c r="G1126" s="304"/>
      <c r="H1126" s="304"/>
      <c r="I1126" s="304"/>
      <c r="J1126" s="304"/>
      <c r="K1126" s="304"/>
      <c r="L1126" s="304"/>
      <c r="M1126" s="304"/>
      <c r="N1126" s="304"/>
      <c r="O1126" s="316"/>
      <c r="P1126" s="304"/>
      <c r="Q1126" s="304"/>
      <c r="R1126" s="304"/>
      <c r="S1126" s="334"/>
      <c r="T1126" s="334"/>
      <c r="U1126" s="334"/>
      <c r="V1126" s="334"/>
      <c r="W1126" s="304"/>
      <c r="X1126" s="304"/>
      <c r="Y1126" s="402">
        <f>'4.  2011-2014 LRAM'!Y531*Y1122</f>
        <v>0</v>
      </c>
      <c r="Z1126" s="402">
        <f>'4.  2011-2014 LRAM'!Z531*Z1122</f>
        <v>0</v>
      </c>
      <c r="AA1126" s="402">
        <f>'4.  2011-2014 LRAM'!AA531*AA1122</f>
        <v>0</v>
      </c>
      <c r="AB1126" s="402">
        <f>'4.  2011-2014 LRAM'!AB531*AB1122</f>
        <v>0</v>
      </c>
      <c r="AC1126" s="402">
        <f>'4.  2011-2014 LRAM'!AC531*AC1122</f>
        <v>0</v>
      </c>
      <c r="AD1126" s="402">
        <f>'4.  2011-2014 LRAM'!AD531*AD1122</f>
        <v>0</v>
      </c>
      <c r="AE1126" s="402">
        <f>'4.  2011-2014 LRAM'!AE531*AE1122</f>
        <v>0</v>
      </c>
      <c r="AF1126" s="402">
        <f>'4.  2011-2014 LRAM'!AF531*AF1122</f>
        <v>0</v>
      </c>
      <c r="AG1126" s="402">
        <f>'4.  2011-2014 LRAM'!AG531*AG1122</f>
        <v>0</v>
      </c>
      <c r="AH1126" s="402">
        <f>'4.  2011-2014 LRAM'!AH531*AH1122</f>
        <v>0</v>
      </c>
      <c r="AI1126" s="402">
        <f>'4.  2011-2014 LRAM'!AI531*AI1122</f>
        <v>0</v>
      </c>
      <c r="AJ1126" s="402">
        <f>'4.  2011-2014 LRAM'!AJ531*AJ1122</f>
        <v>0</v>
      </c>
      <c r="AK1126" s="402">
        <f>'4.  2011-2014 LRAM'!AK531*AK1122</f>
        <v>0</v>
      </c>
      <c r="AL1126" s="402">
        <f>'4.  2011-2014 LRAM'!AL531*AL1122</f>
        <v>0</v>
      </c>
      <c r="AM1126" s="401">
        <f t="shared" si="3446"/>
        <v>0</v>
      </c>
    </row>
    <row r="1127" spans="2:39" ht="15">
      <c r="B1127" s="349" t="s">
        <v>360</v>
      </c>
      <c r="C1127" s="369"/>
      <c r="D1127" s="334"/>
      <c r="E1127" s="304"/>
      <c r="F1127" s="304"/>
      <c r="G1127" s="304"/>
      <c r="H1127" s="304"/>
      <c r="I1127" s="304"/>
      <c r="J1127" s="304"/>
      <c r="K1127" s="304"/>
      <c r="L1127" s="304"/>
      <c r="M1127" s="304"/>
      <c r="N1127" s="304"/>
      <c r="O1127" s="316"/>
      <c r="P1127" s="304"/>
      <c r="Q1127" s="304"/>
      <c r="R1127" s="304"/>
      <c r="S1127" s="334"/>
      <c r="T1127" s="334"/>
      <c r="U1127" s="334"/>
      <c r="V1127" s="334"/>
      <c r="W1127" s="304"/>
      <c r="X1127" s="304"/>
      <c r="Y1127" s="402">
        <f t="shared" ref="Y1127:AL1127" si="3447">Y212*Y1122</f>
        <v>0</v>
      </c>
      <c r="Z1127" s="402">
        <f t="shared" si="3447"/>
        <v>0</v>
      </c>
      <c r="AA1127" s="402">
        <f t="shared" si="3447"/>
        <v>0</v>
      </c>
      <c r="AB1127" s="402">
        <f t="shared" si="3447"/>
        <v>0</v>
      </c>
      <c r="AC1127" s="402">
        <f t="shared" si="3447"/>
        <v>0</v>
      </c>
      <c r="AD1127" s="402">
        <f t="shared" si="3447"/>
        <v>0</v>
      </c>
      <c r="AE1127" s="402">
        <f t="shared" si="3447"/>
        <v>0</v>
      </c>
      <c r="AF1127" s="402">
        <f t="shared" si="3447"/>
        <v>0</v>
      </c>
      <c r="AG1127" s="402">
        <f t="shared" si="3447"/>
        <v>0</v>
      </c>
      <c r="AH1127" s="402">
        <f t="shared" si="3447"/>
        <v>0</v>
      </c>
      <c r="AI1127" s="402">
        <f t="shared" si="3447"/>
        <v>0</v>
      </c>
      <c r="AJ1127" s="402">
        <f t="shared" si="3447"/>
        <v>0</v>
      </c>
      <c r="AK1127" s="402">
        <f t="shared" si="3447"/>
        <v>0</v>
      </c>
      <c r="AL1127" s="402">
        <f t="shared" si="3447"/>
        <v>0</v>
      </c>
      <c r="AM1127" s="401">
        <f t="shared" si="3446"/>
        <v>0</v>
      </c>
    </row>
    <row r="1128" spans="2:39" ht="15">
      <c r="B1128" s="349" t="s">
        <v>361</v>
      </c>
      <c r="C1128" s="369"/>
      <c r="D1128" s="334"/>
      <c r="E1128" s="304"/>
      <c r="F1128" s="304"/>
      <c r="G1128" s="304"/>
      <c r="H1128" s="304"/>
      <c r="I1128" s="304"/>
      <c r="J1128" s="304"/>
      <c r="K1128" s="304"/>
      <c r="L1128" s="304"/>
      <c r="M1128" s="304"/>
      <c r="N1128" s="304"/>
      <c r="O1128" s="316"/>
      <c r="P1128" s="304"/>
      <c r="Q1128" s="304"/>
      <c r="R1128" s="304"/>
      <c r="S1128" s="334"/>
      <c r="T1128" s="334"/>
      <c r="U1128" s="334"/>
      <c r="V1128" s="334"/>
      <c r="W1128" s="304"/>
      <c r="X1128" s="304"/>
      <c r="Y1128" s="402">
        <f t="shared" ref="Y1128:AL1128" si="3448">Y404*Y1122</f>
        <v>0</v>
      </c>
      <c r="Z1128" s="402">
        <f t="shared" si="3448"/>
        <v>0</v>
      </c>
      <c r="AA1128" s="402">
        <f t="shared" si="3448"/>
        <v>0</v>
      </c>
      <c r="AB1128" s="402">
        <f t="shared" si="3448"/>
        <v>0</v>
      </c>
      <c r="AC1128" s="402">
        <f t="shared" si="3448"/>
        <v>0</v>
      </c>
      <c r="AD1128" s="402">
        <f t="shared" si="3448"/>
        <v>0</v>
      </c>
      <c r="AE1128" s="402">
        <f t="shared" si="3448"/>
        <v>0</v>
      </c>
      <c r="AF1128" s="402">
        <f t="shared" si="3448"/>
        <v>0</v>
      </c>
      <c r="AG1128" s="402">
        <f t="shared" si="3448"/>
        <v>0</v>
      </c>
      <c r="AH1128" s="402">
        <f t="shared" si="3448"/>
        <v>0</v>
      </c>
      <c r="AI1128" s="402">
        <f t="shared" si="3448"/>
        <v>0</v>
      </c>
      <c r="AJ1128" s="402">
        <f t="shared" si="3448"/>
        <v>0</v>
      </c>
      <c r="AK1128" s="402">
        <f t="shared" si="3448"/>
        <v>0</v>
      </c>
      <c r="AL1128" s="402">
        <f t="shared" si="3448"/>
        <v>0</v>
      </c>
      <c r="AM1128" s="401">
        <f t="shared" si="3446"/>
        <v>0</v>
      </c>
    </row>
    <row r="1129" spans="2:39" ht="15">
      <c r="B1129" s="349" t="s">
        <v>362</v>
      </c>
      <c r="C1129" s="369"/>
      <c r="D1129" s="334"/>
      <c r="E1129" s="304"/>
      <c r="F1129" s="304"/>
      <c r="G1129" s="304"/>
      <c r="H1129" s="304"/>
      <c r="I1129" s="304"/>
      <c r="J1129" s="304"/>
      <c r="K1129" s="304"/>
      <c r="L1129" s="304"/>
      <c r="M1129" s="304"/>
      <c r="N1129" s="304"/>
      <c r="O1129" s="316"/>
      <c r="P1129" s="304"/>
      <c r="Q1129" s="304"/>
      <c r="R1129" s="304"/>
      <c r="S1129" s="334"/>
      <c r="T1129" s="334"/>
      <c r="U1129" s="334"/>
      <c r="V1129" s="334"/>
      <c r="W1129" s="304"/>
      <c r="X1129" s="304"/>
      <c r="Y1129" s="402">
        <f t="shared" ref="Y1129:AL1129" si="3449">Y587*Y1122</f>
        <v>0</v>
      </c>
      <c r="Z1129" s="402">
        <f t="shared" si="3449"/>
        <v>0</v>
      </c>
      <c r="AA1129" s="402">
        <f t="shared" si="3449"/>
        <v>0</v>
      </c>
      <c r="AB1129" s="402">
        <f t="shared" si="3449"/>
        <v>0</v>
      </c>
      <c r="AC1129" s="402">
        <f t="shared" si="3449"/>
        <v>0</v>
      </c>
      <c r="AD1129" s="402">
        <f t="shared" si="3449"/>
        <v>0</v>
      </c>
      <c r="AE1129" s="402">
        <f t="shared" si="3449"/>
        <v>0</v>
      </c>
      <c r="AF1129" s="402">
        <f t="shared" si="3449"/>
        <v>0</v>
      </c>
      <c r="AG1129" s="402">
        <f t="shared" si="3449"/>
        <v>0</v>
      </c>
      <c r="AH1129" s="402">
        <f t="shared" si="3449"/>
        <v>0</v>
      </c>
      <c r="AI1129" s="402">
        <f t="shared" si="3449"/>
        <v>0</v>
      </c>
      <c r="AJ1129" s="402">
        <f t="shared" si="3449"/>
        <v>0</v>
      </c>
      <c r="AK1129" s="402">
        <f t="shared" si="3449"/>
        <v>0</v>
      </c>
      <c r="AL1129" s="402">
        <f t="shared" si="3449"/>
        <v>0</v>
      </c>
      <c r="AM1129" s="401">
        <f t="shared" si="3446"/>
        <v>0</v>
      </c>
    </row>
    <row r="1130" spans="2:39" ht="15">
      <c r="B1130" s="349" t="s">
        <v>363</v>
      </c>
      <c r="C1130" s="369"/>
      <c r="D1130" s="334"/>
      <c r="E1130" s="304"/>
      <c r="F1130" s="304"/>
      <c r="G1130" s="304"/>
      <c r="H1130" s="304"/>
      <c r="I1130" s="304"/>
      <c r="J1130" s="304"/>
      <c r="K1130" s="304"/>
      <c r="L1130" s="304"/>
      <c r="M1130" s="304"/>
      <c r="N1130" s="304"/>
      <c r="O1130" s="316"/>
      <c r="P1130" s="304"/>
      <c r="Q1130" s="304"/>
      <c r="R1130" s="304"/>
      <c r="S1130" s="334"/>
      <c r="T1130" s="334"/>
      <c r="U1130" s="334"/>
      <c r="V1130" s="334"/>
      <c r="W1130" s="304"/>
      <c r="X1130" s="304"/>
      <c r="Y1130" s="402">
        <f t="shared" ref="Y1130:AL1130" si="3450">Y770*Y1122</f>
        <v>0</v>
      </c>
      <c r="Z1130" s="402">
        <f t="shared" si="3450"/>
        <v>0</v>
      </c>
      <c r="AA1130" s="402">
        <f t="shared" si="3450"/>
        <v>0</v>
      </c>
      <c r="AB1130" s="402">
        <f t="shared" si="3450"/>
        <v>0</v>
      </c>
      <c r="AC1130" s="402">
        <f t="shared" si="3450"/>
        <v>0</v>
      </c>
      <c r="AD1130" s="402">
        <f t="shared" si="3450"/>
        <v>0</v>
      </c>
      <c r="AE1130" s="402">
        <f t="shared" si="3450"/>
        <v>0</v>
      </c>
      <c r="AF1130" s="402">
        <f t="shared" si="3450"/>
        <v>0</v>
      </c>
      <c r="AG1130" s="402">
        <f t="shared" si="3450"/>
        <v>0</v>
      </c>
      <c r="AH1130" s="402">
        <f t="shared" si="3450"/>
        <v>0</v>
      </c>
      <c r="AI1130" s="402">
        <f t="shared" si="3450"/>
        <v>0</v>
      </c>
      <c r="AJ1130" s="402">
        <f t="shared" si="3450"/>
        <v>0</v>
      </c>
      <c r="AK1130" s="402">
        <f t="shared" si="3450"/>
        <v>0</v>
      </c>
      <c r="AL1130" s="402">
        <f t="shared" si="3450"/>
        <v>0</v>
      </c>
      <c r="AM1130" s="401">
        <f t="shared" si="3446"/>
        <v>0</v>
      </c>
    </row>
    <row r="1131" spans="2:39" ht="15">
      <c r="B1131" s="349" t="s">
        <v>364</v>
      </c>
      <c r="C1131" s="369"/>
      <c r="D1131" s="334"/>
      <c r="E1131" s="304"/>
      <c r="F1131" s="304"/>
      <c r="G1131" s="304"/>
      <c r="H1131" s="304"/>
      <c r="I1131" s="304"/>
      <c r="J1131" s="304"/>
      <c r="K1131" s="304"/>
      <c r="L1131" s="304"/>
      <c r="M1131" s="304"/>
      <c r="N1131" s="304"/>
      <c r="O1131" s="316"/>
      <c r="P1131" s="304"/>
      <c r="Q1131" s="304"/>
      <c r="R1131" s="304"/>
      <c r="S1131" s="334"/>
      <c r="T1131" s="334"/>
      <c r="U1131" s="334"/>
      <c r="V1131" s="334"/>
      <c r="W1131" s="304"/>
      <c r="X1131" s="304"/>
      <c r="Y1131" s="402">
        <f t="shared" ref="Y1131:AL1131" si="3451">Y953*Y1122</f>
        <v>0</v>
      </c>
      <c r="Z1131" s="402">
        <f t="shared" si="3451"/>
        <v>0</v>
      </c>
      <c r="AA1131" s="402">
        <f t="shared" si="3451"/>
        <v>0</v>
      </c>
      <c r="AB1131" s="402">
        <f t="shared" si="3451"/>
        <v>0</v>
      </c>
      <c r="AC1131" s="402">
        <f t="shared" si="3451"/>
        <v>0</v>
      </c>
      <c r="AD1131" s="402">
        <f t="shared" si="3451"/>
        <v>0</v>
      </c>
      <c r="AE1131" s="402">
        <f t="shared" si="3451"/>
        <v>0</v>
      </c>
      <c r="AF1131" s="402">
        <f t="shared" si="3451"/>
        <v>0</v>
      </c>
      <c r="AG1131" s="402">
        <f t="shared" si="3451"/>
        <v>0</v>
      </c>
      <c r="AH1131" s="402">
        <f t="shared" si="3451"/>
        <v>0</v>
      </c>
      <c r="AI1131" s="402">
        <f t="shared" si="3451"/>
        <v>0</v>
      </c>
      <c r="AJ1131" s="402">
        <f t="shared" si="3451"/>
        <v>0</v>
      </c>
      <c r="AK1131" s="402">
        <f t="shared" si="3451"/>
        <v>0</v>
      </c>
      <c r="AL1131" s="402">
        <f t="shared" si="3451"/>
        <v>0</v>
      </c>
      <c r="AM1131" s="401">
        <f t="shared" si="3446"/>
        <v>0</v>
      </c>
    </row>
    <row r="1132" spans="2:39" ht="15">
      <c r="B1132" s="349" t="s">
        <v>365</v>
      </c>
      <c r="C1132" s="369"/>
      <c r="D1132" s="334"/>
      <c r="E1132" s="304"/>
      <c r="F1132" s="304"/>
      <c r="G1132" s="304"/>
      <c r="H1132" s="304"/>
      <c r="I1132" s="304"/>
      <c r="J1132" s="304"/>
      <c r="K1132" s="304"/>
      <c r="L1132" s="304"/>
      <c r="M1132" s="304"/>
      <c r="N1132" s="304"/>
      <c r="O1132" s="316"/>
      <c r="P1132" s="304"/>
      <c r="Q1132" s="304"/>
      <c r="R1132" s="304"/>
      <c r="S1132" s="334"/>
      <c r="T1132" s="334"/>
      <c r="U1132" s="334"/>
      <c r="V1132" s="334"/>
      <c r="W1132" s="304"/>
      <c r="X1132" s="304"/>
      <c r="Y1132" s="402">
        <f>Y1119*Y1122</f>
        <v>0</v>
      </c>
      <c r="Z1132" s="402">
        <f t="shared" ref="Z1132:AL1132" si="3452">Z1119*Z1122</f>
        <v>0</v>
      </c>
      <c r="AA1132" s="402">
        <f t="shared" si="3452"/>
        <v>0</v>
      </c>
      <c r="AB1132" s="402">
        <f t="shared" si="3452"/>
        <v>0</v>
      </c>
      <c r="AC1132" s="402">
        <f t="shared" si="3452"/>
        <v>0</v>
      </c>
      <c r="AD1132" s="402">
        <f t="shared" si="3452"/>
        <v>0</v>
      </c>
      <c r="AE1132" s="402">
        <f t="shared" si="3452"/>
        <v>0</v>
      </c>
      <c r="AF1132" s="402">
        <f t="shared" si="3452"/>
        <v>0</v>
      </c>
      <c r="AG1132" s="402">
        <f t="shared" si="3452"/>
        <v>0</v>
      </c>
      <c r="AH1132" s="402">
        <f t="shared" si="3452"/>
        <v>0</v>
      </c>
      <c r="AI1132" s="402">
        <f t="shared" si="3452"/>
        <v>0</v>
      </c>
      <c r="AJ1132" s="402">
        <f t="shared" si="3452"/>
        <v>0</v>
      </c>
      <c r="AK1132" s="402">
        <f t="shared" si="3452"/>
        <v>0</v>
      </c>
      <c r="AL1132" s="402">
        <f t="shared" si="3452"/>
        <v>0</v>
      </c>
      <c r="AM1132" s="401">
        <f t="shared" si="3446"/>
        <v>0</v>
      </c>
    </row>
    <row r="1133" spans="2:39" ht="15.6">
      <c r="B1133" s="373" t="s">
        <v>355</v>
      </c>
      <c r="C1133" s="369"/>
      <c r="D1133" s="360"/>
      <c r="E1133" s="358"/>
      <c r="F1133" s="358"/>
      <c r="G1133" s="358"/>
      <c r="H1133" s="358"/>
      <c r="I1133" s="358"/>
      <c r="J1133" s="358"/>
      <c r="K1133" s="358"/>
      <c r="L1133" s="358"/>
      <c r="M1133" s="358"/>
      <c r="N1133" s="358"/>
      <c r="O1133" s="325"/>
      <c r="P1133" s="358"/>
      <c r="Q1133" s="358"/>
      <c r="R1133" s="358"/>
      <c r="S1133" s="360"/>
      <c r="T1133" s="360"/>
      <c r="U1133" s="360"/>
      <c r="V1133" s="360"/>
      <c r="W1133" s="358"/>
      <c r="X1133" s="358"/>
      <c r="Y1133" s="370">
        <f>SUM(Y1123:Y1132)</f>
        <v>0</v>
      </c>
      <c r="Z1133" s="370">
        <f t="shared" ref="Z1133:AE1133" si="3453">SUM(Z1123:Z1132)</f>
        <v>0</v>
      </c>
      <c r="AA1133" s="370">
        <f t="shared" si="3453"/>
        <v>0</v>
      </c>
      <c r="AB1133" s="370">
        <f t="shared" si="3453"/>
        <v>0</v>
      </c>
      <c r="AC1133" s="370">
        <f t="shared" si="3453"/>
        <v>0</v>
      </c>
      <c r="AD1133" s="370">
        <f t="shared" si="3453"/>
        <v>0</v>
      </c>
      <c r="AE1133" s="370">
        <f t="shared" si="3453"/>
        <v>0</v>
      </c>
      <c r="AF1133" s="370">
        <f>SUM(AF1123:AF1132)</f>
        <v>0</v>
      </c>
      <c r="AG1133" s="370">
        <f t="shared" ref="AG1133:AL1133" si="3454">SUM(AG1123:AG1132)</f>
        <v>0</v>
      </c>
      <c r="AH1133" s="370">
        <f t="shared" si="3454"/>
        <v>0</v>
      </c>
      <c r="AI1133" s="370">
        <f t="shared" si="3454"/>
        <v>0</v>
      </c>
      <c r="AJ1133" s="370">
        <f t="shared" si="3454"/>
        <v>0</v>
      </c>
      <c r="AK1133" s="370">
        <f t="shared" si="3454"/>
        <v>0</v>
      </c>
      <c r="AL1133" s="370">
        <f t="shared" si="3454"/>
        <v>0</v>
      </c>
      <c r="AM1133" s="372">
        <f>SUM(AM1123:AM1132)</f>
        <v>0</v>
      </c>
    </row>
    <row r="1134" spans="2:39" ht="15.6">
      <c r="B1134" s="373" t="s">
        <v>354</v>
      </c>
      <c r="C1134" s="369"/>
      <c r="D1134" s="374"/>
      <c r="E1134" s="358"/>
      <c r="F1134" s="358"/>
      <c r="G1134" s="358"/>
      <c r="H1134" s="358"/>
      <c r="I1134" s="358"/>
      <c r="J1134" s="358"/>
      <c r="K1134" s="358"/>
      <c r="L1134" s="358"/>
      <c r="M1134" s="358"/>
      <c r="N1134" s="358"/>
      <c r="O1134" s="325"/>
      <c r="P1134" s="358"/>
      <c r="Q1134" s="358"/>
      <c r="R1134" s="358"/>
      <c r="S1134" s="360"/>
      <c r="T1134" s="360"/>
      <c r="U1134" s="360"/>
      <c r="V1134" s="360"/>
      <c r="W1134" s="358"/>
      <c r="X1134" s="358"/>
      <c r="Y1134" s="371">
        <f>Y1120*Y1122</f>
        <v>0</v>
      </c>
      <c r="Z1134" s="371">
        <f t="shared" ref="Z1134:AE1134" si="3455">Z1120*Z1122</f>
        <v>0</v>
      </c>
      <c r="AA1134" s="371">
        <f>AA1120*AA1122</f>
        <v>0</v>
      </c>
      <c r="AB1134" s="371">
        <f t="shared" si="3455"/>
        <v>0</v>
      </c>
      <c r="AC1134" s="371">
        <f t="shared" si="3455"/>
        <v>0</v>
      </c>
      <c r="AD1134" s="371">
        <f t="shared" si="3455"/>
        <v>0</v>
      </c>
      <c r="AE1134" s="371">
        <f t="shared" si="3455"/>
        <v>0</v>
      </c>
      <c r="AF1134" s="371">
        <f t="shared" ref="AF1134:AL1134" si="3456">AF1120*AF1122</f>
        <v>0</v>
      </c>
      <c r="AG1134" s="371">
        <f t="shared" si="3456"/>
        <v>0</v>
      </c>
      <c r="AH1134" s="371">
        <f t="shared" si="3456"/>
        <v>0</v>
      </c>
      <c r="AI1134" s="371">
        <f t="shared" si="3456"/>
        <v>0</v>
      </c>
      <c r="AJ1134" s="371">
        <f t="shared" si="3456"/>
        <v>0</v>
      </c>
      <c r="AK1134" s="371">
        <f t="shared" si="3456"/>
        <v>0</v>
      </c>
      <c r="AL1134" s="371">
        <f t="shared" si="3456"/>
        <v>0</v>
      </c>
      <c r="AM1134" s="372">
        <f>SUM(Y1134:AL1134)</f>
        <v>0</v>
      </c>
    </row>
    <row r="1135" spans="2:39" ht="15.6">
      <c r="B1135" s="373" t="s">
        <v>353</v>
      </c>
      <c r="C1135" s="369"/>
      <c r="D1135" s="374"/>
      <c r="E1135" s="358"/>
      <c r="F1135" s="358"/>
      <c r="G1135" s="358"/>
      <c r="H1135" s="358"/>
      <c r="I1135" s="358"/>
      <c r="J1135" s="358"/>
      <c r="K1135" s="358"/>
      <c r="L1135" s="358"/>
      <c r="M1135" s="358"/>
      <c r="N1135" s="358"/>
      <c r="O1135" s="325"/>
      <c r="P1135" s="358"/>
      <c r="Q1135" s="358"/>
      <c r="R1135" s="358"/>
      <c r="S1135" s="374"/>
      <c r="T1135" s="374"/>
      <c r="U1135" s="374"/>
      <c r="V1135" s="374"/>
      <c r="W1135" s="358"/>
      <c r="X1135" s="358"/>
      <c r="Y1135" s="375"/>
      <c r="Z1135" s="375"/>
      <c r="AA1135" s="375"/>
      <c r="AB1135" s="375"/>
      <c r="AC1135" s="375"/>
      <c r="AD1135" s="375"/>
      <c r="AE1135" s="375"/>
      <c r="AF1135" s="375"/>
      <c r="AG1135" s="375"/>
      <c r="AH1135" s="375"/>
      <c r="AI1135" s="375"/>
      <c r="AJ1135" s="375"/>
      <c r="AK1135" s="375"/>
      <c r="AL1135" s="375"/>
      <c r="AM1135" s="372">
        <f>AM1133-AM1134</f>
        <v>0</v>
      </c>
    </row>
    <row r="1136" spans="2:39" ht="15">
      <c r="B1136" s="405"/>
      <c r="C1136" s="465"/>
      <c r="D1136" s="465"/>
      <c r="E1136" s="466"/>
      <c r="F1136" s="466"/>
      <c r="G1136" s="466"/>
      <c r="H1136" s="466"/>
      <c r="I1136" s="466"/>
      <c r="J1136" s="466"/>
      <c r="K1136" s="466"/>
      <c r="L1136" s="466"/>
      <c r="M1136" s="466"/>
      <c r="N1136" s="466"/>
      <c r="O1136" s="467"/>
      <c r="P1136" s="466"/>
      <c r="Q1136" s="466"/>
      <c r="R1136" s="466"/>
      <c r="S1136" s="465"/>
      <c r="T1136" s="468"/>
      <c r="U1136" s="465"/>
      <c r="V1136" s="465"/>
      <c r="W1136" s="466"/>
      <c r="X1136" s="466"/>
      <c r="Y1136" s="469"/>
      <c r="Z1136" s="469"/>
      <c r="AA1136" s="469"/>
      <c r="AB1136" s="469"/>
      <c r="AC1136" s="469"/>
      <c r="AD1136" s="469"/>
      <c r="AE1136" s="469"/>
      <c r="AF1136" s="469"/>
      <c r="AG1136" s="469"/>
      <c r="AH1136" s="469"/>
      <c r="AI1136" s="469"/>
      <c r="AJ1136" s="469"/>
      <c r="AK1136" s="469"/>
      <c r="AL1136" s="469"/>
      <c r="AM1136" s="410"/>
    </row>
    <row r="1137" spans="2:39" ht="19.5" customHeight="1">
      <c r="B1137" s="392" t="s">
        <v>226</v>
      </c>
      <c r="C1137" s="411"/>
      <c r="D1137" s="412"/>
      <c r="E1137" s="412"/>
      <c r="F1137" s="412"/>
      <c r="G1137" s="412"/>
      <c r="H1137" s="412"/>
      <c r="I1137" s="412"/>
      <c r="J1137" s="412"/>
      <c r="K1137" s="412"/>
      <c r="L1137" s="412"/>
      <c r="M1137" s="412"/>
      <c r="N1137" s="412"/>
      <c r="O1137" s="412"/>
      <c r="P1137" s="412"/>
      <c r="Q1137" s="412"/>
      <c r="R1137" s="412"/>
      <c r="S1137" s="395"/>
      <c r="T1137" s="396"/>
      <c r="U1137" s="412"/>
      <c r="V1137" s="412"/>
      <c r="W1137" s="412"/>
      <c r="X1137" s="412"/>
      <c r="Y1137" s="429"/>
      <c r="Z1137" s="429"/>
      <c r="AA1137" s="429"/>
      <c r="AB1137" s="429"/>
      <c r="AC1137" s="429"/>
      <c r="AD1137" s="429"/>
      <c r="AE1137" s="429"/>
      <c r="AF1137" s="429"/>
      <c r="AG1137" s="429"/>
      <c r="AH1137" s="429"/>
      <c r="AI1137" s="429"/>
      <c r="AJ1137" s="429"/>
      <c r="AK1137" s="429"/>
      <c r="AL1137" s="429"/>
      <c r="AM1137" s="413"/>
    </row>
    <row r="1139" spans="2:39">
      <c r="B1139" s="619" t="s">
        <v>588</v>
      </c>
    </row>
  </sheetData>
  <sheetProtection formatCells="0" formatColumns="0" formatRows="0" insertColumns="0" insertRows="0" insertHyperlinks="0" deleteColumns="0" deleteRows="0" sort="0" autoFilter="0" pivotTables="0"/>
  <mergeCells count="45">
    <mergeCell ref="Y958:AM958"/>
    <mergeCell ref="P592:X592"/>
    <mergeCell ref="B775:B776"/>
    <mergeCell ref="C775:C776"/>
    <mergeCell ref="E775:M775"/>
    <mergeCell ref="N775:N776"/>
    <mergeCell ref="P775:X775"/>
    <mergeCell ref="Y775:AM775"/>
    <mergeCell ref="Y592:AM592"/>
    <mergeCell ref="P958:X958"/>
    <mergeCell ref="N958:N959"/>
    <mergeCell ref="B958:B959"/>
    <mergeCell ref="C958:C959"/>
    <mergeCell ref="E958:M958"/>
    <mergeCell ref="C409:C410"/>
    <mergeCell ref="E409:M409"/>
    <mergeCell ref="N409:N410"/>
    <mergeCell ref="B592:B593"/>
    <mergeCell ref="C592:C593"/>
    <mergeCell ref="E592:M592"/>
    <mergeCell ref="N592:N593"/>
    <mergeCell ref="B409:B410"/>
    <mergeCell ref="B217:B218"/>
    <mergeCell ref="C217:C218"/>
    <mergeCell ref="E217:M217"/>
    <mergeCell ref="N217:N218"/>
    <mergeCell ref="P217:X217"/>
    <mergeCell ref="Y409:AM409"/>
    <mergeCell ref="Y217:AM217"/>
    <mergeCell ref="N34:N35"/>
    <mergeCell ref="P34:X34"/>
    <mergeCell ref="Y34:AM34"/>
    <mergeCell ref="P409:X409"/>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1"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74" location="'5.  2015-2020 LRAM'!A1" display="Return to top"/>
    <hyperlink ref="D957" location="'5.  2015-2020 LRAM'!A1" display="Return to top"/>
    <hyperlink ref="B1139" location="'5.  2015-2020 LRAM'!A1" display="Return to top"/>
    <hyperlink ref="D33" location="'7-e.  2015'!A1" display="Go to Persistence Report"/>
    <hyperlink ref="F216" location="'7-f.  2016'!A1" display="Go to Persistence Report"/>
    <hyperlink ref="F408" location="'7-g.  2017'!A1" display="Go to Persistence Report"/>
    <hyperlink ref="F591" location="'7-h.  2018'!A1" display="Go to Persistence Report"/>
    <hyperlink ref="F774" location="'7-i.  2019'!A1" display="Go to Persistence Report"/>
    <hyperlink ref="F957"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5"/>
  <sheetViews>
    <sheetView topLeftCell="E107" zoomScale="80" zoomScaleNormal="80" workbookViewId="0">
      <selection activeCell="E132" sqref="E132"/>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25" width="9.109375" style="12"/>
    <col min="26" max="26" width="17.6640625" style="12" customWidth="1"/>
    <col min="27" max="31" width="9.109375" style="12"/>
    <col min="32" max="32" width="15" style="12" customWidth="1"/>
    <col min="33" max="33" width="12.6640625" style="12" customWidth="1"/>
    <col min="34" max="34" width="14.33203125" style="12" customWidth="1"/>
    <col min="35" max="35" width="12.88671875" style="12" customWidth="1"/>
    <col min="36" max="38" width="9.109375" style="12"/>
    <col min="39" max="39" width="14.109375" style="12" customWidth="1"/>
    <col min="40" max="16384" width="9.109375" style="12"/>
  </cols>
  <sheetData>
    <row r="1" spans="1:39" ht="153" customHeight="1">
      <c r="E1" s="1"/>
      <c r="G1" s="1"/>
      <c r="I1" s="1"/>
      <c r="J1" s="1"/>
      <c r="K1" s="1"/>
      <c r="L1" s="1"/>
      <c r="M1" s="1"/>
      <c r="N1" s="1"/>
      <c r="O1" s="1"/>
      <c r="W1" s="1"/>
      <c r="X1" s="1"/>
      <c r="Y1" s="1"/>
      <c r="Z1" s="1"/>
      <c r="AA1" s="1"/>
    </row>
    <row r="3" spans="1:39" ht="14.25" customHeight="1" thickBot="1">
      <c r="B3" s="23"/>
      <c r="C3" s="58"/>
      <c r="D3" s="58"/>
      <c r="E3" s="59"/>
      <c r="F3" s="59"/>
      <c r="G3" s="59"/>
      <c r="H3" s="59"/>
      <c r="I3" s="59"/>
      <c r="J3" s="59"/>
      <c r="K3" s="59"/>
      <c r="L3" s="59"/>
      <c r="M3" s="59"/>
      <c r="N3" s="59"/>
      <c r="O3" s="59"/>
      <c r="P3" s="59"/>
      <c r="Q3" s="59"/>
      <c r="R3" s="59"/>
      <c r="S3" s="59"/>
      <c r="T3" s="59"/>
      <c r="U3" s="59"/>
      <c r="V3" s="59"/>
      <c r="W3" s="59"/>
      <c r="Z3" s="2"/>
    </row>
    <row r="4" spans="1:39"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39"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39"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39"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39" s="9" customFormat="1" ht="36" customHeight="1">
      <c r="A8" s="26"/>
      <c r="B8" s="118" t="s">
        <v>520</v>
      </c>
      <c r="C8" s="1232" t="s">
        <v>666</v>
      </c>
      <c r="D8" s="1232"/>
      <c r="E8" s="1232"/>
      <c r="F8" s="1232"/>
      <c r="G8" s="1232"/>
      <c r="H8" s="1232"/>
      <c r="I8" s="1232"/>
      <c r="J8" s="1232"/>
      <c r="K8" s="1232"/>
      <c r="L8" s="1232"/>
      <c r="M8" s="1232"/>
      <c r="N8" s="1232"/>
      <c r="O8" s="1232"/>
      <c r="P8" s="1232"/>
      <c r="Q8" s="1232"/>
      <c r="R8" s="1232"/>
      <c r="S8" s="1232"/>
      <c r="T8" s="107"/>
      <c r="U8" s="107"/>
      <c r="V8" s="107"/>
      <c r="W8" s="107"/>
    </row>
    <row r="9" spans="1:39" s="9" customFormat="1" ht="45" customHeight="1">
      <c r="B9" s="57"/>
      <c r="C9" s="1232" t="s">
        <v>655</v>
      </c>
      <c r="D9" s="1232"/>
      <c r="E9" s="1232"/>
      <c r="F9" s="1232"/>
      <c r="G9" s="1232"/>
      <c r="H9" s="1232"/>
      <c r="I9" s="1232"/>
      <c r="J9" s="1232"/>
      <c r="K9" s="1232"/>
      <c r="L9" s="1232"/>
      <c r="M9" s="1232"/>
      <c r="N9" s="1232"/>
      <c r="O9" s="1232"/>
      <c r="P9" s="1232"/>
      <c r="Q9" s="1232"/>
      <c r="R9" s="1232"/>
      <c r="S9" s="1232"/>
      <c r="T9" s="107"/>
      <c r="U9" s="107"/>
      <c r="V9" s="107"/>
      <c r="W9" s="107"/>
    </row>
    <row r="10" spans="1:39"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39"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39" s="51" customFormat="1" ht="17.25" customHeight="1">
      <c r="B12" s="1231" t="s">
        <v>238</v>
      </c>
      <c r="C12" s="1231"/>
      <c r="D12" s="195"/>
      <c r="E12" s="196" t="s">
        <v>239</v>
      </c>
      <c r="F12" s="52"/>
      <c r="G12" s="52"/>
      <c r="H12" s="45"/>
      <c r="I12" s="52"/>
      <c r="K12" s="621" t="s">
        <v>597</v>
      </c>
      <c r="L12" s="53"/>
      <c r="M12" s="53"/>
      <c r="N12" s="53"/>
      <c r="O12" s="53"/>
      <c r="P12" s="53"/>
      <c r="Q12" s="53"/>
      <c r="R12" s="53"/>
      <c r="S12" s="53"/>
      <c r="T12" s="53"/>
      <c r="U12" s="53"/>
      <c r="V12" s="53"/>
      <c r="W12" s="53"/>
      <c r="Y12" s="9"/>
      <c r="Z12" s="9"/>
      <c r="AA12" s="9"/>
      <c r="AB12" s="9"/>
      <c r="AD12" s="51" t="s">
        <v>985</v>
      </c>
    </row>
    <row r="13" spans="1:39"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39"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c r="AB14" s="989" t="s">
        <v>62</v>
      </c>
      <c r="AC14" s="989" t="s">
        <v>984</v>
      </c>
      <c r="AD14" s="992" t="s">
        <v>986</v>
      </c>
      <c r="AE14" s="9" t="s">
        <v>987</v>
      </c>
      <c r="AF14" s="992">
        <v>2014</v>
      </c>
      <c r="AG14" s="9">
        <v>2015</v>
      </c>
      <c r="AH14" s="992">
        <v>2016</v>
      </c>
      <c r="AI14" s="992">
        <v>2017</v>
      </c>
      <c r="AJ14" s="9">
        <v>2018</v>
      </c>
      <c r="AK14" s="992">
        <v>2019</v>
      </c>
      <c r="AL14" s="992">
        <v>2020</v>
      </c>
      <c r="AM14" s="9" t="s">
        <v>26</v>
      </c>
    </row>
    <row r="15" spans="1:39"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c r="AB15" s="990">
        <f>E15</f>
        <v>40544</v>
      </c>
      <c r="AC15" s="991">
        <f>$C$15</f>
        <v>1.47E-2</v>
      </c>
    </row>
    <row r="16" spans="1:39"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c r="AB16" s="990">
        <f t="shared" ref="AB16:AB26" si="1">E16</f>
        <v>40575</v>
      </c>
      <c r="AC16" s="991">
        <f>AC15</f>
        <v>1.47E-2</v>
      </c>
    </row>
    <row r="17" spans="2:31"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c r="AB17" s="990">
        <f t="shared" si="1"/>
        <v>40603</v>
      </c>
      <c r="AC17" s="991">
        <f>AC16</f>
        <v>1.47E-2</v>
      </c>
    </row>
    <row r="18" spans="2:31"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c r="AB18" s="990">
        <f t="shared" si="1"/>
        <v>40634</v>
      </c>
      <c r="AC18" s="991">
        <f>$C$16</f>
        <v>1.47E-2</v>
      </c>
    </row>
    <row r="19" spans="2:31"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c r="AB19" s="990">
        <f t="shared" si="1"/>
        <v>40664</v>
      </c>
      <c r="AC19" s="991">
        <f>AC18</f>
        <v>1.47E-2</v>
      </c>
    </row>
    <row r="20" spans="2:31"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c r="AB20" s="990">
        <f t="shared" si="1"/>
        <v>40695</v>
      </c>
      <c r="AC20" s="991">
        <f>AC19</f>
        <v>1.47E-2</v>
      </c>
    </row>
    <row r="21" spans="2:31"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c r="AB21" s="990">
        <f t="shared" si="1"/>
        <v>40725</v>
      </c>
      <c r="AC21" s="991">
        <f>$C$17</f>
        <v>1.47E-2</v>
      </c>
    </row>
    <row r="22" spans="2:31"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c r="AB22" s="990">
        <f t="shared" si="1"/>
        <v>40756</v>
      </c>
      <c r="AC22" s="991">
        <f>AC21</f>
        <v>1.47E-2</v>
      </c>
    </row>
    <row r="23" spans="2:31"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c r="AB23" s="990">
        <f t="shared" si="1"/>
        <v>40787</v>
      </c>
      <c r="AC23" s="991">
        <f>AC22</f>
        <v>1.47E-2</v>
      </c>
    </row>
    <row r="24" spans="2:31"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c r="AB24" s="990">
        <f t="shared" si="1"/>
        <v>40817</v>
      </c>
      <c r="AC24" s="991">
        <f>$C$18</f>
        <v>1.47E-2</v>
      </c>
    </row>
    <row r="25" spans="2:31"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c r="AB25" s="990">
        <f t="shared" si="1"/>
        <v>40848</v>
      </c>
      <c r="AC25" s="991">
        <f>AC24</f>
        <v>1.47E-2</v>
      </c>
    </row>
    <row r="26" spans="2:31"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c r="AB26" s="990">
        <f t="shared" si="1"/>
        <v>40878</v>
      </c>
      <c r="AC26" s="991">
        <f>AC25</f>
        <v>1.47E-2</v>
      </c>
    </row>
    <row r="27" spans="2:31" s="9" customFormat="1" ht="15" thickBot="1">
      <c r="B27" s="228" t="s">
        <v>56</v>
      </c>
      <c r="C27" s="228">
        <v>1.47E-2</v>
      </c>
      <c r="D27" s="221"/>
      <c r="E27" s="231" t="s">
        <v>467</v>
      </c>
      <c r="F27" s="231"/>
      <c r="G27" s="232"/>
      <c r="H27" s="233"/>
      <c r="I27" s="234">
        <f>SUM(I15:I26)</f>
        <v>0</v>
      </c>
      <c r="J27" s="234">
        <f t="shared" ref="J27:O27" si="2">SUM(J15:J26)</f>
        <v>0</v>
      </c>
      <c r="K27" s="234">
        <f t="shared" si="2"/>
        <v>0</v>
      </c>
      <c r="L27" s="234">
        <f t="shared" si="2"/>
        <v>0</v>
      </c>
      <c r="M27" s="234">
        <f t="shared" si="2"/>
        <v>0</v>
      </c>
      <c r="N27" s="234">
        <f t="shared" si="2"/>
        <v>0</v>
      </c>
      <c r="O27" s="234">
        <f t="shared" si="2"/>
        <v>0</v>
      </c>
      <c r="P27" s="234">
        <f t="shared" ref="P27:V27" si="3">SUM(P15:P26)</f>
        <v>0</v>
      </c>
      <c r="Q27" s="234">
        <f t="shared" si="3"/>
        <v>0</v>
      </c>
      <c r="R27" s="234">
        <f t="shared" si="3"/>
        <v>0</v>
      </c>
      <c r="S27" s="234">
        <f t="shared" si="3"/>
        <v>0</v>
      </c>
      <c r="T27" s="234">
        <f t="shared" si="3"/>
        <v>0</v>
      </c>
      <c r="U27" s="234">
        <f t="shared" si="3"/>
        <v>0</v>
      </c>
      <c r="V27" s="234">
        <f t="shared" si="3"/>
        <v>0</v>
      </c>
      <c r="W27" s="234">
        <f>SUM(W15:W26)</f>
        <v>0</v>
      </c>
    </row>
    <row r="28" spans="2:31" s="9" customFormat="1" ht="1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31" s="9" customFormat="1">
      <c r="B29" s="228" t="s">
        <v>58</v>
      </c>
      <c r="C29" s="228">
        <v>1.47E-2</v>
      </c>
      <c r="D29" s="221"/>
      <c r="E29" s="240" t="s">
        <v>430</v>
      </c>
      <c r="F29" s="240"/>
      <c r="G29" s="241"/>
      <c r="H29" s="242"/>
      <c r="I29" s="243">
        <f>I27+I28</f>
        <v>0</v>
      </c>
      <c r="J29" s="243">
        <f t="shared" ref="J29:M29" si="4">J27+J28</f>
        <v>0</v>
      </c>
      <c r="K29" s="243">
        <f t="shared" si="4"/>
        <v>0</v>
      </c>
      <c r="L29" s="243">
        <f t="shared" si="4"/>
        <v>0</v>
      </c>
      <c r="M29" s="243">
        <f t="shared" si="4"/>
        <v>0</v>
      </c>
      <c r="N29" s="243">
        <f>N27+N28</f>
        <v>0</v>
      </c>
      <c r="O29" s="243">
        <f>O27+O28</f>
        <v>0</v>
      </c>
      <c r="P29" s="243">
        <f t="shared" ref="P29:V29" si="5">P27+P28</f>
        <v>0</v>
      </c>
      <c r="Q29" s="243">
        <f t="shared" si="5"/>
        <v>0</v>
      </c>
      <c r="R29" s="243">
        <f t="shared" si="5"/>
        <v>0</v>
      </c>
      <c r="S29" s="243">
        <f t="shared" si="5"/>
        <v>0</v>
      </c>
      <c r="T29" s="243">
        <f t="shared" si="5"/>
        <v>0</v>
      </c>
      <c r="U29" s="243">
        <f t="shared" si="5"/>
        <v>0</v>
      </c>
      <c r="V29" s="243">
        <f t="shared" si="5"/>
        <v>0</v>
      </c>
      <c r="W29" s="243">
        <f>W27+W28</f>
        <v>0</v>
      </c>
    </row>
    <row r="30" spans="2:31"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c r="AB30" s="990">
        <f>E30</f>
        <v>40909</v>
      </c>
      <c r="AC30" s="991">
        <f>$C$19</f>
        <v>1.47E-2</v>
      </c>
      <c r="AD30" s="993">
        <v>31</v>
      </c>
      <c r="AE30" s="994">
        <f t="shared" ref="AE30:AE41" si="6">AC30/366*AD30</f>
        <v>1.2450819672131148E-3</v>
      </c>
    </row>
    <row r="31" spans="2:31"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7">SUM(I31:V31)</f>
        <v>0</v>
      </c>
      <c r="AB31" s="990">
        <f t="shared" ref="AB31:AB41" si="8">E31</f>
        <v>40940</v>
      </c>
      <c r="AC31" s="991">
        <f>AC30</f>
        <v>1.47E-2</v>
      </c>
      <c r="AD31" s="993">
        <v>29</v>
      </c>
      <c r="AE31" s="994">
        <f t="shared" si="6"/>
        <v>1.1647540983606558E-3</v>
      </c>
    </row>
    <row r="32" spans="2:31"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7"/>
        <v>0</v>
      </c>
      <c r="AB32" s="990">
        <f t="shared" si="8"/>
        <v>40969</v>
      </c>
      <c r="AC32" s="991">
        <f>AC31</f>
        <v>1.47E-2</v>
      </c>
      <c r="AD32" s="993">
        <v>31</v>
      </c>
      <c r="AE32" s="994">
        <f t="shared" si="6"/>
        <v>1.2450819672131148E-3</v>
      </c>
    </row>
    <row r="33" spans="2:31"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7"/>
        <v>0</v>
      </c>
      <c r="AB33" s="990">
        <f t="shared" si="8"/>
        <v>41000</v>
      </c>
      <c r="AC33" s="991">
        <f>$C$20</f>
        <v>1.47E-2</v>
      </c>
      <c r="AD33" s="993">
        <v>30</v>
      </c>
      <c r="AE33" s="994">
        <f t="shared" si="6"/>
        <v>1.2049180327868853E-3</v>
      </c>
    </row>
    <row r="34" spans="2:31"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7"/>
        <v>0</v>
      </c>
      <c r="AB34" s="990">
        <f t="shared" si="8"/>
        <v>41030</v>
      </c>
      <c r="AC34" s="991">
        <f>AC33</f>
        <v>1.47E-2</v>
      </c>
      <c r="AD34" s="993">
        <v>31</v>
      </c>
      <c r="AE34" s="994">
        <f t="shared" si="6"/>
        <v>1.2450819672131148E-3</v>
      </c>
    </row>
    <row r="35" spans="2:31"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7"/>
        <v>0</v>
      </c>
      <c r="AB35" s="990">
        <f t="shared" si="8"/>
        <v>41061</v>
      </c>
      <c r="AC35" s="991">
        <f>AC34</f>
        <v>1.47E-2</v>
      </c>
      <c r="AD35" s="993">
        <v>30</v>
      </c>
      <c r="AE35" s="994">
        <f t="shared" si="6"/>
        <v>1.2049180327868853E-3</v>
      </c>
    </row>
    <row r="36" spans="2:31"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7"/>
        <v>0</v>
      </c>
      <c r="AB36" s="990">
        <f t="shared" si="8"/>
        <v>41091</v>
      </c>
      <c r="AC36" s="991">
        <f>$C$21</f>
        <v>1.47E-2</v>
      </c>
      <c r="AD36" s="993">
        <v>31</v>
      </c>
      <c r="AE36" s="994">
        <f t="shared" si="6"/>
        <v>1.2450819672131148E-3</v>
      </c>
    </row>
    <row r="37" spans="2:31"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7"/>
        <v>0</v>
      </c>
      <c r="AB37" s="990">
        <f t="shared" si="8"/>
        <v>41122</v>
      </c>
      <c r="AC37" s="991">
        <f>AC36</f>
        <v>1.47E-2</v>
      </c>
      <c r="AD37" s="993">
        <v>31</v>
      </c>
      <c r="AE37" s="994">
        <f t="shared" si="6"/>
        <v>1.2450819672131148E-3</v>
      </c>
    </row>
    <row r="38" spans="2:31"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7"/>
        <v>0</v>
      </c>
      <c r="AB38" s="990">
        <f t="shared" si="8"/>
        <v>41153</v>
      </c>
      <c r="AC38" s="991">
        <f>AC37</f>
        <v>1.47E-2</v>
      </c>
      <c r="AD38" s="993">
        <v>30</v>
      </c>
      <c r="AE38" s="994">
        <f t="shared" si="6"/>
        <v>1.2049180327868853E-3</v>
      </c>
    </row>
    <row r="39" spans="2:31"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7"/>
        <v>0</v>
      </c>
      <c r="AB39" s="990">
        <f t="shared" si="8"/>
        <v>41183</v>
      </c>
      <c r="AC39" s="991">
        <f>$C$22</f>
        <v>1.47E-2</v>
      </c>
      <c r="AD39" s="993">
        <v>31</v>
      </c>
      <c r="AE39" s="994">
        <f t="shared" si="6"/>
        <v>1.2450819672131148E-3</v>
      </c>
    </row>
    <row r="40" spans="2:31"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7"/>
        <v>0</v>
      </c>
      <c r="AB40" s="990">
        <f t="shared" si="8"/>
        <v>41214</v>
      </c>
      <c r="AC40" s="991">
        <f>AC39</f>
        <v>1.47E-2</v>
      </c>
      <c r="AD40" s="993">
        <v>30</v>
      </c>
      <c r="AE40" s="994">
        <f t="shared" si="6"/>
        <v>1.2049180327868853E-3</v>
      </c>
    </row>
    <row r="41" spans="2:31"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c r="AB41" s="990">
        <f t="shared" si="8"/>
        <v>41244</v>
      </c>
      <c r="AC41" s="991">
        <f>AC40</f>
        <v>1.47E-2</v>
      </c>
      <c r="AD41" s="993">
        <v>31</v>
      </c>
      <c r="AE41" s="994">
        <f t="shared" si="6"/>
        <v>1.2450819672131148E-3</v>
      </c>
    </row>
    <row r="42" spans="2:31" s="9" customFormat="1" ht="15" thickBot="1">
      <c r="B42" s="228" t="s">
        <v>80</v>
      </c>
      <c r="C42" s="248">
        <v>1.4999999999999999E-2</v>
      </c>
      <c r="D42" s="221"/>
      <c r="E42" s="231" t="s">
        <v>468</v>
      </c>
      <c r="F42" s="231"/>
      <c r="G42" s="232"/>
      <c r="H42" s="249"/>
      <c r="I42" s="234">
        <f>SUM(I29:I41)</f>
        <v>0</v>
      </c>
      <c r="J42" s="234">
        <f t="shared" ref="J42:O42" si="9">SUM(J29:J41)</f>
        <v>0</v>
      </c>
      <c r="K42" s="234">
        <f t="shared" si="9"/>
        <v>0</v>
      </c>
      <c r="L42" s="234">
        <f t="shared" si="9"/>
        <v>0</v>
      </c>
      <c r="M42" s="234">
        <f t="shared" si="9"/>
        <v>0</v>
      </c>
      <c r="N42" s="234">
        <f t="shared" si="9"/>
        <v>0</v>
      </c>
      <c r="O42" s="234">
        <f t="shared" si="9"/>
        <v>0</v>
      </c>
      <c r="P42" s="234">
        <f t="shared" ref="P42:V42" si="10">SUM(P29:P41)</f>
        <v>0</v>
      </c>
      <c r="Q42" s="234">
        <f t="shared" si="10"/>
        <v>0</v>
      </c>
      <c r="R42" s="234">
        <f t="shared" si="10"/>
        <v>0</v>
      </c>
      <c r="S42" s="234">
        <f t="shared" si="10"/>
        <v>0</v>
      </c>
      <c r="T42" s="234">
        <f t="shared" si="10"/>
        <v>0</v>
      </c>
      <c r="U42" s="234">
        <f t="shared" si="10"/>
        <v>0</v>
      </c>
      <c r="V42" s="234">
        <f t="shared" si="10"/>
        <v>0</v>
      </c>
      <c r="W42" s="234">
        <f>SUM(W29:W41)</f>
        <v>0</v>
      </c>
    </row>
    <row r="43" spans="2:31" s="9" customFormat="1" ht="15" thickTop="1">
      <c r="B43" s="228" t="s">
        <v>81</v>
      </c>
      <c r="C43" s="24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31" s="9" customFormat="1">
      <c r="B44" s="228" t="s">
        <v>82</v>
      </c>
      <c r="C44" s="248">
        <v>1.89E-2</v>
      </c>
      <c r="D44" s="221"/>
      <c r="E44" s="240" t="s">
        <v>431</v>
      </c>
      <c r="F44" s="240"/>
      <c r="G44" s="241"/>
      <c r="H44" s="242"/>
      <c r="I44" s="243">
        <f t="shared" ref="I44:O44" si="11">I42+I43</f>
        <v>0</v>
      </c>
      <c r="J44" s="243">
        <f t="shared" si="11"/>
        <v>0</v>
      </c>
      <c r="K44" s="243">
        <f t="shared" si="11"/>
        <v>0</v>
      </c>
      <c r="L44" s="243">
        <f t="shared" si="11"/>
        <v>0</v>
      </c>
      <c r="M44" s="243">
        <f t="shared" si="11"/>
        <v>0</v>
      </c>
      <c r="N44" s="243">
        <f t="shared" si="11"/>
        <v>0</v>
      </c>
      <c r="O44" s="243">
        <f t="shared" si="11"/>
        <v>0</v>
      </c>
      <c r="P44" s="243">
        <f t="shared" ref="P44:V44" si="12">P42+P43</f>
        <v>0</v>
      </c>
      <c r="Q44" s="243">
        <f t="shared" si="12"/>
        <v>0</v>
      </c>
      <c r="R44" s="243">
        <f t="shared" si="12"/>
        <v>0</v>
      </c>
      <c r="S44" s="243">
        <f t="shared" si="12"/>
        <v>0</v>
      </c>
      <c r="T44" s="243">
        <f t="shared" si="12"/>
        <v>0</v>
      </c>
      <c r="U44" s="243">
        <f t="shared" si="12"/>
        <v>0</v>
      </c>
      <c r="V44" s="243">
        <f t="shared" si="12"/>
        <v>0</v>
      </c>
      <c r="W44" s="243">
        <f>W42+W43</f>
        <v>0</v>
      </c>
    </row>
    <row r="45" spans="2:31" s="9" customFormat="1">
      <c r="B45" s="228" t="s">
        <v>83</v>
      </c>
      <c r="C45" s="248">
        <v>1.89E-2</v>
      </c>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c r="AB45" s="990">
        <f>E45</f>
        <v>41275</v>
      </c>
      <c r="AC45" s="991">
        <f>$C$23</f>
        <v>1.47E-2</v>
      </c>
      <c r="AD45" s="993">
        <v>31</v>
      </c>
      <c r="AE45" s="994">
        <f>AC45/365*AD45</f>
        <v>1.2484931506849316E-3</v>
      </c>
    </row>
    <row r="46" spans="2:31" s="9" customFormat="1">
      <c r="B46" s="228" t="s">
        <v>84</v>
      </c>
      <c r="C46" s="248">
        <v>1.89E-2</v>
      </c>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3">SUM(I46:V46)</f>
        <v>0</v>
      </c>
      <c r="AB46" s="990">
        <f t="shared" ref="AB46:AB56" si="14">E46</f>
        <v>41306</v>
      </c>
      <c r="AC46" s="991">
        <f>AC45</f>
        <v>1.47E-2</v>
      </c>
      <c r="AD46" s="993">
        <v>28</v>
      </c>
      <c r="AE46" s="994">
        <f t="shared" ref="AE46:AE56" si="15">AC46/365*AD46</f>
        <v>1.1276712328767123E-3</v>
      </c>
    </row>
    <row r="47" spans="2:31"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3"/>
        <v>0</v>
      </c>
      <c r="AB47" s="990">
        <f t="shared" si="14"/>
        <v>41334</v>
      </c>
      <c r="AC47" s="991">
        <f>AC46</f>
        <v>1.47E-2</v>
      </c>
      <c r="AD47" s="993">
        <v>31</v>
      </c>
      <c r="AE47" s="994">
        <f t="shared" si="15"/>
        <v>1.2484931506849316E-3</v>
      </c>
    </row>
    <row r="48" spans="2:31"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3"/>
        <v>0</v>
      </c>
      <c r="AB48" s="990">
        <f t="shared" si="14"/>
        <v>41365</v>
      </c>
      <c r="AC48" s="991">
        <f>$C$24</f>
        <v>1.47E-2</v>
      </c>
      <c r="AD48" s="993">
        <v>30</v>
      </c>
      <c r="AE48" s="994">
        <f t="shared" si="15"/>
        <v>1.2082191780821917E-3</v>
      </c>
    </row>
    <row r="49" spans="1:39"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3"/>
        <v>0</v>
      </c>
      <c r="AB49" s="990">
        <f t="shared" si="14"/>
        <v>41395</v>
      </c>
      <c r="AC49" s="991">
        <f>AC48</f>
        <v>1.47E-2</v>
      </c>
      <c r="AD49" s="993">
        <v>31</v>
      </c>
      <c r="AE49" s="994">
        <f t="shared" si="15"/>
        <v>1.2484931506849316E-3</v>
      </c>
    </row>
    <row r="50" spans="1:39"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3"/>
        <v>0</v>
      </c>
      <c r="AB50" s="990">
        <f t="shared" si="14"/>
        <v>41426</v>
      </c>
      <c r="AC50" s="991">
        <f>AC49</f>
        <v>1.47E-2</v>
      </c>
      <c r="AD50" s="993">
        <v>30</v>
      </c>
      <c r="AE50" s="994">
        <f t="shared" si="15"/>
        <v>1.2082191780821917E-3</v>
      </c>
    </row>
    <row r="51" spans="1:39"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3"/>
        <v>0</v>
      </c>
      <c r="AB51" s="990">
        <f t="shared" si="14"/>
        <v>41456</v>
      </c>
      <c r="AC51" s="991">
        <f>$C$25</f>
        <v>1.47E-2</v>
      </c>
      <c r="AD51" s="993">
        <v>31</v>
      </c>
      <c r="AE51" s="994">
        <f t="shared" si="15"/>
        <v>1.2484931506849316E-3</v>
      </c>
    </row>
    <row r="52" spans="1:39"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3"/>
        <v>0</v>
      </c>
      <c r="AB52" s="990">
        <f t="shared" si="14"/>
        <v>41487</v>
      </c>
      <c r="AC52" s="991">
        <f>AC51</f>
        <v>1.47E-2</v>
      </c>
      <c r="AD52" s="993">
        <v>31</v>
      </c>
      <c r="AE52" s="994">
        <f t="shared" si="15"/>
        <v>1.2484931506849316E-3</v>
      </c>
    </row>
    <row r="53" spans="1:39"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3"/>
        <v>0</v>
      </c>
      <c r="AB53" s="990">
        <f t="shared" si="14"/>
        <v>41518</v>
      </c>
      <c r="AC53" s="991">
        <f>AC52</f>
        <v>1.47E-2</v>
      </c>
      <c r="AD53" s="993">
        <v>30</v>
      </c>
      <c r="AE53" s="994">
        <f t="shared" si="15"/>
        <v>1.2082191780821917E-3</v>
      </c>
    </row>
    <row r="54" spans="1:39"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3"/>
        <v>0</v>
      </c>
      <c r="AB54" s="990">
        <f t="shared" si="14"/>
        <v>41548</v>
      </c>
      <c r="AC54" s="991">
        <f>$C$26</f>
        <v>1.47E-2</v>
      </c>
      <c r="AD54" s="993">
        <v>31</v>
      </c>
      <c r="AE54" s="994">
        <f t="shared" si="15"/>
        <v>1.2484931506849316E-3</v>
      </c>
    </row>
    <row r="55" spans="1:39"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3"/>
        <v>0</v>
      </c>
      <c r="AB55" s="990">
        <f t="shared" si="14"/>
        <v>41579</v>
      </c>
      <c r="AC55" s="991">
        <f>AC54</f>
        <v>1.47E-2</v>
      </c>
      <c r="AD55" s="993">
        <v>30</v>
      </c>
      <c r="AE55" s="994">
        <f t="shared" si="15"/>
        <v>1.2082191780821917E-3</v>
      </c>
    </row>
    <row r="56" spans="1:39"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3"/>
        <v>0</v>
      </c>
      <c r="AB56" s="990">
        <f t="shared" si="14"/>
        <v>41609</v>
      </c>
      <c r="AC56" s="991">
        <f>AC55</f>
        <v>1.47E-2</v>
      </c>
      <c r="AD56" s="993">
        <v>31</v>
      </c>
      <c r="AE56" s="994">
        <f t="shared" si="15"/>
        <v>1.2484931506849316E-3</v>
      </c>
    </row>
    <row r="57" spans="1:39" s="9" customFormat="1" ht="15" thickBot="1">
      <c r="B57" s="27"/>
      <c r="C57" s="27"/>
      <c r="D57" s="221"/>
      <c r="E57" s="231" t="s">
        <v>469</v>
      </c>
      <c r="F57" s="231"/>
      <c r="G57" s="232"/>
      <c r="H57" s="233"/>
      <c r="I57" s="234">
        <f>SUM(I44:I56)</f>
        <v>0</v>
      </c>
      <c r="J57" s="234">
        <f t="shared" ref="J57:O57" si="16">SUM(J44:J56)</f>
        <v>0</v>
      </c>
      <c r="K57" s="234">
        <f t="shared" si="16"/>
        <v>0</v>
      </c>
      <c r="L57" s="234">
        <f t="shared" si="16"/>
        <v>0</v>
      </c>
      <c r="M57" s="234">
        <f t="shared" si="16"/>
        <v>0</v>
      </c>
      <c r="N57" s="234">
        <f t="shared" si="16"/>
        <v>0</v>
      </c>
      <c r="O57" s="234">
        <f t="shared" si="16"/>
        <v>0</v>
      </c>
      <c r="P57" s="234">
        <f t="shared" ref="P57:V57" si="17">SUM(P44:P56)</f>
        <v>0</v>
      </c>
      <c r="Q57" s="234">
        <f t="shared" si="17"/>
        <v>0</v>
      </c>
      <c r="R57" s="234">
        <f t="shared" si="17"/>
        <v>0</v>
      </c>
      <c r="S57" s="234">
        <f t="shared" si="17"/>
        <v>0</v>
      </c>
      <c r="T57" s="234">
        <f t="shared" si="17"/>
        <v>0</v>
      </c>
      <c r="U57" s="234">
        <f t="shared" si="17"/>
        <v>0</v>
      </c>
      <c r="V57" s="234">
        <f t="shared" si="17"/>
        <v>0</v>
      </c>
      <c r="W57" s="234">
        <f>SUM(W44:W56)</f>
        <v>0</v>
      </c>
    </row>
    <row r="58" spans="1:39"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39" s="9" customFormat="1">
      <c r="D59" s="221"/>
      <c r="E59" s="240" t="s">
        <v>432</v>
      </c>
      <c r="F59" s="240"/>
      <c r="G59" s="241"/>
      <c r="H59" s="242"/>
      <c r="I59" s="243">
        <f t="shared" ref="I59:W59" si="18">I57+I58</f>
        <v>0</v>
      </c>
      <c r="J59" s="243">
        <f t="shared" si="18"/>
        <v>0</v>
      </c>
      <c r="K59" s="243">
        <f t="shared" si="18"/>
        <v>0</v>
      </c>
      <c r="L59" s="243">
        <f t="shared" si="18"/>
        <v>0</v>
      </c>
      <c r="M59" s="243">
        <f t="shared" si="18"/>
        <v>0</v>
      </c>
      <c r="N59" s="243">
        <f t="shared" si="18"/>
        <v>0</v>
      </c>
      <c r="O59" s="243">
        <f t="shared" si="18"/>
        <v>0</v>
      </c>
      <c r="P59" s="243">
        <f t="shared" ref="P59:V59" si="19">P57+P58</f>
        <v>0</v>
      </c>
      <c r="Q59" s="243">
        <f t="shared" si="19"/>
        <v>0</v>
      </c>
      <c r="R59" s="243">
        <f t="shared" si="19"/>
        <v>0</v>
      </c>
      <c r="S59" s="243">
        <f t="shared" si="19"/>
        <v>0</v>
      </c>
      <c r="T59" s="243">
        <f t="shared" si="19"/>
        <v>0</v>
      </c>
      <c r="U59" s="243">
        <f t="shared" si="19"/>
        <v>0</v>
      </c>
      <c r="V59" s="243">
        <f t="shared" si="19"/>
        <v>0</v>
      </c>
      <c r="W59" s="243">
        <f t="shared" si="18"/>
        <v>0</v>
      </c>
      <c r="Z59" s="9">
        <v>0</v>
      </c>
    </row>
    <row r="60" spans="1:39"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 t="array" ref="O60:O71">TRANSPOSE('8. SL Adjustment'!B35:M35)</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c r="Z60" s="9">
        <v>0</v>
      </c>
      <c r="AB60" s="990">
        <f>E60</f>
        <v>41640</v>
      </c>
      <c r="AC60" s="991">
        <f>$C$27</f>
        <v>1.47E-2</v>
      </c>
      <c r="AD60" s="993">
        <v>31</v>
      </c>
      <c r="AE60" s="994">
        <f t="shared" ref="AE60:AE71" si="20">AC60/365*AD60</f>
        <v>1.2484931506849316E-3</v>
      </c>
      <c r="AF60" s="245">
        <f>+(SUM('1.  LRAMVA Summary'!$D$62:$I$63)*(MONTH($E60)-1)/12)*$H60+O60</f>
        <v>0</v>
      </c>
      <c r="AG60" s="245"/>
      <c r="AH60" s="245"/>
      <c r="AI60" s="245"/>
      <c r="AJ60" s="245"/>
      <c r="AK60" s="245"/>
      <c r="AL60" s="245"/>
      <c r="AM60" s="245">
        <f>SUM(AF60:AL60)</f>
        <v>0</v>
      </c>
    </row>
    <row r="61" spans="1:39"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21">SUM(I61:V61)</f>
        <v>0</v>
      </c>
      <c r="Z61" s="9">
        <v>1.6293938973527438</v>
      </c>
      <c r="AB61" s="990">
        <f t="shared" ref="AB61:AB71" si="22">E61</f>
        <v>41671</v>
      </c>
      <c r="AC61" s="991">
        <f>AC60</f>
        <v>1.47E-2</v>
      </c>
      <c r="AD61" s="993">
        <v>28</v>
      </c>
      <c r="AE61" s="994">
        <f t="shared" si="20"/>
        <v>1.1276712328767123E-3</v>
      </c>
      <c r="AF61" s="245">
        <f>+(SUM('1.  LRAMVA Summary'!$D$62:$I$63)*(MONTH($E61)-1)/12)*$H61+O61</f>
        <v>0</v>
      </c>
      <c r="AG61" s="245"/>
      <c r="AH61" s="245"/>
      <c r="AI61" s="245"/>
      <c r="AJ61" s="245"/>
      <c r="AK61" s="245"/>
      <c r="AL61" s="245"/>
      <c r="AM61" s="245">
        <f t="shared" ref="AM61:AM71" si="23">SUM(AF61:AL61)</f>
        <v>0</v>
      </c>
    </row>
    <row r="62" spans="1:39"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21"/>
        <v>0</v>
      </c>
      <c r="Z62" s="9">
        <v>3.2587877947054875</v>
      </c>
      <c r="AB62" s="990">
        <f t="shared" si="22"/>
        <v>41699</v>
      </c>
      <c r="AC62" s="991">
        <f>AC61</f>
        <v>1.47E-2</v>
      </c>
      <c r="AD62" s="993">
        <v>31</v>
      </c>
      <c r="AE62" s="994">
        <f t="shared" si="20"/>
        <v>1.2484931506849316E-3</v>
      </c>
      <c r="AF62" s="245">
        <f>+(SUM('1.  LRAMVA Summary'!$D$62:$I$63)*(MONTH($E62)-1)/12)*$H62+O62</f>
        <v>0</v>
      </c>
      <c r="AG62" s="245"/>
      <c r="AH62" s="245"/>
      <c r="AI62" s="245"/>
      <c r="AJ62" s="245"/>
      <c r="AK62" s="245"/>
      <c r="AL62" s="245"/>
      <c r="AM62" s="245">
        <f t="shared" si="23"/>
        <v>0</v>
      </c>
    </row>
    <row r="63" spans="1:39"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v>2.5896188533099465</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21"/>
        <v>2.5896188533099465</v>
      </c>
      <c r="Z63" s="9">
        <v>4.8881816920582297</v>
      </c>
      <c r="AB63" s="990">
        <f t="shared" si="22"/>
        <v>41730</v>
      </c>
      <c r="AC63" s="991">
        <f>$C$28</f>
        <v>1.47E-2</v>
      </c>
      <c r="AD63" s="993">
        <v>30</v>
      </c>
      <c r="AE63" s="994">
        <f t="shared" si="20"/>
        <v>1.2082191780821917E-3</v>
      </c>
      <c r="AF63" s="245">
        <f>+(SUM('1.  LRAMVA Summary'!$D$62:$I$63)*(MONTH($E63)-1)/12)*$H63+O63</f>
        <v>2.5896188533099465</v>
      </c>
      <c r="AG63" s="245"/>
      <c r="AH63" s="245"/>
      <c r="AI63" s="245"/>
      <c r="AJ63" s="245"/>
      <c r="AK63" s="245"/>
      <c r="AL63" s="245"/>
      <c r="AM63" s="245">
        <f t="shared" si="23"/>
        <v>2.5896188533099465</v>
      </c>
    </row>
    <row r="64" spans="1:39"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v>5.3518789635072226</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21"/>
        <v>5.3518789635072226</v>
      </c>
      <c r="Z64" s="9">
        <v>6.517575589410975</v>
      </c>
      <c r="AB64" s="990">
        <f t="shared" si="22"/>
        <v>41760</v>
      </c>
      <c r="AC64" s="991">
        <f>AC63</f>
        <v>1.47E-2</v>
      </c>
      <c r="AD64" s="993">
        <v>31</v>
      </c>
      <c r="AE64" s="994">
        <f t="shared" si="20"/>
        <v>1.2484931506849316E-3</v>
      </c>
      <c r="AF64" s="245">
        <f>+(SUM('1.  LRAMVA Summary'!$D$62:$I$63)*(MONTH($E64)-1)/12)*$H64+O64</f>
        <v>5.3518789635072226</v>
      </c>
      <c r="AG64" s="245"/>
      <c r="AH64" s="245"/>
      <c r="AI64" s="245"/>
      <c r="AJ64" s="245"/>
      <c r="AK64" s="245"/>
      <c r="AL64" s="245"/>
      <c r="AM64" s="245">
        <f t="shared" si="23"/>
        <v>5.3518789635072226</v>
      </c>
    </row>
    <row r="65" spans="2:39"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v>7.768856559929838</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21"/>
        <v>7.768856559929838</v>
      </c>
      <c r="Z65" s="9">
        <v>8.1469694867637177</v>
      </c>
      <c r="AB65" s="990">
        <f t="shared" si="22"/>
        <v>41791</v>
      </c>
      <c r="AC65" s="991">
        <f>AC64</f>
        <v>1.47E-2</v>
      </c>
      <c r="AD65" s="993">
        <v>30</v>
      </c>
      <c r="AE65" s="994">
        <f t="shared" si="20"/>
        <v>1.2082191780821917E-3</v>
      </c>
      <c r="AF65" s="245">
        <f>+(SUM('1.  LRAMVA Summary'!$D$62:$I$63)*(MONTH($E65)-1)/12)*$H65+O65</f>
        <v>7.768856559929838</v>
      </c>
      <c r="AG65" s="245"/>
      <c r="AH65" s="245"/>
      <c r="AI65" s="245"/>
      <c r="AJ65" s="245"/>
      <c r="AK65" s="245"/>
      <c r="AL65" s="245"/>
      <c r="AM65" s="245">
        <f t="shared" si="23"/>
        <v>7.768856559929838</v>
      </c>
    </row>
    <row r="66" spans="2:39"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v>11.608415033282524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21"/>
        <v>11.608415033282524</v>
      </c>
      <c r="Z66" s="9">
        <v>9.7763633841164594</v>
      </c>
      <c r="AB66" s="990">
        <f t="shared" si="22"/>
        <v>41821</v>
      </c>
      <c r="AC66" s="991">
        <f>$C$29</f>
        <v>1.47E-2</v>
      </c>
      <c r="AD66" s="993">
        <v>31</v>
      </c>
      <c r="AE66" s="994">
        <f t="shared" si="20"/>
        <v>1.2484931506849316E-3</v>
      </c>
      <c r="AF66" s="245">
        <f>+(SUM('1.  LRAMVA Summary'!$D$62:$I$63)*(MONTH($E66)-1)/12)*$H66+O66</f>
        <v>11.608415033282524</v>
      </c>
      <c r="AG66" s="245"/>
      <c r="AH66" s="245"/>
      <c r="AI66" s="245"/>
      <c r="AJ66" s="245"/>
      <c r="AK66" s="245"/>
      <c r="AL66" s="245"/>
      <c r="AM66" s="245">
        <f t="shared" si="23"/>
        <v>11.608415033282524</v>
      </c>
    </row>
    <row r="67" spans="2:39"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v>16.16619571479654</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21"/>
        <v>16.16619571479654</v>
      </c>
      <c r="Z67" s="9">
        <v>11.405757281469205</v>
      </c>
      <c r="AB67" s="990">
        <f t="shared" si="22"/>
        <v>41852</v>
      </c>
      <c r="AC67" s="991">
        <f>AC66</f>
        <v>1.47E-2</v>
      </c>
      <c r="AD67" s="993">
        <v>31</v>
      </c>
      <c r="AE67" s="994">
        <f t="shared" si="20"/>
        <v>1.2484931506849316E-3</v>
      </c>
      <c r="AF67" s="245">
        <f>+(SUM('1.  LRAMVA Summary'!$D$62:$I$63)*(MONTH($E67)-1)/12)*$H67+O67</f>
        <v>16.16619571479654</v>
      </c>
      <c r="AG67" s="245"/>
      <c r="AH67" s="245"/>
      <c r="AI67" s="245"/>
      <c r="AJ67" s="245"/>
      <c r="AK67" s="245"/>
      <c r="AL67" s="245"/>
      <c r="AM67" s="245">
        <f t="shared" si="23"/>
        <v>16.16619571479654</v>
      </c>
    </row>
    <row r="68" spans="2:39"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v>20.914636116757773</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21"/>
        <v>20.914636116757773</v>
      </c>
      <c r="Z68" s="9">
        <v>13.03515117882195</v>
      </c>
      <c r="AB68" s="990">
        <f t="shared" si="22"/>
        <v>41883</v>
      </c>
      <c r="AC68" s="991">
        <f>AC67</f>
        <v>1.47E-2</v>
      </c>
      <c r="AD68" s="993">
        <v>30</v>
      </c>
      <c r="AE68" s="994">
        <f t="shared" si="20"/>
        <v>1.2082191780821917E-3</v>
      </c>
      <c r="AF68" s="245">
        <f>+(SUM('1.  LRAMVA Summary'!$D$62:$I$63)*(MONTH($E68)-1)/12)*$H68+O68</f>
        <v>20.914636116757773</v>
      </c>
      <c r="AG68" s="245"/>
      <c r="AH68" s="245"/>
      <c r="AI68" s="245"/>
      <c r="AJ68" s="245"/>
      <c r="AK68" s="245"/>
      <c r="AL68" s="245"/>
      <c r="AM68" s="245">
        <f t="shared" si="23"/>
        <v>20.914636116757773</v>
      </c>
    </row>
    <row r="69" spans="2:39"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v>27.057385593169528</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21"/>
        <v>27.057385593169528</v>
      </c>
      <c r="Z69" s="9">
        <v>14.664545076174694</v>
      </c>
      <c r="AB69" s="990">
        <f t="shared" si="22"/>
        <v>41913</v>
      </c>
      <c r="AC69" s="991">
        <f>$C$30</f>
        <v>1.47E-2</v>
      </c>
      <c r="AD69" s="993">
        <v>31</v>
      </c>
      <c r="AE69" s="994">
        <f t="shared" si="20"/>
        <v>1.2484931506849316E-3</v>
      </c>
      <c r="AF69" s="245">
        <f>+(SUM('1.  LRAMVA Summary'!$D$62:$I$63)*(MONTH($E69)-1)/12)*$H69+O69</f>
        <v>27.057385593169528</v>
      </c>
      <c r="AG69" s="245"/>
      <c r="AH69" s="245"/>
      <c r="AI69" s="245"/>
      <c r="AJ69" s="245"/>
      <c r="AK69" s="245"/>
      <c r="AL69" s="245"/>
      <c r="AM69" s="245">
        <f t="shared" si="23"/>
        <v>27.057385593169528</v>
      </c>
    </row>
    <row r="70" spans="2:39"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v>31.454497289376789</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21"/>
        <v>31.454497289376789</v>
      </c>
      <c r="Z70" s="9">
        <v>16.293938973527435</v>
      </c>
      <c r="AB70" s="990">
        <f t="shared" si="22"/>
        <v>41944</v>
      </c>
      <c r="AC70" s="991">
        <f>AC69</f>
        <v>1.47E-2</v>
      </c>
      <c r="AD70" s="993">
        <v>30</v>
      </c>
      <c r="AE70" s="994">
        <f t="shared" si="20"/>
        <v>1.2082191780821917E-3</v>
      </c>
      <c r="AF70" s="245">
        <f>+(SUM('1.  LRAMVA Summary'!$D$62:$I$63)*(MONTH($E70)-1)/12)*$H70+O70</f>
        <v>31.454497289376789</v>
      </c>
      <c r="AG70" s="245"/>
      <c r="AH70" s="245"/>
      <c r="AI70" s="245"/>
      <c r="AJ70" s="245"/>
      <c r="AK70" s="245"/>
      <c r="AL70" s="245"/>
      <c r="AM70" s="245">
        <f t="shared" si="23"/>
        <v>31.454497289376789</v>
      </c>
    </row>
    <row r="71" spans="2:39"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v>37.948575471542505</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21"/>
        <v>37.948575471542505</v>
      </c>
      <c r="Z71" s="9">
        <v>17.923332870880181</v>
      </c>
      <c r="AB71" s="990">
        <f t="shared" si="22"/>
        <v>41974</v>
      </c>
      <c r="AC71" s="991">
        <f>AC70</f>
        <v>1.47E-2</v>
      </c>
      <c r="AD71" s="993">
        <v>31</v>
      </c>
      <c r="AE71" s="994">
        <f t="shared" si="20"/>
        <v>1.2484931506849316E-3</v>
      </c>
      <c r="AF71" s="245">
        <f>+(SUM('1.  LRAMVA Summary'!$D$62:$I$63)*(MONTH($E71)-1)/12)*$H71+O71</f>
        <v>37.948575471542505</v>
      </c>
      <c r="AG71" s="245"/>
      <c r="AH71" s="245"/>
      <c r="AI71" s="245"/>
      <c r="AJ71" s="245"/>
      <c r="AK71" s="245"/>
      <c r="AL71" s="245"/>
      <c r="AM71" s="245">
        <f t="shared" si="23"/>
        <v>37.948575471542505</v>
      </c>
    </row>
    <row r="72" spans="2:39" s="9" customFormat="1" ht="15" thickBot="1">
      <c r="B72" s="68"/>
      <c r="E72" s="231" t="s">
        <v>470</v>
      </c>
      <c r="F72" s="231"/>
      <c r="G72" s="232"/>
      <c r="H72" s="233"/>
      <c r="I72" s="234">
        <f>SUM(I59:I71)</f>
        <v>0</v>
      </c>
      <c r="J72" s="234">
        <f t="shared" ref="J72:V72" si="24">SUM(J59:J71)</f>
        <v>0</v>
      </c>
      <c r="K72" s="234">
        <f t="shared" si="24"/>
        <v>0</v>
      </c>
      <c r="L72" s="234">
        <f t="shared" si="24"/>
        <v>0</v>
      </c>
      <c r="M72" s="234">
        <f t="shared" si="24"/>
        <v>0</v>
      </c>
      <c r="N72" s="234">
        <f t="shared" si="24"/>
        <v>0</v>
      </c>
      <c r="O72" s="234">
        <f t="shared" si="24"/>
        <v>160.86005959567268</v>
      </c>
      <c r="P72" s="234">
        <f t="shared" si="24"/>
        <v>0</v>
      </c>
      <c r="Q72" s="234">
        <f t="shared" si="24"/>
        <v>0</v>
      </c>
      <c r="R72" s="234">
        <f t="shared" si="24"/>
        <v>0</v>
      </c>
      <c r="S72" s="234">
        <f t="shared" si="24"/>
        <v>0</v>
      </c>
      <c r="T72" s="234">
        <f t="shared" si="24"/>
        <v>0</v>
      </c>
      <c r="U72" s="234">
        <f t="shared" si="24"/>
        <v>0</v>
      </c>
      <c r="V72" s="234">
        <f t="shared" si="24"/>
        <v>0</v>
      </c>
      <c r="W72" s="234">
        <f>SUM(W59:W71)</f>
        <v>160.86005959567268</v>
      </c>
      <c r="Z72" s="9">
        <v>107.53999722528107</v>
      </c>
      <c r="AB72" s="9" t="s">
        <v>470</v>
      </c>
      <c r="AF72" s="995">
        <f>SUM(AF60:AF71)</f>
        <v>160.86005959567268</v>
      </c>
      <c r="AG72" s="995"/>
      <c r="AH72" s="995"/>
      <c r="AI72" s="995"/>
      <c r="AJ72" s="995"/>
      <c r="AK72" s="995"/>
      <c r="AL72" s="995"/>
      <c r="AM72" s="995">
        <f>SUM(AM60:AM71)</f>
        <v>160.86005959567268</v>
      </c>
    </row>
    <row r="73" spans="2:39"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39" s="9" customFormat="1">
      <c r="B74" s="68"/>
      <c r="E74" s="240" t="s">
        <v>433</v>
      </c>
      <c r="F74" s="240"/>
      <c r="G74" s="241"/>
      <c r="H74" s="242"/>
      <c r="I74" s="243">
        <f t="shared" ref="I74:O74" si="25">I72+I73</f>
        <v>0</v>
      </c>
      <c r="J74" s="243">
        <f t="shared" si="25"/>
        <v>0</v>
      </c>
      <c r="K74" s="243">
        <f t="shared" si="25"/>
        <v>0</v>
      </c>
      <c r="L74" s="243">
        <f t="shared" si="25"/>
        <v>0</v>
      </c>
      <c r="M74" s="243">
        <f t="shared" si="25"/>
        <v>0</v>
      </c>
      <c r="N74" s="243">
        <f t="shared" si="25"/>
        <v>0</v>
      </c>
      <c r="O74" s="243">
        <f t="shared" si="25"/>
        <v>160.86005959567268</v>
      </c>
      <c r="P74" s="243">
        <f t="shared" ref="P74:V74" si="26">P72+P73</f>
        <v>0</v>
      </c>
      <c r="Q74" s="243">
        <f t="shared" si="26"/>
        <v>0</v>
      </c>
      <c r="R74" s="243">
        <f t="shared" si="26"/>
        <v>0</v>
      </c>
      <c r="S74" s="243">
        <f t="shared" si="26"/>
        <v>0</v>
      </c>
      <c r="T74" s="243">
        <f t="shared" si="26"/>
        <v>0</v>
      </c>
      <c r="U74" s="243">
        <f t="shared" si="26"/>
        <v>0</v>
      </c>
      <c r="V74" s="243">
        <f t="shared" si="26"/>
        <v>0</v>
      </c>
      <c r="W74" s="243">
        <f>W72+W73</f>
        <v>160.86005959567268</v>
      </c>
      <c r="Z74" s="9">
        <v>107.53999722528107</v>
      </c>
      <c r="AF74" s="995">
        <f>AF72+AF73</f>
        <v>160.86005959567268</v>
      </c>
      <c r="AG74" s="995">
        <f>AG72+AG73</f>
        <v>0</v>
      </c>
      <c r="AH74" s="995"/>
      <c r="AI74" s="995"/>
      <c r="AJ74" s="995"/>
      <c r="AK74" s="995"/>
      <c r="AL74" s="995"/>
      <c r="AM74" s="995">
        <f>AM72+AM73</f>
        <v>160.86005959567268</v>
      </c>
    </row>
    <row r="75" spans="2:39"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 t="array" ref="O75:O86">TRANSPOSE('8. SL Adjustment'!B55:M55)</f>
        <v>43.394170410728997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43.394170410728997</v>
      </c>
      <c r="Z75" s="9">
        <v>19.552726768232922</v>
      </c>
      <c r="AB75" s="990">
        <f>E75</f>
        <v>42005</v>
      </c>
      <c r="AC75" s="991">
        <f>$C$31</f>
        <v>1.47E-2</v>
      </c>
      <c r="AD75" s="993">
        <v>31</v>
      </c>
      <c r="AE75" s="994">
        <f t="shared" ref="AE75:AE86" si="27">AC75/365*AD75</f>
        <v>1.2484931506849316E-3</v>
      </c>
      <c r="AF75" s="245">
        <f>(SUM('1.  LRAMVA Summary'!$D$62:$I$63))*$H75+'8. SL Adjustment'!$B$58</f>
        <v>43.394170410728997</v>
      </c>
      <c r="AG75" s="245">
        <f>(+SUM('1.  LRAMVA Summary'!$D$65:$I$66)*(MONTH($E75)-1)/12)*$H75+'8. SL Adjustment'!$B$59</f>
        <v>0</v>
      </c>
      <c r="AH75" s="245"/>
      <c r="AI75" s="245"/>
      <c r="AJ75" s="245"/>
      <c r="AK75" s="245"/>
      <c r="AL75" s="245"/>
      <c r="AM75" s="245">
        <f>SUM(AF75:AL75)</f>
        <v>43.394170410728997</v>
      </c>
    </row>
    <row r="76" spans="2:39" s="253" customFormat="1">
      <c r="B76" s="252"/>
      <c r="E76" s="229">
        <v>42036</v>
      </c>
      <c r="F76" s="229" t="s">
        <v>182</v>
      </c>
      <c r="G76" s="230" t="s">
        <v>65</v>
      </c>
      <c r="H76" s="244">
        <f t="shared" ref="H76:H77" si="28">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v>44.17727856902691</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44.17727856902691</v>
      </c>
      <c r="Z76" s="253">
        <v>26.448070374667264</v>
      </c>
      <c r="AB76" s="990">
        <f t="shared" ref="AB76:AB86" si="29">E76</f>
        <v>42036</v>
      </c>
      <c r="AC76" s="991">
        <f>AC75</f>
        <v>1.47E-2</v>
      </c>
      <c r="AD76" s="993">
        <v>28</v>
      </c>
      <c r="AE76" s="994">
        <f t="shared" si="27"/>
        <v>1.1276712328767123E-3</v>
      </c>
      <c r="AF76" s="245">
        <f>(SUM('1.  LRAMVA Summary'!$D$62:$I$63))*$H76+'8. SL Adjustment'!$C$58</f>
        <v>39.194734564529412</v>
      </c>
      <c r="AG76" s="245">
        <f>(+SUM('1.  LRAMVA Summary'!$D$65:$I$66)*(MONTH($E76)-1)/12)*$H76+'8. SL Adjustment'!$C$59</f>
        <v>4.9825440044974894</v>
      </c>
      <c r="AH76" s="245"/>
      <c r="AI76" s="245"/>
      <c r="AJ76" s="245"/>
      <c r="AK76" s="245"/>
      <c r="AL76" s="245"/>
      <c r="AM76" s="245">
        <f t="shared" ref="AM76:AM86" si="30">SUM(AF76:AL76)</f>
        <v>44.177278569026903</v>
      </c>
    </row>
    <row r="77" spans="2:39" s="9" customFormat="1">
      <c r="B77" s="68"/>
      <c r="E77" s="229">
        <v>42064</v>
      </c>
      <c r="F77" s="229" t="s">
        <v>182</v>
      </c>
      <c r="G77" s="230" t="s">
        <v>65</v>
      </c>
      <c r="H77" s="244">
        <f t="shared" si="28"/>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v>54.42694642068772</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54.42694642068772</v>
      </c>
      <c r="Z77" s="9">
        <v>33.343413981101605</v>
      </c>
      <c r="AB77" s="990">
        <f t="shared" si="29"/>
        <v>42064</v>
      </c>
      <c r="AC77" s="991">
        <f>AC76</f>
        <v>1.47E-2</v>
      </c>
      <c r="AD77" s="993">
        <v>31</v>
      </c>
      <c r="AE77" s="994">
        <f t="shared" si="27"/>
        <v>1.2484931506849316E-3</v>
      </c>
      <c r="AF77" s="245">
        <f>(SUM('1.  LRAMVA Summary'!$D$62:$I$63))*$H77+'8. SL Adjustment'!$D$58</f>
        <v>43.394170410728997</v>
      </c>
      <c r="AG77" s="245">
        <f>(+SUM('1.  LRAMVA Summary'!$D$65:$I$66)*(MONTH($E77)-1)/12)*$H77+'8. SL Adjustment'!$D$59</f>
        <v>11.032776009958727</v>
      </c>
      <c r="AH77" s="245"/>
      <c r="AI77" s="245"/>
      <c r="AJ77" s="245"/>
      <c r="AK77" s="245"/>
      <c r="AL77" s="245"/>
      <c r="AM77" s="245">
        <f t="shared" si="30"/>
        <v>54.426946420687727</v>
      </c>
    </row>
    <row r="78" spans="2:39"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v>43.408602941562734</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31">SUM(I78:V78)</f>
        <v>43.408602941562734</v>
      </c>
      <c r="Z78" s="9">
        <v>30.110634929448668</v>
      </c>
      <c r="AB78" s="990">
        <f t="shared" si="29"/>
        <v>42095</v>
      </c>
      <c r="AC78" s="991">
        <f>$C$32</f>
        <v>1.0999999999999999E-2</v>
      </c>
      <c r="AD78" s="993">
        <v>30</v>
      </c>
      <c r="AE78" s="994">
        <f t="shared" si="27"/>
        <v>9.041095890410959E-4</v>
      </c>
      <c r="AF78" s="245">
        <f>(SUM('1.  LRAMVA Summary'!$D$62:$I$63))*$H78+'8. SL Adjustment'!$E$58</f>
        <v>31.424349869520665</v>
      </c>
      <c r="AG78" s="245">
        <f>(+SUM('1.  LRAMVA Summary'!$D$65:$I$66)*(MONTH($E78)-1)/12)*$H78+'8. SL Adjustment'!$E$59</f>
        <v>11.984253072042064</v>
      </c>
      <c r="AH78" s="245"/>
      <c r="AI78" s="245"/>
      <c r="AJ78" s="245"/>
      <c r="AK78" s="245"/>
      <c r="AL78" s="245"/>
      <c r="AM78" s="245">
        <f t="shared" si="30"/>
        <v>43.408602941562727</v>
      </c>
    </row>
    <row r="79" spans="2:39" s="9" customFormat="1">
      <c r="B79" s="68"/>
      <c r="E79" s="229">
        <v>42125</v>
      </c>
      <c r="F79" s="229" t="s">
        <v>182</v>
      </c>
      <c r="G79" s="230" t="s">
        <v>66</v>
      </c>
      <c r="H79" s="244">
        <f t="shared" ref="H79:H80" si="32">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v>49.300227911850726</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31"/>
        <v>49.300227911850726</v>
      </c>
      <c r="Z79" s="9">
        <v>35.270415859433548</v>
      </c>
      <c r="AB79" s="990">
        <f t="shared" si="29"/>
        <v>42125</v>
      </c>
      <c r="AC79" s="991">
        <f>AC78</f>
        <v>1.0999999999999999E-2</v>
      </c>
      <c r="AD79" s="993">
        <v>31</v>
      </c>
      <c r="AE79" s="994">
        <f t="shared" si="27"/>
        <v>9.3424657534246574E-4</v>
      </c>
      <c r="AF79" s="245">
        <f>(SUM('1.  LRAMVA Summary'!$D$62:$I$63))*$H79+'8. SL Adjustment'!$F$58</f>
        <v>32.471828198504689</v>
      </c>
      <c r="AG79" s="245">
        <f>(+SUM('1.  LRAMVA Summary'!$D$65:$I$66)*(MONTH($E79)-1)/12)*$H79+'8. SL Adjustment'!$F$59</f>
        <v>16.828399713346034</v>
      </c>
      <c r="AH79" s="245"/>
      <c r="AI79" s="245"/>
      <c r="AJ79" s="245"/>
      <c r="AK79" s="245"/>
      <c r="AL79" s="245"/>
      <c r="AM79" s="245">
        <f t="shared" si="30"/>
        <v>49.300227911850726</v>
      </c>
    </row>
    <row r="80" spans="2:39" s="9" customFormat="1">
      <c r="B80" s="68"/>
      <c r="E80" s="229">
        <v>42156</v>
      </c>
      <c r="F80" s="229" t="s">
        <v>182</v>
      </c>
      <c r="G80" s="230" t="s">
        <v>66</v>
      </c>
      <c r="H80" s="244">
        <f t="shared" si="32"/>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v>52.343092046281377</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31"/>
        <v>52.343092046281377</v>
      </c>
      <c r="Z80" s="9">
        <v>40.430196789418439</v>
      </c>
      <c r="AB80" s="990">
        <f t="shared" si="29"/>
        <v>42156</v>
      </c>
      <c r="AC80" s="991">
        <f>AC79</f>
        <v>1.0999999999999999E-2</v>
      </c>
      <c r="AD80" s="993">
        <v>30</v>
      </c>
      <c r="AE80" s="994">
        <f t="shared" si="27"/>
        <v>9.041095890410959E-4</v>
      </c>
      <c r="AF80" s="245">
        <f>(SUM('1.  LRAMVA Summary'!$D$62:$I$63))*$H80+'8. SL Adjustment'!$G$58</f>
        <v>31.424349869520665</v>
      </c>
      <c r="AG80" s="245">
        <f>(+SUM('1.  LRAMVA Summary'!$D$65:$I$66)*(MONTH($E80)-1)/12)*$H80+'8. SL Adjustment'!$G$59</f>
        <v>20.918742176760713</v>
      </c>
      <c r="AH80" s="245"/>
      <c r="AI80" s="245"/>
      <c r="AJ80" s="245"/>
      <c r="AK80" s="245"/>
      <c r="AL80" s="245"/>
      <c r="AM80" s="245">
        <f t="shared" si="30"/>
        <v>52.343092046281377</v>
      </c>
    </row>
    <row r="81" spans="2:39"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v>59.408934396730395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31"/>
        <v>59.408934396730395</v>
      </c>
      <c r="Z81" s="9">
        <v>45.589977719403315</v>
      </c>
      <c r="AB81" s="990">
        <f t="shared" si="29"/>
        <v>42186</v>
      </c>
      <c r="AC81" s="991">
        <f>$C$33</f>
        <v>1.0999999999999999E-2</v>
      </c>
      <c r="AD81" s="993">
        <v>31</v>
      </c>
      <c r="AE81" s="994">
        <f t="shared" si="27"/>
        <v>9.3424657534246574E-4</v>
      </c>
      <c r="AF81" s="245">
        <f>(SUM('1.  LRAMVA Summary'!$D$62:$I$63))*$H81+'8. SL Adjustment'!$H$58</f>
        <v>32.471828198504689</v>
      </c>
      <c r="AG81" s="245">
        <f>(+SUM('1.  LRAMVA Summary'!$D$65:$I$66)*(MONTH($E81)-1)/12)*$H81+'8. SL Adjustment'!$H$59</f>
        <v>26.937106198225695</v>
      </c>
      <c r="AH81" s="245"/>
      <c r="AI81" s="245"/>
      <c r="AJ81" s="245"/>
      <c r="AK81" s="245"/>
      <c r="AL81" s="245"/>
      <c r="AM81" s="245">
        <f t="shared" si="30"/>
        <v>59.408934396730388</v>
      </c>
    </row>
    <row r="82" spans="2:39" s="9" customFormat="1">
      <c r="B82" s="68"/>
      <c r="E82" s="229">
        <v>42217</v>
      </c>
      <c r="F82" s="229" t="s">
        <v>182</v>
      </c>
      <c r="G82" s="230" t="s">
        <v>68</v>
      </c>
      <c r="H82" s="244">
        <f t="shared" ref="H82:H83" si="33">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v>64.730007012303346</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31"/>
        <v>64.730007012303346</v>
      </c>
      <c r="Z82" s="9">
        <v>50.749758649388198</v>
      </c>
      <c r="AB82" s="990">
        <f t="shared" si="29"/>
        <v>42217</v>
      </c>
      <c r="AC82" s="991">
        <f>AC81</f>
        <v>1.0999999999999999E-2</v>
      </c>
      <c r="AD82" s="993">
        <v>31</v>
      </c>
      <c r="AE82" s="994">
        <f t="shared" si="27"/>
        <v>9.3424657534246574E-4</v>
      </c>
      <c r="AF82" s="245">
        <f>(SUM('1.  LRAMVA Summary'!$D$62:$I$63))*$H82+'8. SL Adjustment'!$I$58</f>
        <v>32.471828198504689</v>
      </c>
      <c r="AG82" s="245">
        <f>(+SUM('1.  LRAMVA Summary'!$D$65:$I$66)*(MONTH($E82)-1)/12)*$H82+'8. SL Adjustment'!$I$59</f>
        <v>32.258178813798651</v>
      </c>
      <c r="AH82" s="245"/>
      <c r="AI82" s="245"/>
      <c r="AJ82" s="245"/>
      <c r="AK82" s="245"/>
      <c r="AL82" s="245"/>
      <c r="AM82" s="245">
        <f t="shared" si="30"/>
        <v>64.730007012303332</v>
      </c>
    </row>
    <row r="83" spans="2:39" s="9" customFormat="1">
      <c r="B83" s="68"/>
      <c r="E83" s="229">
        <v>42248</v>
      </c>
      <c r="F83" s="229" t="s">
        <v>182</v>
      </c>
      <c r="G83" s="230" t="s">
        <v>68</v>
      </c>
      <c r="H83" s="244">
        <f t="shared" si="33"/>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v>68.398490060385242</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31"/>
        <v>68.398490060385242</v>
      </c>
      <c r="Z83" s="9">
        <v>55.909539579373075</v>
      </c>
      <c r="AB83" s="990">
        <f t="shared" si="29"/>
        <v>42248</v>
      </c>
      <c r="AC83" s="991">
        <f>AC82</f>
        <v>1.0999999999999999E-2</v>
      </c>
      <c r="AD83" s="993">
        <v>30</v>
      </c>
      <c r="AE83" s="994">
        <f t="shared" si="27"/>
        <v>9.041095890410959E-4</v>
      </c>
      <c r="AF83" s="245">
        <f>(SUM('1.  LRAMVA Summary'!$D$62:$I$63))*$H83+'8. SL Adjustment'!$J$58</f>
        <v>31.424349869520665</v>
      </c>
      <c r="AG83" s="245">
        <f>(+SUM('1.  LRAMVA Summary'!$D$65:$I$66)*(MONTH($E83)-1)/12)*$H83+'8. SL Adjustment'!$J$59</f>
        <v>36.974140190864574</v>
      </c>
      <c r="AH83" s="245"/>
      <c r="AI83" s="245"/>
      <c r="AJ83" s="245"/>
      <c r="AK83" s="245"/>
      <c r="AL83" s="245"/>
      <c r="AM83" s="245">
        <f t="shared" si="30"/>
        <v>68.398490060385242</v>
      </c>
    </row>
    <row r="84" spans="2:39"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v>76.626872445826166</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31"/>
        <v>76.626872445826166</v>
      </c>
      <c r="Z84" s="9">
        <v>61.069320509357958</v>
      </c>
      <c r="AB84" s="990">
        <f t="shared" si="29"/>
        <v>42278</v>
      </c>
      <c r="AC84" s="991">
        <f>$C$34</f>
        <v>1.0999999999999999E-2</v>
      </c>
      <c r="AD84" s="993">
        <v>31</v>
      </c>
      <c r="AE84" s="994">
        <f t="shared" si="27"/>
        <v>9.3424657534246574E-4</v>
      </c>
      <c r="AF84" s="245">
        <f>(SUM('1.  LRAMVA Summary'!$D$62:$I$63))*$H84+'8. SL Adjustment'!$K$58</f>
        <v>32.471828198504689</v>
      </c>
      <c r="AG84" s="245">
        <f>(+SUM('1.  LRAMVA Summary'!$D$65:$I$66)*(MONTH($E84)-1)/12)*$H84+'8. SL Adjustment'!$K$59</f>
        <v>44.15504424732147</v>
      </c>
      <c r="AH84" s="245"/>
      <c r="AI84" s="245"/>
      <c r="AJ84" s="245"/>
      <c r="AK84" s="245"/>
      <c r="AL84" s="245"/>
      <c r="AM84" s="245">
        <f t="shared" si="30"/>
        <v>76.626872445826166</v>
      </c>
    </row>
    <row r="85" spans="2:39" s="9" customFormat="1">
      <c r="B85" s="68"/>
      <c r="E85" s="229">
        <v>42309</v>
      </c>
      <c r="F85" s="229" t="s">
        <v>182</v>
      </c>
      <c r="G85" s="230" t="s">
        <v>69</v>
      </c>
      <c r="H85" s="244">
        <f t="shared" ref="H85:H86" si="34">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v>85.945417090163673</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31"/>
        <v>85.945417090163673</v>
      </c>
      <c r="Z85" s="9">
        <v>66.229101439342841</v>
      </c>
      <c r="AB85" s="990">
        <f t="shared" si="29"/>
        <v>42309</v>
      </c>
      <c r="AC85" s="991">
        <f>AC84</f>
        <v>1.0999999999999999E-2</v>
      </c>
      <c r="AD85" s="993">
        <v>30</v>
      </c>
      <c r="AE85" s="994">
        <f t="shared" si="27"/>
        <v>9.041095890410959E-4</v>
      </c>
      <c r="AF85" s="245">
        <f>(SUM('1.  LRAMVA Summary'!$D$62:$I$63))*$H85+'8. SL Adjustment'!$L$58</f>
        <v>31.424349869520665</v>
      </c>
      <c r="AG85" s="245">
        <f>(+SUM('1.  LRAMVA Summary'!$D$65:$I$66)*(MONTH($E85)-1)/12)*$H85+'8. SL Adjustment'!$L$59</f>
        <v>54.521067220643012</v>
      </c>
      <c r="AH85" s="245"/>
      <c r="AI85" s="245"/>
      <c r="AJ85" s="245"/>
      <c r="AK85" s="245"/>
      <c r="AL85" s="245"/>
      <c r="AM85" s="245">
        <f t="shared" si="30"/>
        <v>85.945417090163673</v>
      </c>
    </row>
    <row r="86" spans="2:39" s="9" customFormat="1">
      <c r="B86" s="68"/>
      <c r="E86" s="229">
        <v>42339</v>
      </c>
      <c r="F86" s="229" t="s">
        <v>182</v>
      </c>
      <c r="G86" s="230" t="s">
        <v>69</v>
      </c>
      <c r="H86" s="244">
        <f t="shared" si="34"/>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v>100.99365620717876</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31"/>
        <v>100.99365620717876</v>
      </c>
      <c r="Z86" s="9">
        <v>71.388882369327717</v>
      </c>
      <c r="AB86" s="990">
        <f t="shared" si="29"/>
        <v>42339</v>
      </c>
      <c r="AC86" s="991">
        <f>AC85</f>
        <v>1.0999999999999999E-2</v>
      </c>
      <c r="AD86" s="993">
        <v>31</v>
      </c>
      <c r="AE86" s="994">
        <f t="shared" si="27"/>
        <v>9.3424657534246574E-4</v>
      </c>
      <c r="AF86" s="245">
        <f>(SUM('1.  LRAMVA Summary'!$D$62:$I$63))*$H86+'8. SL Adjustment'!$M$58</f>
        <v>32.471828198504689</v>
      </c>
      <c r="AG86" s="245">
        <f>(+SUM('1.  LRAMVA Summary'!$D$65:$I$66)*(MONTH($E86)-1)/12)*$H86+'8. SL Adjustment'!$M$59</f>
        <v>68.521828008674078</v>
      </c>
      <c r="AH86" s="245"/>
      <c r="AI86" s="245"/>
      <c r="AJ86" s="245"/>
      <c r="AK86" s="245"/>
      <c r="AL86" s="245"/>
      <c r="AM86" s="245">
        <f t="shared" si="30"/>
        <v>100.99365620717876</v>
      </c>
    </row>
    <row r="87" spans="2:39" s="9" customFormat="1" ht="15" thickBot="1">
      <c r="B87" s="68"/>
      <c r="E87" s="231" t="s">
        <v>471</v>
      </c>
      <c r="F87" s="231"/>
      <c r="G87" s="232"/>
      <c r="H87" s="233"/>
      <c r="I87" s="234">
        <f>SUM(I74:I86)</f>
        <v>0</v>
      </c>
      <c r="J87" s="234">
        <f>SUM(J74:J86)</f>
        <v>0</v>
      </c>
      <c r="K87" s="234">
        <f t="shared" ref="K87:O87" si="35">SUM(K74:K86)</f>
        <v>0</v>
      </c>
      <c r="L87" s="234">
        <f t="shared" si="35"/>
        <v>0</v>
      </c>
      <c r="M87" s="234">
        <f t="shared" si="35"/>
        <v>0</v>
      </c>
      <c r="N87" s="234">
        <f t="shared" si="35"/>
        <v>0</v>
      </c>
      <c r="O87" s="234">
        <f t="shared" si="35"/>
        <v>904.01375510839875</v>
      </c>
      <c r="P87" s="234">
        <f t="shared" ref="P87:V87" si="36">SUM(P74:P86)</f>
        <v>0</v>
      </c>
      <c r="Q87" s="234">
        <f t="shared" si="36"/>
        <v>0</v>
      </c>
      <c r="R87" s="234">
        <f t="shared" si="36"/>
        <v>0</v>
      </c>
      <c r="S87" s="234">
        <f t="shared" si="36"/>
        <v>0</v>
      </c>
      <c r="T87" s="234">
        <f t="shared" si="36"/>
        <v>0</v>
      </c>
      <c r="U87" s="234">
        <f t="shared" si="36"/>
        <v>0</v>
      </c>
      <c r="V87" s="234">
        <f t="shared" si="36"/>
        <v>0</v>
      </c>
      <c r="W87" s="234">
        <f>SUM(W74:W86)</f>
        <v>904.01375510839875</v>
      </c>
      <c r="Z87" s="9">
        <v>643.63203619377657</v>
      </c>
      <c r="AF87" s="995">
        <f>SUM(AF74:AF86)</f>
        <v>574.89967545226614</v>
      </c>
      <c r="AG87" s="995">
        <f>SUM(AG74:AG86)</f>
        <v>329.1140796561325</v>
      </c>
      <c r="AH87" s="995"/>
      <c r="AI87" s="995"/>
      <c r="AJ87" s="995"/>
      <c r="AK87" s="995"/>
      <c r="AL87" s="995"/>
      <c r="AM87" s="995">
        <f>SUM(AM74:AM86)</f>
        <v>904.01375510839875</v>
      </c>
    </row>
    <row r="88" spans="2:39"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39" s="9" customFormat="1">
      <c r="B89" s="68"/>
      <c r="E89" s="240" t="s">
        <v>434</v>
      </c>
      <c r="F89" s="240"/>
      <c r="G89" s="241"/>
      <c r="H89" s="242"/>
      <c r="I89" s="243">
        <f>I87+I88</f>
        <v>0</v>
      </c>
      <c r="J89" s="243">
        <f t="shared" ref="J89:W89" si="37">J87+J88</f>
        <v>0</v>
      </c>
      <c r="K89" s="243">
        <f t="shared" si="37"/>
        <v>0</v>
      </c>
      <c r="L89" s="243">
        <f t="shared" si="37"/>
        <v>0</v>
      </c>
      <c r="M89" s="243">
        <f t="shared" si="37"/>
        <v>0</v>
      </c>
      <c r="N89" s="243">
        <f t="shared" si="37"/>
        <v>0</v>
      </c>
      <c r="O89" s="243">
        <f t="shared" si="37"/>
        <v>904.01375510839875</v>
      </c>
      <c r="P89" s="243">
        <f t="shared" si="37"/>
        <v>0</v>
      </c>
      <c r="Q89" s="243">
        <f t="shared" si="37"/>
        <v>0</v>
      </c>
      <c r="R89" s="243">
        <f t="shared" si="37"/>
        <v>0</v>
      </c>
      <c r="S89" s="243">
        <f t="shared" si="37"/>
        <v>0</v>
      </c>
      <c r="T89" s="243">
        <f t="shared" si="37"/>
        <v>0</v>
      </c>
      <c r="U89" s="243">
        <f t="shared" si="37"/>
        <v>0</v>
      </c>
      <c r="V89" s="243">
        <f t="shared" si="37"/>
        <v>0</v>
      </c>
      <c r="W89" s="243">
        <f t="shared" si="37"/>
        <v>904.01375510839875</v>
      </c>
      <c r="Z89" s="9">
        <v>643.63203619377657</v>
      </c>
      <c r="AF89" s="995">
        <f>AF87+AF88</f>
        <v>574.89967545226614</v>
      </c>
      <c r="AG89" s="995">
        <f>AG87+AG88</f>
        <v>329.1140796561325</v>
      </c>
      <c r="AH89" s="995">
        <f>AH87+AH88</f>
        <v>0</v>
      </c>
      <c r="AI89" s="995"/>
      <c r="AJ89" s="995"/>
      <c r="AK89" s="995"/>
      <c r="AL89" s="995"/>
      <c r="AM89" s="995">
        <f>AM87+AM88</f>
        <v>904.01375510839875</v>
      </c>
    </row>
    <row r="90" spans="2:39"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 t="array" ref="O90:O101">TRANSPOSE('8. SL Adjustment'!B95:M95)</f>
        <v>112.86782118051121</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112.86782118051121</v>
      </c>
      <c r="Z90" s="9">
        <v>76.548663299312608</v>
      </c>
      <c r="AB90" s="990">
        <f>E90</f>
        <v>42370</v>
      </c>
      <c r="AC90" s="991">
        <f>$C$35</f>
        <v>1.0999999999999999E-2</v>
      </c>
      <c r="AD90" s="993">
        <v>31</v>
      </c>
      <c r="AE90" s="994">
        <f t="shared" ref="AE90:AE101" si="38">AC90/365*AD90</f>
        <v>9.3424657534246574E-4</v>
      </c>
      <c r="AF90" s="245">
        <f>(SUM('1.  LRAMVA Summary'!$D$62:$I$63))*$H90+'8. SL Adjustment'!$B$98</f>
        <v>32.383107356432276</v>
      </c>
      <c r="AG90" s="245">
        <f>(SUM('1.  LRAMVA Summary'!$D$65:$I$66))*$H90+'8. SL Adjustment'!$B$99</f>
        <v>80.484713824078938</v>
      </c>
      <c r="AH90" s="245">
        <f>(+SUM('1.  LRAMVA Summary'!$D$68:$I$69)*(MONTH($E90)-1)/12)*$H90+'8. SL Adjustment'!$B$100</f>
        <v>0</v>
      </c>
      <c r="AI90" s="245"/>
      <c r="AJ90" s="245"/>
      <c r="AK90" s="245"/>
      <c r="AL90" s="245"/>
      <c r="AM90" s="245">
        <f>SUM(AF90:AL90)</f>
        <v>112.86782118051121</v>
      </c>
    </row>
    <row r="91" spans="2:39" s="9" customFormat="1">
      <c r="B91" s="68"/>
      <c r="E91" s="229">
        <v>42401</v>
      </c>
      <c r="F91" s="229" t="s">
        <v>184</v>
      </c>
      <c r="G91" s="230" t="s">
        <v>65</v>
      </c>
      <c r="H91" s="244">
        <f t="shared" ref="H91:H92" si="39">$C$35/12</f>
        <v>9.1666666666666665E-4</v>
      </c>
      <c r="I91" s="245">
        <f>(SUM('1.  LRAMVA Summary'!D$53:D$67)+SUM('1.  LRAMVA Summary'!D$68:D$69)*(MONTH($E91)-1)/12)*$H91</f>
        <v>49.045887084598881</v>
      </c>
      <c r="J91" s="245">
        <f>(SUM('1.  LRAMVA Summary'!E$53:E$67)+SUM('1.  LRAMVA Summary'!E$68:E$69)*(MONTH($E91)-1)/12)*$H91</f>
        <v>48.069142120456426</v>
      </c>
      <c r="K91" s="245">
        <f>(SUM('1.  LRAMVA Summary'!F$53:F$67)+SUM('1.  LRAMVA Summary'!F$68:F$69)*(MONTH($E91)-1)/12)*$H91</f>
        <v>77.705158534083949</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v>117.664093240005</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40">SUM(I91:V91)</f>
        <v>291.8027073548522</v>
      </c>
      <c r="Z91" s="9">
        <v>89.331042643222389</v>
      </c>
      <c r="AB91" s="990">
        <f t="shared" ref="AB91:AB101" si="41">E91</f>
        <v>42401</v>
      </c>
      <c r="AC91" s="991">
        <f>AC90</f>
        <v>1.0999999999999999E-2</v>
      </c>
      <c r="AD91" s="993">
        <v>29</v>
      </c>
      <c r="AE91" s="994">
        <f t="shared" si="38"/>
        <v>8.7397260273972596E-4</v>
      </c>
      <c r="AF91" s="245">
        <f>(SUM('1.  LRAMVA Summary'!$D$62:$I$63))*$H91+'8. SL Adjustment'!$C$98</f>
        <v>30.293874623759223</v>
      </c>
      <c r="AG91" s="245">
        <f>(SUM('1.  LRAMVA Summary'!$D$65:$I$66))*$H91+'8. SL Adjustment'!$C$99</f>
        <v>75.292151641880295</v>
      </c>
      <c r="AH91" s="245">
        <f>(+SUM('1.  LRAMVA Summary'!$D$68:$I$69)*(MONTH($E91)-1)/12)*$H91+'8. SL Adjustment'!$C$100</f>
        <v>186.2166810892127</v>
      </c>
      <c r="AI91" s="245"/>
      <c r="AJ91" s="245"/>
      <c r="AK91" s="245"/>
      <c r="AL91" s="245"/>
      <c r="AM91" s="245">
        <f t="shared" ref="AM91:AM101" si="42">SUM(AF91:AL91)</f>
        <v>291.8027073548522</v>
      </c>
    </row>
    <row r="92" spans="2:39" s="9" customFormat="1" ht="14.25" customHeight="1">
      <c r="B92" s="68"/>
      <c r="E92" s="229">
        <v>42430</v>
      </c>
      <c r="F92" s="229" t="s">
        <v>184</v>
      </c>
      <c r="G92" s="230" t="s">
        <v>65</v>
      </c>
      <c r="H92" s="244">
        <f t="shared" si="39"/>
        <v>9.1666666666666665E-4</v>
      </c>
      <c r="I92" s="245">
        <f>(SUM('1.  LRAMVA Summary'!D$53:D$67)+SUM('1.  LRAMVA Summary'!D$68:D$69)*(MONTH($E92)-1)/12)*$H92</f>
        <v>98.091774169197762</v>
      </c>
      <c r="J92" s="245">
        <f>(SUM('1.  LRAMVA Summary'!E$53:E$67)+SUM('1.  LRAMVA Summary'!E$68:E$69)*(MONTH($E92)-1)/12)*$H92</f>
        <v>96.138284240912853</v>
      </c>
      <c r="K92" s="245">
        <f>(SUM('1.  LRAMVA Summary'!F$53:F$67)+SUM('1.  LRAMVA Summary'!F$68:F$69)*(MONTH($E92)-1)/12)*$H92</f>
        <v>155.4103170681679</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v>138.68989540156849</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40"/>
        <v>486.96712363126289</v>
      </c>
      <c r="Z92" s="9">
        <v>102.11342198713217</v>
      </c>
      <c r="AB92" s="990">
        <f t="shared" si="41"/>
        <v>42430</v>
      </c>
      <c r="AC92" s="991">
        <f>AC91</f>
        <v>1.0999999999999999E-2</v>
      </c>
      <c r="AD92" s="993">
        <v>31</v>
      </c>
      <c r="AE92" s="994">
        <f t="shared" si="38"/>
        <v>9.3424657534246574E-4</v>
      </c>
      <c r="AF92" s="245">
        <f>(SUM('1.  LRAMVA Summary'!$D$62:$I$63))*$H92+'8. SL Adjustment'!$D$98</f>
        <v>32.383107356432276</v>
      </c>
      <c r="AG92" s="245">
        <f>(SUM('1.  LRAMVA Summary'!$D$65:$I$66))*$H92+'8. SL Adjustment'!$D$99</f>
        <v>80.484713824078938</v>
      </c>
      <c r="AH92" s="245">
        <f>(+SUM('1.  LRAMVA Summary'!$D$68:$I$69)*(MONTH($E92)-1)/12)*$H92+'8. SL Adjustment'!$D$100</f>
        <v>374.09930245075168</v>
      </c>
      <c r="AI92" s="245"/>
      <c r="AJ92" s="245"/>
      <c r="AK92" s="245"/>
      <c r="AL92" s="245"/>
      <c r="AM92" s="245">
        <f t="shared" si="42"/>
        <v>486.96712363126289</v>
      </c>
    </row>
    <row r="93" spans="2:39" s="8" customFormat="1">
      <c r="B93" s="254"/>
      <c r="D93" s="9"/>
      <c r="E93" s="229">
        <v>42461</v>
      </c>
      <c r="F93" s="229" t="s">
        <v>184</v>
      </c>
      <c r="G93" s="230" t="s">
        <v>66</v>
      </c>
      <c r="H93" s="244">
        <f>$C$36/12</f>
        <v>9.1666666666666665E-4</v>
      </c>
      <c r="I93" s="245">
        <f>(SUM('1.  LRAMVA Summary'!D$53:D$67)+SUM('1.  LRAMVA Summary'!D$68:D$69)*(MONTH($E93)-1)/12)*$H93</f>
        <v>147.13766125379664</v>
      </c>
      <c r="J93" s="245">
        <f>(SUM('1.  LRAMVA Summary'!E$53:E$67)+SUM('1.  LRAMVA Summary'!E$68:E$69)*(MONTH($E93)-1)/12)*$H93</f>
        <v>144.20742636136927</v>
      </c>
      <c r="K93" s="245">
        <f>(SUM('1.  LRAMVA Summary'!F$53:F$67)+SUM('1.  LRAMVA Summary'!F$68:F$69)*(MONTH($E93)-1)/12)*$H93</f>
        <v>233.11547560225182</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v>146.71057985041656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40"/>
        <v>669.12642219495808</v>
      </c>
      <c r="Z93" s="8">
        <v>114.89580133104195</v>
      </c>
      <c r="AB93" s="990">
        <f t="shared" si="41"/>
        <v>42461</v>
      </c>
      <c r="AC93" s="991">
        <f>$C$36</f>
        <v>1.0999999999999999E-2</v>
      </c>
      <c r="AD93" s="993">
        <v>30</v>
      </c>
      <c r="AE93" s="994">
        <f t="shared" si="38"/>
        <v>9.041095890410959E-4</v>
      </c>
      <c r="AF93" s="245">
        <f>(SUM('1.  LRAMVA Summary'!$D$62:$I$63))*$H93+'8. SL Adjustment'!$E$98</f>
        <v>31.338490990095746</v>
      </c>
      <c r="AG93" s="245">
        <f>(SUM('1.  LRAMVA Summary'!$D$65:$I$66))*$H93+'8. SL Adjustment'!$E$99</f>
        <v>77.888432732979624</v>
      </c>
      <c r="AH93" s="245">
        <f>(+SUM('1.  LRAMVA Summary'!$D$68:$I$69)*(MONTH($E93)-1)/12)*$H93+'8. SL Adjustment'!$E$100</f>
        <v>559.89949847188279</v>
      </c>
      <c r="AI93" s="245"/>
      <c r="AJ93" s="245"/>
      <c r="AK93" s="245"/>
      <c r="AL93" s="245"/>
      <c r="AM93" s="245">
        <f t="shared" si="42"/>
        <v>669.1264221949582</v>
      </c>
    </row>
    <row r="94" spans="2:39" s="9" customFormat="1">
      <c r="B94" s="68"/>
      <c r="E94" s="229">
        <v>42491</v>
      </c>
      <c r="F94" s="229" t="s">
        <v>184</v>
      </c>
      <c r="G94" s="230" t="s">
        <v>66</v>
      </c>
      <c r="H94" s="244">
        <f t="shared" ref="H94:H95" si="43">$C$36/12</f>
        <v>9.1666666666666665E-4</v>
      </c>
      <c r="I94" s="245">
        <f>(SUM('1.  LRAMVA Summary'!D$53:D$67)+SUM('1.  LRAMVA Summary'!D$68:D$69)*(MONTH($E94)-1)/12)*$H94</f>
        <v>196.18354833839552</v>
      </c>
      <c r="J94" s="245">
        <f>(SUM('1.  LRAMVA Summary'!E$53:E$67)+SUM('1.  LRAMVA Summary'!E$68:E$69)*(MONTH($E94)-1)/12)*$H94</f>
        <v>192.27656848182571</v>
      </c>
      <c r="K94" s="245">
        <f>(SUM('1.  LRAMVA Summary'!F$53:F$67)+SUM('1.  LRAMVA Summary'!F$68:F$69)*(MONTH($E94)-1)/12)*$H94</f>
        <v>310.8206341363358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v>164.5840828952081</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40"/>
        <v>861.1385393545969</v>
      </c>
      <c r="Z94" s="9">
        <v>127.67818067495173</v>
      </c>
      <c r="AB94" s="990">
        <f t="shared" si="41"/>
        <v>42491</v>
      </c>
      <c r="AC94" s="991">
        <f>AC93</f>
        <v>1.0999999999999999E-2</v>
      </c>
      <c r="AD94" s="993">
        <v>31</v>
      </c>
      <c r="AE94" s="994">
        <f t="shared" si="38"/>
        <v>9.3424657534246574E-4</v>
      </c>
      <c r="AF94" s="245">
        <f>(SUM('1.  LRAMVA Summary'!$D$62:$I$63))*$H94+'8. SL Adjustment'!$F$98</f>
        <v>32.383107356432276</v>
      </c>
      <c r="AG94" s="245">
        <f>(SUM('1.  LRAMVA Summary'!$D$65:$I$66))*$H94+'8. SL Adjustment'!$F$99</f>
        <v>80.484713824078938</v>
      </c>
      <c r="AH94" s="245">
        <f>(+SUM('1.  LRAMVA Summary'!$D$68:$I$69)*(MONTH($E94)-1)/12)*$H94+'8. SL Adjustment'!$F$100</f>
        <v>748.27071817408569</v>
      </c>
      <c r="AI94" s="245"/>
      <c r="AJ94" s="245"/>
      <c r="AK94" s="245"/>
      <c r="AL94" s="245"/>
      <c r="AM94" s="245">
        <f t="shared" si="42"/>
        <v>861.1385393545969</v>
      </c>
    </row>
    <row r="95" spans="2:39" s="253" customFormat="1">
      <c r="B95" s="252"/>
      <c r="D95" s="9"/>
      <c r="E95" s="229">
        <v>42522</v>
      </c>
      <c r="F95" s="229" t="s">
        <v>184</v>
      </c>
      <c r="G95" s="230" t="s">
        <v>66</v>
      </c>
      <c r="H95" s="244">
        <f t="shared" si="43"/>
        <v>9.1666666666666665E-4</v>
      </c>
      <c r="I95" s="245">
        <f>(SUM('1.  LRAMVA Summary'!D$53:D$67)+SUM('1.  LRAMVA Summary'!D$68:D$69)*(MONTH($E95)-1)/12)*$H95</f>
        <v>245.22943542299438</v>
      </c>
      <c r="J95" s="245">
        <f>(SUM('1.  LRAMVA Summary'!E$53:E$67)+SUM('1.  LRAMVA Summary'!E$68:E$69)*(MONTH($E95)-1)/12)*$H95</f>
        <v>240.34571060228211</v>
      </c>
      <c r="K95" s="245">
        <f>(SUM('1.  LRAMVA Summary'!F$53:F$67)+SUM('1.  LRAMVA Summary'!F$68:F$69)*(MONTH($E95)-1)/12)*$H95</f>
        <v>388.52579267041978</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v>172.58035217098987</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40"/>
        <v>1043.2734227452258</v>
      </c>
      <c r="Z95" s="253">
        <v>140.46056001886151</v>
      </c>
      <c r="AB95" s="990">
        <f t="shared" si="41"/>
        <v>42522</v>
      </c>
      <c r="AC95" s="991">
        <f>AC94</f>
        <v>1.0999999999999999E-2</v>
      </c>
      <c r="AD95" s="993">
        <v>30</v>
      </c>
      <c r="AE95" s="994">
        <f t="shared" si="38"/>
        <v>9.041095890410959E-4</v>
      </c>
      <c r="AF95" s="245">
        <f>(SUM('1.  LRAMVA Summary'!$D$62:$I$63))*$H95+'8. SL Adjustment'!$G$98</f>
        <v>31.338490990095746</v>
      </c>
      <c r="AG95" s="245">
        <f>(SUM('1.  LRAMVA Summary'!$D$65:$I$66))*$H95+'8. SL Adjustment'!$G$99</f>
        <v>77.888432732979624</v>
      </c>
      <c r="AH95" s="245">
        <f>(+SUM('1.  LRAMVA Summary'!$D$68:$I$69)*(MONTH($E95)-1)/12)*$H95+'8. SL Adjustment'!$G$100</f>
        <v>934.04649902215056</v>
      </c>
      <c r="AI95" s="245"/>
      <c r="AJ95" s="245"/>
      <c r="AK95" s="245"/>
      <c r="AL95" s="245"/>
      <c r="AM95" s="245">
        <f t="shared" si="42"/>
        <v>1043.2734227452258</v>
      </c>
    </row>
    <row r="96" spans="2:39" s="9" customFormat="1">
      <c r="B96" s="68"/>
      <c r="E96" s="229">
        <v>42552</v>
      </c>
      <c r="F96" s="229" t="s">
        <v>184</v>
      </c>
      <c r="G96" s="230" t="s">
        <v>68</v>
      </c>
      <c r="H96" s="244">
        <f>$C$37/12</f>
        <v>9.1666666666666665E-4</v>
      </c>
      <c r="I96" s="245">
        <f>(SUM('1.  LRAMVA Summary'!D$53:D$67)+SUM('1.  LRAMVA Summary'!D$68:D$69)*(MONTH($E96)-1)/12)*$H96</f>
        <v>294.27532250759327</v>
      </c>
      <c r="J96" s="245">
        <f>(SUM('1.  LRAMVA Summary'!E$53:E$67)+SUM('1.  LRAMVA Summary'!E$68:E$69)*(MONTH($E96)-1)/12)*$H96</f>
        <v>288.41485272273854</v>
      </c>
      <c r="K96" s="245">
        <f>(SUM('1.  LRAMVA Summary'!F$53:F$67)+SUM('1.  LRAMVA Summary'!F$68:F$69)*(MONTH($E96)-1)/12)*$H96</f>
        <v>466.23095120450364</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v>192.82942824133713</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40"/>
        <v>1237.6611129304201</v>
      </c>
      <c r="Z96" s="9">
        <v>153.2429393627713</v>
      </c>
      <c r="AB96" s="990">
        <f t="shared" si="41"/>
        <v>42552</v>
      </c>
      <c r="AC96" s="991">
        <f>$C$37</f>
        <v>1.0999999999999999E-2</v>
      </c>
      <c r="AD96" s="993">
        <v>31</v>
      </c>
      <c r="AE96" s="994">
        <f t="shared" si="38"/>
        <v>9.3424657534246574E-4</v>
      </c>
      <c r="AF96" s="245">
        <f>(SUM('1.  LRAMVA Summary'!$D$62:$I$63))*$H96+'8. SL Adjustment'!$H$98</f>
        <v>32.383107356432276</v>
      </c>
      <c r="AG96" s="245">
        <f>(SUM('1.  LRAMVA Summary'!$D$65:$I$66))*$H96+'8. SL Adjustment'!$H$99</f>
        <v>80.484713824078938</v>
      </c>
      <c r="AH96" s="245">
        <f>(+SUM('1.  LRAMVA Summary'!$D$68:$I$69)*(MONTH($E96)-1)/12)*$H96+'8. SL Adjustment'!$H$100</f>
        <v>1124.793291749909</v>
      </c>
      <c r="AI96" s="245"/>
      <c r="AJ96" s="245"/>
      <c r="AK96" s="245"/>
      <c r="AL96" s="245"/>
      <c r="AM96" s="245">
        <f t="shared" si="42"/>
        <v>1237.6611129304201</v>
      </c>
    </row>
    <row r="97" spans="2:39" s="9" customFormat="1">
      <c r="B97" s="68"/>
      <c r="E97" s="229">
        <v>42583</v>
      </c>
      <c r="F97" s="229" t="s">
        <v>184</v>
      </c>
      <c r="G97" s="230" t="s">
        <v>68</v>
      </c>
      <c r="H97" s="244">
        <f t="shared" ref="H97:H98" si="44">$C$37/12</f>
        <v>9.1666666666666665E-4</v>
      </c>
      <c r="I97" s="245">
        <f>(SUM('1.  LRAMVA Summary'!D$53:D$67)+SUM('1.  LRAMVA Summary'!D$68:D$69)*(MONTH($E97)-1)/12)*$H97</f>
        <v>343.32120959219213</v>
      </c>
      <c r="J97" s="245">
        <f>(SUM('1.  LRAMVA Summary'!E$53:E$67)+SUM('1.  LRAMVA Summary'!E$68:E$69)*(MONTH($E97)-1)/12)*$H97</f>
        <v>336.48399484319498</v>
      </c>
      <c r="K97" s="245">
        <f>(SUM('1.  LRAMVA Summary'!F$53:F$67)+SUM('1.  LRAMVA Summary'!F$68:F$69)*(MONTH($E97)-1)/12)*$H97</f>
        <v>543.93610973858767</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v>207.33088001563351</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40"/>
        <v>1426.3011788195638</v>
      </c>
      <c r="Z97" s="9">
        <v>166.02531870668108</v>
      </c>
      <c r="AB97" s="990">
        <f t="shared" si="41"/>
        <v>42583</v>
      </c>
      <c r="AC97" s="991">
        <f>AC96</f>
        <v>1.0999999999999999E-2</v>
      </c>
      <c r="AD97" s="993">
        <v>31</v>
      </c>
      <c r="AE97" s="994">
        <f t="shared" si="38"/>
        <v>9.3424657534246574E-4</v>
      </c>
      <c r="AF97" s="245">
        <f>(SUM('1.  LRAMVA Summary'!$D$62:$I$63))*$H97+'8. SL Adjustment'!$I$98</f>
        <v>32.383107356432276</v>
      </c>
      <c r="AG97" s="245">
        <f>(SUM('1.  LRAMVA Summary'!$D$65:$I$66))*$H97+'8. SL Adjustment'!$I$99</f>
        <v>80.484713824078938</v>
      </c>
      <c r="AH97" s="245">
        <f>(+SUM('1.  LRAMVA Summary'!$D$68:$I$69)*(MONTH($E97)-1)/12)*$H97+'8. SL Adjustment'!$I$100</f>
        <v>1313.4333576390527</v>
      </c>
      <c r="AI97" s="245"/>
      <c r="AJ97" s="245"/>
      <c r="AK97" s="245"/>
      <c r="AL97" s="245"/>
      <c r="AM97" s="245">
        <f t="shared" si="42"/>
        <v>1426.301178819564</v>
      </c>
    </row>
    <row r="98" spans="2:39" s="9" customFormat="1">
      <c r="B98" s="68"/>
      <c r="E98" s="229">
        <v>42614</v>
      </c>
      <c r="F98" s="229" t="s">
        <v>184</v>
      </c>
      <c r="G98" s="230" t="s">
        <v>68</v>
      </c>
      <c r="H98" s="244">
        <f t="shared" si="44"/>
        <v>9.1666666666666665E-4</v>
      </c>
      <c r="I98" s="245">
        <f>(SUM('1.  LRAMVA Summary'!D$53:D$67)+SUM('1.  LRAMVA Summary'!D$68:D$69)*(MONTH($E98)-1)/12)*$H98</f>
        <v>392.36709667679105</v>
      </c>
      <c r="J98" s="245">
        <f>(SUM('1.  LRAMVA Summary'!E$53:E$67)+SUM('1.  LRAMVA Summary'!E$68:E$69)*(MONTH($E98)-1)/12)*$H98</f>
        <v>384.55313696365141</v>
      </c>
      <c r="K98" s="245">
        <f>(SUM('1.  LRAMVA Summary'!F$53:F$67)+SUM('1.  LRAMVA Summary'!F$68:F$69)*(MONTH($E98)-1)/12)*$H98</f>
        <v>621.6412682726716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v>214.67645011928698</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40"/>
        <v>1607.7853630380646</v>
      </c>
      <c r="Z98" s="9">
        <v>178.80769805059086</v>
      </c>
      <c r="AB98" s="990">
        <f t="shared" si="41"/>
        <v>42614</v>
      </c>
      <c r="AC98" s="991">
        <f>AC97</f>
        <v>1.0999999999999999E-2</v>
      </c>
      <c r="AD98" s="993">
        <v>30</v>
      </c>
      <c r="AE98" s="994">
        <f t="shared" si="38"/>
        <v>9.041095890410959E-4</v>
      </c>
      <c r="AF98" s="245">
        <f>(SUM('1.  LRAMVA Summary'!$D$62:$I$63))*$H98+'8. SL Adjustment'!$J$98</f>
        <v>31.338490990095746</v>
      </c>
      <c r="AG98" s="245">
        <f>(SUM('1.  LRAMVA Summary'!$D$65:$I$66))*$H98+'8. SL Adjustment'!$J$99</f>
        <v>77.888432732979624</v>
      </c>
      <c r="AH98" s="245">
        <f>(+SUM('1.  LRAMVA Summary'!$D$68:$I$69)*(MONTH($E98)-1)/12)*$H98+'8. SL Adjustment'!$J$100</f>
        <v>1498.5584393149893</v>
      </c>
      <c r="AI98" s="245"/>
      <c r="AJ98" s="245"/>
      <c r="AK98" s="245"/>
      <c r="AL98" s="245"/>
      <c r="AM98" s="245">
        <f t="shared" si="42"/>
        <v>1607.7853630380646</v>
      </c>
    </row>
    <row r="99" spans="2:39" s="9" customFormat="1">
      <c r="B99" s="68"/>
      <c r="E99" s="229">
        <v>42644</v>
      </c>
      <c r="F99" s="229" t="s">
        <v>184</v>
      </c>
      <c r="G99" s="230" t="s">
        <v>69</v>
      </c>
      <c r="H99" s="225">
        <f>$C$38/12</f>
        <v>9.1666666666666665E-4</v>
      </c>
      <c r="I99" s="245">
        <f>(SUM('1.  LRAMVA Summary'!D$53:D$67)+SUM('1.  LRAMVA Summary'!D$68:D$69)*(MONTH($E99)-1)/12)*$H99</f>
        <v>441.41298376138991</v>
      </c>
      <c r="J99" s="245">
        <f>(SUM('1.  LRAMVA Summary'!E$53:E$67)+SUM('1.  LRAMVA Summary'!E$68:E$69)*(MONTH($E99)-1)/12)*$H99</f>
        <v>432.62227908410779</v>
      </c>
      <c r="K99" s="245">
        <f>(SUM('1.  LRAMVA Summary'!F$53:F$67)+SUM('1.  LRAMVA Summary'!F$68:F$69)*(MONTH($E99)-1)/12)*$H99</f>
        <v>699.34642680675563</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v>236.88771398173213</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40"/>
        <v>1804.135241015357</v>
      </c>
      <c r="Z99" s="9">
        <v>191.59007739450064</v>
      </c>
      <c r="AB99" s="990">
        <f t="shared" si="41"/>
        <v>42644</v>
      </c>
      <c r="AC99" s="991">
        <f>$C$38</f>
        <v>1.0999999999999999E-2</v>
      </c>
      <c r="AD99" s="993">
        <v>31</v>
      </c>
      <c r="AE99" s="994">
        <f t="shared" si="38"/>
        <v>9.3424657534246574E-4</v>
      </c>
      <c r="AF99" s="245">
        <f>(SUM('1.  LRAMVA Summary'!$D$62:$I$63))*$H99+'8. SL Adjustment'!$K$98</f>
        <v>32.383107356432276</v>
      </c>
      <c r="AG99" s="245">
        <f>(SUM('1.  LRAMVA Summary'!$D$65:$I$66))*$H99+'8. SL Adjustment'!$K$99</f>
        <v>80.484713824078938</v>
      </c>
      <c r="AH99" s="245">
        <f>(+SUM('1.  LRAMVA Summary'!$D$68:$I$69)*(MONTH($E99)-1)/12)*$H99+'8. SL Adjustment'!$K$100</f>
        <v>1691.2674198348459</v>
      </c>
      <c r="AI99" s="245"/>
      <c r="AJ99" s="245"/>
      <c r="AK99" s="245"/>
      <c r="AL99" s="245"/>
      <c r="AM99" s="245">
        <f t="shared" si="42"/>
        <v>1804.1352410153572</v>
      </c>
    </row>
    <row r="100" spans="2:39" s="9" customFormat="1">
      <c r="B100" s="68"/>
      <c r="E100" s="229">
        <v>42675</v>
      </c>
      <c r="F100" s="229" t="s">
        <v>184</v>
      </c>
      <c r="G100" s="230" t="s">
        <v>69</v>
      </c>
      <c r="H100" s="225">
        <f t="shared" ref="H100:H101" si="45">$C$38/12</f>
        <v>9.1666666666666665E-4</v>
      </c>
      <c r="I100" s="245">
        <f>(SUM('1.  LRAMVA Summary'!D$53:D$67)+SUM('1.  LRAMVA Summary'!D$68:D$69)*(MONTH($E100)-1)/12)*$H100</f>
        <v>490.45887084598877</v>
      </c>
      <c r="J100" s="245">
        <f>(SUM('1.  LRAMVA Summary'!E$53:E$67)+SUM('1.  LRAMVA Summary'!E$68:E$69)*(MONTH($E100)-1)/12)*$H100</f>
        <v>480.69142120456422</v>
      </c>
      <c r="K100" s="245">
        <f>(SUM('1.  LRAMVA Summary'!F$53:F$67)+SUM('1.  LRAMVA Summary'!F$68:F$69)*(MONTH($E100)-1)/12)*$H100</f>
        <v>777.05158534083955</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v>244.9651378778801</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40"/>
        <v>1986.3512790263519</v>
      </c>
      <c r="Z100" s="9">
        <v>204.37245673841042</v>
      </c>
      <c r="AB100" s="990">
        <f t="shared" si="41"/>
        <v>42675</v>
      </c>
      <c r="AC100" s="991">
        <f>AC99</f>
        <v>1.0999999999999999E-2</v>
      </c>
      <c r="AD100" s="993">
        <v>30</v>
      </c>
      <c r="AE100" s="994">
        <f t="shared" si="38"/>
        <v>9.041095890410959E-4</v>
      </c>
      <c r="AF100" s="245">
        <f>(SUM('1.  LRAMVA Summary'!$D$62:$I$63))*$H100+'8. SL Adjustment'!$L$98</f>
        <v>31.338490990095746</v>
      </c>
      <c r="AG100" s="245">
        <f>(SUM('1.  LRAMVA Summary'!$D$65:$I$66))*$H100+'8. SL Adjustment'!$L$99</f>
        <v>77.888432732979624</v>
      </c>
      <c r="AH100" s="245">
        <f>(+SUM('1.  LRAMVA Summary'!$D$68:$I$69)*(MONTH($E100)-1)/12)*$H100+'8. SL Adjustment'!$L$100</f>
        <v>1877.1243553032768</v>
      </c>
      <c r="AI100" s="245"/>
      <c r="AJ100" s="245"/>
      <c r="AK100" s="245"/>
      <c r="AL100" s="245"/>
      <c r="AM100" s="245">
        <f t="shared" si="42"/>
        <v>1986.3512790263521</v>
      </c>
    </row>
    <row r="101" spans="2:39" s="9" customFormat="1">
      <c r="B101" s="68"/>
      <c r="E101" s="229">
        <v>42705</v>
      </c>
      <c r="F101" s="229" t="s">
        <v>184</v>
      </c>
      <c r="G101" s="230" t="s">
        <v>69</v>
      </c>
      <c r="H101" s="225">
        <f t="shared" si="45"/>
        <v>9.1666666666666665E-4</v>
      </c>
      <c r="I101" s="245">
        <f>(SUM('1.  LRAMVA Summary'!D$53:D$67)+SUM('1.  LRAMVA Summary'!D$68:D$69)*(MONTH($E101)-1)/12)*$H101</f>
        <v>539.50475793058763</v>
      </c>
      <c r="J101" s="245">
        <f>(SUM('1.  LRAMVA Summary'!E$53:E$67)+SUM('1.  LRAMVA Summary'!E$68:E$69)*(MONTH($E101)-1)/12)*$H101</f>
        <v>528.76056332502071</v>
      </c>
      <c r="K101" s="245">
        <f>(SUM('1.  LRAMVA Summary'!F$53:F$67)+SUM('1.  LRAMVA Summary'!F$68:F$69)*(MONTH($E101)-1)/12)*$H101</f>
        <v>854.75674387492347</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v>269.69207906190752</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40"/>
        <v>2185.2168343252265</v>
      </c>
      <c r="Z101" s="9">
        <v>217.1548360823202</v>
      </c>
      <c r="AB101" s="990">
        <f t="shared" si="41"/>
        <v>42705</v>
      </c>
      <c r="AC101" s="991">
        <f>AC100</f>
        <v>1.0999999999999999E-2</v>
      </c>
      <c r="AD101" s="993">
        <v>31</v>
      </c>
      <c r="AE101" s="994">
        <f t="shared" si="38"/>
        <v>9.3424657534246574E-4</v>
      </c>
      <c r="AF101" s="245">
        <f>(SUM('1.  LRAMVA Summary'!$D$62:$I$63))*$H101+'8. SL Adjustment'!$M$98</f>
        <v>32.383107356432276</v>
      </c>
      <c r="AG101" s="245">
        <f>(SUM('1.  LRAMVA Summary'!$D$65:$I$66))*$H101+'8. SL Adjustment'!$M$99</f>
        <v>80.484713824078938</v>
      </c>
      <c r="AH101" s="245">
        <f>(+SUM('1.  LRAMVA Summary'!$D$68:$I$69)*(MONTH($E101)-1)/12)*$H101+'8. SL Adjustment'!$M$100</f>
        <v>2072.3490131447156</v>
      </c>
      <c r="AI101" s="245"/>
      <c r="AJ101" s="245"/>
      <c r="AK101" s="245"/>
      <c r="AL101" s="245"/>
      <c r="AM101" s="245">
        <f t="shared" si="42"/>
        <v>2185.216834325227</v>
      </c>
    </row>
    <row r="102" spans="2:39" s="9" customFormat="1" ht="15" thickBot="1">
      <c r="B102" s="68"/>
      <c r="E102" s="231" t="s">
        <v>472</v>
      </c>
      <c r="F102" s="231"/>
      <c r="G102" s="232"/>
      <c r="H102" s="233"/>
      <c r="I102" s="234">
        <f>SUM(I89:I101)</f>
        <v>3237.0285475835262</v>
      </c>
      <c r="J102" s="234">
        <f>SUM(J89:J101)</f>
        <v>3172.5633799501238</v>
      </c>
      <c r="K102" s="234">
        <f t="shared" ref="K102:O102" si="46">SUM(K89:K101)</f>
        <v>5128.5404632495411</v>
      </c>
      <c r="L102" s="234">
        <f t="shared" si="46"/>
        <v>-27.117939375632595</v>
      </c>
      <c r="M102" s="234">
        <f t="shared" si="46"/>
        <v>-17.039601005136372</v>
      </c>
      <c r="N102" s="234">
        <f t="shared" si="46"/>
        <v>-0.82631882250839139</v>
      </c>
      <c r="O102" s="234">
        <f t="shared" si="46"/>
        <v>3123.4922691448755</v>
      </c>
      <c r="P102" s="234">
        <f t="shared" ref="P102:V102" si="47">SUM(P89:P101)</f>
        <v>0</v>
      </c>
      <c r="Q102" s="234">
        <f t="shared" si="47"/>
        <v>0</v>
      </c>
      <c r="R102" s="234">
        <f t="shared" si="47"/>
        <v>0</v>
      </c>
      <c r="S102" s="234">
        <f t="shared" si="47"/>
        <v>0</v>
      </c>
      <c r="T102" s="234">
        <f t="shared" si="47"/>
        <v>0</v>
      </c>
      <c r="U102" s="234">
        <f t="shared" si="47"/>
        <v>0</v>
      </c>
      <c r="V102" s="234">
        <f t="shared" si="47"/>
        <v>0</v>
      </c>
      <c r="W102" s="234">
        <f>SUM(W89:W101)</f>
        <v>14616.640800724792</v>
      </c>
      <c r="Z102" s="9">
        <v>2405.8530324835738</v>
      </c>
      <c r="AF102" s="995">
        <f>SUM(AF89:AF101)</f>
        <v>957.22926553143407</v>
      </c>
      <c r="AG102" s="995">
        <f t="shared" ref="AG102:AH102" si="48">SUM(AG89:AG101)</f>
        <v>1279.3529589984839</v>
      </c>
      <c r="AH102" s="995">
        <f t="shared" si="48"/>
        <v>12380.058576194873</v>
      </c>
      <c r="AI102" s="995"/>
      <c r="AJ102" s="995"/>
      <c r="AK102" s="995"/>
      <c r="AL102" s="995"/>
      <c r="AM102" s="995">
        <f>SUM(AM89:AM101)</f>
        <v>14616.640800724792</v>
      </c>
    </row>
    <row r="103" spans="2:39"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39" s="9" customFormat="1">
      <c r="B104" s="68"/>
      <c r="E104" s="240" t="s">
        <v>435</v>
      </c>
      <c r="F104" s="240"/>
      <c r="G104" s="241"/>
      <c r="H104" s="242"/>
      <c r="I104" s="243">
        <f>I102+I103</f>
        <v>3237.0285475835262</v>
      </c>
      <c r="J104" s="243">
        <f t="shared" ref="J104" si="49">J102+J103</f>
        <v>3172.5633799501238</v>
      </c>
      <c r="K104" s="243">
        <f t="shared" ref="K104" si="50">K102+K103</f>
        <v>5128.5404632495411</v>
      </c>
      <c r="L104" s="243">
        <f t="shared" ref="L104" si="51">L102+L103</f>
        <v>-27.117939375632595</v>
      </c>
      <c r="M104" s="243">
        <f t="shared" ref="M104" si="52">M102+M103</f>
        <v>-17.039601005136372</v>
      </c>
      <c r="N104" s="243">
        <f t="shared" ref="N104" si="53">N102+N103</f>
        <v>-0.82631882250839139</v>
      </c>
      <c r="O104" s="243">
        <f t="shared" ref="O104:V104" si="54">O102+O103</f>
        <v>3123.4922691448755</v>
      </c>
      <c r="P104" s="243">
        <f t="shared" si="54"/>
        <v>0</v>
      </c>
      <c r="Q104" s="243">
        <f t="shared" si="54"/>
        <v>0</v>
      </c>
      <c r="R104" s="243">
        <f t="shared" si="54"/>
        <v>0</v>
      </c>
      <c r="S104" s="243">
        <f t="shared" si="54"/>
        <v>0</v>
      </c>
      <c r="T104" s="243">
        <f t="shared" si="54"/>
        <v>0</v>
      </c>
      <c r="U104" s="243">
        <f t="shared" si="54"/>
        <v>0</v>
      </c>
      <c r="V104" s="243">
        <f t="shared" si="54"/>
        <v>0</v>
      </c>
      <c r="W104" s="243">
        <f t="shared" ref="W104" si="55">W102+W103</f>
        <v>14616.640800724792</v>
      </c>
      <c r="Z104" s="9">
        <v>2405.8530324835738</v>
      </c>
      <c r="AF104" s="995">
        <f>AF102+AF103</f>
        <v>957.22926553143407</v>
      </c>
      <c r="AG104" s="995">
        <f t="shared" ref="AG104:AI104" si="56">AG102+AG103</f>
        <v>1279.3529589984839</v>
      </c>
      <c r="AH104" s="995">
        <f t="shared" si="56"/>
        <v>12380.058576194873</v>
      </c>
      <c r="AI104" s="995">
        <f t="shared" si="56"/>
        <v>0</v>
      </c>
      <c r="AJ104" s="995"/>
      <c r="AK104" s="995"/>
      <c r="AL104" s="995"/>
      <c r="AM104" s="995">
        <f>AM102+AM103</f>
        <v>14616.640800724792</v>
      </c>
    </row>
    <row r="105" spans="2:39" s="9" customFormat="1">
      <c r="B105" s="68"/>
      <c r="E105" s="229">
        <v>42736</v>
      </c>
      <c r="F105" s="229" t="s">
        <v>185</v>
      </c>
      <c r="G105" s="230" t="s">
        <v>65</v>
      </c>
      <c r="H105" s="255">
        <f>$C$39/12</f>
        <v>9.1666666666666665E-4</v>
      </c>
      <c r="I105" s="245">
        <f>(SUM('1.  LRAMVA Summary'!D$53:D$70)+SUM('1.  LRAMVA Summary'!D$71:D$72)*(MONTH($E105)-1)/12)*$H105</f>
        <v>588.55064501518655</v>
      </c>
      <c r="J105" s="245">
        <f>(SUM('1.  LRAMVA Summary'!E$53:E$70)+SUM('1.  LRAMVA Summary'!E$71:E$72)*(MONTH($E105)-1)/12)*$H105</f>
        <v>576.82970544547709</v>
      </c>
      <c r="K105" s="245">
        <f>(SUM('1.  LRAMVA Summary'!F$53:F$70)+SUM('1.  LRAMVA Summary'!F$71:F$72)*(MONTH($E105)-1)/12)*$H105</f>
        <v>932.46190240900739</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 t="array" ref="O105:O116">TRANSPOSE('8. SL Adjustment'!B122:M122)</f>
        <v>287.03777185726597</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2376.7011412354318</v>
      </c>
      <c r="Z105" s="9">
        <v>229.93721542622998</v>
      </c>
      <c r="AB105" s="990">
        <f>E105</f>
        <v>42736</v>
      </c>
      <c r="AC105" s="991">
        <f>$C$39</f>
        <v>1.0999999999999999E-2</v>
      </c>
      <c r="AD105" s="993">
        <v>31</v>
      </c>
      <c r="AE105" s="994">
        <f t="shared" ref="AE105:AE116" si="57">AC105/365*AD105</f>
        <v>9.3424657534246574E-4</v>
      </c>
      <c r="AF105" s="245">
        <f>(SUM('1.  LRAMVA Summary'!$D$62:$I$63))*$H105+'8. SL Adjustment'!$B$125</f>
        <v>32.471828198504689</v>
      </c>
      <c r="AG105" s="245">
        <f>(SUM('1.  LRAMVA Summary'!$D$65:$I$66))*$H105+'8. SL Adjustment'!$B$126</f>
        <v>80.705219889350388</v>
      </c>
      <c r="AH105" s="245">
        <f>(SUM('1.  LRAMVA Summary'!$D$68:$I$69))*$H105+'8. SL Adjustment'!$B$127</f>
        <v>2263.5240931475773</v>
      </c>
      <c r="AI105" s="245">
        <f>(+SUM('1.  LRAMVA Summary'!$D$71:$I$72)*(MONTH($E105)-1)/12)*$H105+'8. SL Adjustment'!$B$128</f>
        <v>0</v>
      </c>
      <c r="AJ105" s="245"/>
      <c r="AK105" s="245"/>
      <c r="AL105" s="245"/>
      <c r="AM105" s="245">
        <f>SUM(AF105:AL105)</f>
        <v>2376.7011412354323</v>
      </c>
    </row>
    <row r="106" spans="2:39" s="9" customFormat="1">
      <c r="B106" s="68"/>
      <c r="E106" s="229">
        <v>42767</v>
      </c>
      <c r="F106" s="229" t="s">
        <v>185</v>
      </c>
      <c r="G106" s="230" t="s">
        <v>65</v>
      </c>
      <c r="H106" s="255">
        <f t="shared" ref="H106:H107" si="58">$C$39/12</f>
        <v>9.1666666666666665E-4</v>
      </c>
      <c r="I106" s="245">
        <f>(SUM('1.  LRAMVA Summary'!D$53:D$70)+SUM('1.  LRAMVA Summary'!D$71:D$72)*(MONTH($E106)-1)/12)*$H106</f>
        <v>588.55064501518655</v>
      </c>
      <c r="J106" s="245">
        <f>(SUM('1.  LRAMVA Summary'!E$53:E$70)+SUM('1.  LRAMVA Summary'!E$71:E$72)*(MONTH($E106)-1)/12)*$H106</f>
        <v>576.82970544547709</v>
      </c>
      <c r="K106" s="245">
        <f>(SUM('1.  LRAMVA Summary'!F$53:F$70)+SUM('1.  LRAMVA Summary'!F$71:F$72)*(MONTH($E106)-1)/12)*$H106</f>
        <v>932.46190240900739</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v>259.25992296785313</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59">SUM(I106:V106)</f>
        <v>2348.923292346019</v>
      </c>
      <c r="Z106" s="9">
        <v>246.78657703549658</v>
      </c>
      <c r="AB106" s="990">
        <f t="shared" ref="AB106:AB116" si="60">E106</f>
        <v>42767</v>
      </c>
      <c r="AC106" s="991">
        <f>AC105</f>
        <v>1.0999999999999999E-2</v>
      </c>
      <c r="AD106" s="993">
        <v>28</v>
      </c>
      <c r="AE106" s="994">
        <f t="shared" si="57"/>
        <v>8.4383561643835612E-4</v>
      </c>
      <c r="AF106" s="245">
        <f>(SUM('1.  LRAMVA Summary'!$D$62:$I$63))*$H106+'8. SL Adjustment'!$C$125</f>
        <v>29.32939321155262</v>
      </c>
      <c r="AG106" s="245">
        <f>(SUM('1.  LRAMVA Summary'!$D$65:$I$66))*$H106+'8. SL Adjustment'!$C$126</f>
        <v>72.895037319413248</v>
      </c>
      <c r="AH106" s="245">
        <f>(SUM('1.  LRAMVA Summary'!$D$68:$I$69))*$H106+'8. SL Adjustment'!$C$127</f>
        <v>2246.6988618150535</v>
      </c>
      <c r="AI106" s="245">
        <f>(+SUM('1.  LRAMVA Summary'!$D$71:$I$72)*(MONTH($E106)-1)/12)*$H106+'8. SL Adjustment'!$C$128</f>
        <v>0</v>
      </c>
      <c r="AJ106" s="245"/>
      <c r="AK106" s="245"/>
      <c r="AL106" s="245"/>
      <c r="AM106" s="245">
        <f t="shared" ref="AM106:AM116" si="61">SUM(AF106:AL106)</f>
        <v>2348.9232923460195</v>
      </c>
    </row>
    <row r="107" spans="2:39" s="9" customFormat="1">
      <c r="B107" s="68"/>
      <c r="E107" s="229">
        <v>42795</v>
      </c>
      <c r="F107" s="229" t="s">
        <v>185</v>
      </c>
      <c r="G107" s="230" t="s">
        <v>65</v>
      </c>
      <c r="H107" s="255">
        <f t="shared" si="58"/>
        <v>9.1666666666666665E-4</v>
      </c>
      <c r="I107" s="245">
        <f>(SUM('1.  LRAMVA Summary'!D$53:D$70)+SUM('1.  LRAMVA Summary'!D$71:D$72)*(MONTH($E107)-1)/12)*$H107</f>
        <v>588.55064501518655</v>
      </c>
      <c r="J107" s="245">
        <f>(SUM('1.  LRAMVA Summary'!E$53:E$70)+SUM('1.  LRAMVA Summary'!E$71:E$72)*(MONTH($E107)-1)/12)*$H107</f>
        <v>576.82970544547709</v>
      </c>
      <c r="K107" s="245">
        <f>(SUM('1.  LRAMVA Summary'!F$53:F$70)+SUM('1.  LRAMVA Summary'!F$71:F$72)*(MONTH($E107)-1)/12)*$H107</f>
        <v>932.46190240900739</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v>287.03777185726597</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59"/>
        <v>2376.7011412354318</v>
      </c>
      <c r="Z107" s="9">
        <v>263.6359386447632</v>
      </c>
      <c r="AB107" s="990">
        <f t="shared" si="60"/>
        <v>42795</v>
      </c>
      <c r="AC107" s="991">
        <f>AC106</f>
        <v>1.0999999999999999E-2</v>
      </c>
      <c r="AD107" s="993">
        <v>31</v>
      </c>
      <c r="AE107" s="994">
        <f t="shared" si="57"/>
        <v>9.3424657534246574E-4</v>
      </c>
      <c r="AF107" s="245">
        <f>(SUM('1.  LRAMVA Summary'!$D$62:$I$63))*$H107+'8. SL Adjustment'!$D$125</f>
        <v>32.471828198504689</v>
      </c>
      <c r="AG107" s="245">
        <f>(SUM('1.  LRAMVA Summary'!$D$65:$I$66))*$H107+'8. SL Adjustment'!$D$126</f>
        <v>80.705219889350388</v>
      </c>
      <c r="AH107" s="245">
        <f>(SUM('1.  LRAMVA Summary'!$D$68:$I$69))*$H107+'8. SL Adjustment'!$D$127</f>
        <v>2263.5240931475773</v>
      </c>
      <c r="AI107" s="245">
        <f>(+SUM('1.  LRAMVA Summary'!$D$71:$I$72)*(MONTH($E107)-1)/12)*$H107+'8. SL Adjustment'!$D$128</f>
        <v>0</v>
      </c>
      <c r="AJ107" s="245"/>
      <c r="AK107" s="245"/>
      <c r="AL107" s="245"/>
      <c r="AM107" s="245">
        <f t="shared" si="61"/>
        <v>2376.7011412354323</v>
      </c>
    </row>
    <row r="108" spans="2:39" s="8" customFormat="1">
      <c r="B108" s="254"/>
      <c r="E108" s="229">
        <v>42826</v>
      </c>
      <c r="F108" s="229" t="s">
        <v>185</v>
      </c>
      <c r="G108" s="230" t="s">
        <v>66</v>
      </c>
      <c r="H108" s="255">
        <f>$C$40/12</f>
        <v>9.1666666666666665E-4</v>
      </c>
      <c r="I108" s="245">
        <f>(SUM('1.  LRAMVA Summary'!D$53:D$70)+SUM('1.  LRAMVA Summary'!D$71:D$72)*(MONTH($E108)-1)/12)*$H108</f>
        <v>588.55064501518655</v>
      </c>
      <c r="J108" s="245">
        <f>(SUM('1.  LRAMVA Summary'!E$53:E$70)+SUM('1.  LRAMVA Summary'!E$71:E$72)*(MONTH($E108)-1)/12)*$H108</f>
        <v>576.82970544547709</v>
      </c>
      <c r="K108" s="245">
        <f>(SUM('1.  LRAMVA Summary'!F$53:F$70)+SUM('1.  LRAMVA Summary'!F$71:F$72)*(MONTH($E108)-1)/12)*$H108</f>
        <v>932.46190240900739</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v>277.77848889412832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59"/>
        <v>2367.4418582722942</v>
      </c>
      <c r="Z108" s="8">
        <v>280.48530025402982</v>
      </c>
      <c r="AB108" s="990">
        <f t="shared" si="60"/>
        <v>42826</v>
      </c>
      <c r="AC108" s="991">
        <f>$C$40</f>
        <v>1.0999999999999999E-2</v>
      </c>
      <c r="AD108" s="993">
        <v>30</v>
      </c>
      <c r="AE108" s="994">
        <f t="shared" si="57"/>
        <v>9.041095890410959E-4</v>
      </c>
      <c r="AF108" s="245">
        <f>(SUM('1.  LRAMVA Summary'!$D$62:$I$63))*$H108+'8. SL Adjustment'!$E$125</f>
        <v>31.424349869520665</v>
      </c>
      <c r="AG108" s="245">
        <f>(SUM('1.  LRAMVA Summary'!$D$65:$I$66))*$H108+'8. SL Adjustment'!$E$126</f>
        <v>78.101825699371346</v>
      </c>
      <c r="AH108" s="245">
        <f>(SUM('1.  LRAMVA Summary'!$D$68:$I$69))*$H108+'8. SL Adjustment'!$E$127</f>
        <v>2257.9156827034026</v>
      </c>
      <c r="AI108" s="245">
        <f>(+SUM('1.  LRAMVA Summary'!$D$71:$I$72)*(MONTH($E108)-1)/12)*$H108+'8. SL Adjustment'!$E$128</f>
        <v>0</v>
      </c>
      <c r="AJ108" s="245"/>
      <c r="AK108" s="245"/>
      <c r="AL108" s="245"/>
      <c r="AM108" s="245">
        <f t="shared" si="61"/>
        <v>2367.4418582722947</v>
      </c>
    </row>
    <row r="109" spans="2:39" s="9" customFormat="1">
      <c r="B109" s="68"/>
      <c r="E109" s="229">
        <v>42856</v>
      </c>
      <c r="F109" s="229" t="s">
        <v>185</v>
      </c>
      <c r="G109" s="230" t="s">
        <v>66</v>
      </c>
      <c r="H109" s="255">
        <f t="shared" ref="H109:H110" si="62">$C$40/12</f>
        <v>9.1666666666666665E-4</v>
      </c>
      <c r="I109" s="245">
        <f>(SUM('1.  LRAMVA Summary'!D$53:D$70)+SUM('1.  LRAMVA Summary'!D$71:D$72)*(MONTH($E109)-1)/12)*$H109</f>
        <v>588.55064501518655</v>
      </c>
      <c r="J109" s="245">
        <f>(SUM('1.  LRAMVA Summary'!E$53:E$70)+SUM('1.  LRAMVA Summary'!E$71:E$72)*(MONTH($E109)-1)/12)*$H109</f>
        <v>576.82970544547709</v>
      </c>
      <c r="K109" s="245">
        <f>(SUM('1.  LRAMVA Summary'!F$53:F$70)+SUM('1.  LRAMVA Summary'!F$71:F$72)*(MONTH($E109)-1)/12)*$H109</f>
        <v>932.46190240900739</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v>287.03777185726597</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59"/>
        <v>2376.7011412354318</v>
      </c>
      <c r="Z109" s="9">
        <v>297.33466186329645</v>
      </c>
      <c r="AB109" s="990">
        <f t="shared" si="60"/>
        <v>42856</v>
      </c>
      <c r="AC109" s="991">
        <f>AC108</f>
        <v>1.0999999999999999E-2</v>
      </c>
      <c r="AD109" s="993">
        <v>31</v>
      </c>
      <c r="AE109" s="994">
        <f t="shared" si="57"/>
        <v>9.3424657534246574E-4</v>
      </c>
      <c r="AF109" s="245">
        <f>(SUM('1.  LRAMVA Summary'!$D$62:$I$63))*$H109+'8. SL Adjustment'!$F$125</f>
        <v>32.471828198504689</v>
      </c>
      <c r="AG109" s="245">
        <f>(SUM('1.  LRAMVA Summary'!$D$65:$I$66))*$H109+'8. SL Adjustment'!$F$126</f>
        <v>80.705219889350388</v>
      </c>
      <c r="AH109" s="245">
        <f>(SUM('1.  LRAMVA Summary'!$D$68:$I$69))*$H109+'8. SL Adjustment'!$F$127</f>
        <v>2263.5240931475773</v>
      </c>
      <c r="AI109" s="245">
        <f>(+SUM('1.  LRAMVA Summary'!$D$71:$I$72)*(MONTH($E109)-1)/12)*$H109+'8. SL Adjustment'!$F$128</f>
        <v>0</v>
      </c>
      <c r="AJ109" s="245"/>
      <c r="AK109" s="245"/>
      <c r="AL109" s="245"/>
      <c r="AM109" s="245">
        <f t="shared" si="61"/>
        <v>2376.7011412354323</v>
      </c>
    </row>
    <row r="110" spans="2:39" s="253" customFormat="1">
      <c r="B110" s="252"/>
      <c r="E110" s="229">
        <v>42887</v>
      </c>
      <c r="F110" s="229" t="s">
        <v>185</v>
      </c>
      <c r="G110" s="230" t="s">
        <v>66</v>
      </c>
      <c r="H110" s="255">
        <f t="shared" si="62"/>
        <v>9.1666666666666665E-4</v>
      </c>
      <c r="I110" s="245">
        <f>(SUM('1.  LRAMVA Summary'!D$53:D$70)+SUM('1.  LRAMVA Summary'!D$71:D$72)*(MONTH($E110)-1)/12)*$H110</f>
        <v>588.55064501518655</v>
      </c>
      <c r="J110" s="245">
        <f>(SUM('1.  LRAMVA Summary'!E$53:E$70)+SUM('1.  LRAMVA Summary'!E$71:E$72)*(MONTH($E110)-1)/12)*$H110</f>
        <v>576.82970544547709</v>
      </c>
      <c r="K110" s="245">
        <f>(SUM('1.  LRAMVA Summary'!F$53:F$70)+SUM('1.  LRAMVA Summary'!F$71:F$72)*(MONTH($E110)-1)/12)*$H110</f>
        <v>932.46190240900739</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v>277.77848889412832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59"/>
        <v>2367.4418582722942</v>
      </c>
      <c r="Z110" s="253">
        <v>314.18402347256301</v>
      </c>
      <c r="AB110" s="990">
        <f t="shared" si="60"/>
        <v>42887</v>
      </c>
      <c r="AC110" s="991">
        <f>AC109</f>
        <v>1.0999999999999999E-2</v>
      </c>
      <c r="AD110" s="993">
        <v>30</v>
      </c>
      <c r="AE110" s="994">
        <f t="shared" si="57"/>
        <v>9.041095890410959E-4</v>
      </c>
      <c r="AF110" s="245">
        <f>(SUM('1.  LRAMVA Summary'!$D$62:$I$63))*$H110+'8. SL Adjustment'!$G$125</f>
        <v>31.424349869520665</v>
      </c>
      <c r="AG110" s="245">
        <f>(SUM('1.  LRAMVA Summary'!$D$65:$I$66))*$H110+'8. SL Adjustment'!$G$126</f>
        <v>78.101825699371346</v>
      </c>
      <c r="AH110" s="245">
        <f>(SUM('1.  LRAMVA Summary'!$D$68:$I$69))*$H110+'8. SL Adjustment'!$G$127</f>
        <v>2257.9156827034026</v>
      </c>
      <c r="AI110" s="245">
        <f>(+SUM('1.  LRAMVA Summary'!$D$71:$I$72)*(MONTH($E110)-1)/12)*$H110+'8. SL Adjustment'!$G$128</f>
        <v>0</v>
      </c>
      <c r="AJ110" s="245"/>
      <c r="AK110" s="245"/>
      <c r="AL110" s="245"/>
      <c r="AM110" s="245">
        <f t="shared" si="61"/>
        <v>2367.4418582722947</v>
      </c>
    </row>
    <row r="111" spans="2:39" s="9" customFormat="1">
      <c r="B111" s="68"/>
      <c r="E111" s="229">
        <v>42917</v>
      </c>
      <c r="F111" s="229" t="s">
        <v>185</v>
      </c>
      <c r="G111" s="230" t="s">
        <v>68</v>
      </c>
      <c r="H111" s="255">
        <f>$C$41/12</f>
        <v>9.1666666666666665E-4</v>
      </c>
      <c r="I111" s="245">
        <f>(SUM('1.  LRAMVA Summary'!D$53:D$70)+SUM('1.  LRAMVA Summary'!D$71:D$72)*(MONTH($E111)-1)/12)*$H111</f>
        <v>588.55064501518655</v>
      </c>
      <c r="J111" s="245">
        <f>(SUM('1.  LRAMVA Summary'!E$53:E$70)+SUM('1.  LRAMVA Summary'!E$71:E$72)*(MONTH($E111)-1)/12)*$H111</f>
        <v>576.82970544547709</v>
      </c>
      <c r="K111" s="245">
        <f>(SUM('1.  LRAMVA Summary'!F$53:F$70)+SUM('1.  LRAMVA Summary'!F$71:F$72)*(MONTH($E111)-1)/12)*$H111</f>
        <v>932.46190240900739</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v>287.03777185726597</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59"/>
        <v>2376.7011412354318</v>
      </c>
      <c r="Z111" s="9">
        <v>331.03338508182969</v>
      </c>
      <c r="AB111" s="990">
        <f t="shared" si="60"/>
        <v>42917</v>
      </c>
      <c r="AC111" s="991">
        <f>$C$41</f>
        <v>1.0999999999999999E-2</v>
      </c>
      <c r="AD111" s="993">
        <v>31</v>
      </c>
      <c r="AE111" s="994">
        <f t="shared" si="57"/>
        <v>9.3424657534246574E-4</v>
      </c>
      <c r="AF111" s="245">
        <f>(SUM('1.  LRAMVA Summary'!$D$62:$I$63))*$H111+'8. SL Adjustment'!$H$125</f>
        <v>32.471828198504689</v>
      </c>
      <c r="AG111" s="245">
        <f>(SUM('1.  LRAMVA Summary'!$D$65:$I$66))*$H111+'8. SL Adjustment'!$H$126</f>
        <v>80.705219889350388</v>
      </c>
      <c r="AH111" s="245">
        <f>(SUM('1.  LRAMVA Summary'!$D$68:$I$69))*$H111+'8. SL Adjustment'!$H$127</f>
        <v>2263.5240931475773</v>
      </c>
      <c r="AI111" s="245">
        <f>(+SUM('1.  LRAMVA Summary'!$D$71:$I$72)*(MONTH($E111)-1)/12)*$H111+'8. SL Adjustment'!$H$128</f>
        <v>0</v>
      </c>
      <c r="AJ111" s="245"/>
      <c r="AK111" s="245"/>
      <c r="AL111" s="245"/>
      <c r="AM111" s="245">
        <f t="shared" si="61"/>
        <v>2376.7011412354323</v>
      </c>
    </row>
    <row r="112" spans="2:39" s="9" customFormat="1">
      <c r="B112" s="68"/>
      <c r="E112" s="229">
        <v>42948</v>
      </c>
      <c r="F112" s="229" t="s">
        <v>185</v>
      </c>
      <c r="G112" s="230" t="s">
        <v>68</v>
      </c>
      <c r="H112" s="255">
        <f t="shared" ref="H112:H113" si="63">$C$41/12</f>
        <v>9.1666666666666665E-4</v>
      </c>
      <c r="I112" s="245">
        <f>(SUM('1.  LRAMVA Summary'!D$53:D$70)+SUM('1.  LRAMVA Summary'!D$71:D$72)*(MONTH($E112)-1)/12)*$H112</f>
        <v>588.55064501518655</v>
      </c>
      <c r="J112" s="245">
        <f>(SUM('1.  LRAMVA Summary'!E$53:E$70)+SUM('1.  LRAMVA Summary'!E$71:E$72)*(MONTH($E112)-1)/12)*$H112</f>
        <v>576.82970544547709</v>
      </c>
      <c r="K112" s="245">
        <f>(SUM('1.  LRAMVA Summary'!F$53:F$70)+SUM('1.  LRAMVA Summary'!F$71:F$72)*(MONTH($E112)-1)/12)*$H112</f>
        <v>932.46190240900739</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v>287.03777185726597</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59"/>
        <v>2376.7011412354318</v>
      </c>
      <c r="Z112" s="9">
        <v>347.88274669109632</v>
      </c>
      <c r="AB112" s="990">
        <f t="shared" si="60"/>
        <v>42948</v>
      </c>
      <c r="AC112" s="991">
        <f>AC111</f>
        <v>1.0999999999999999E-2</v>
      </c>
      <c r="AD112" s="993">
        <v>31</v>
      </c>
      <c r="AE112" s="994">
        <f t="shared" si="57"/>
        <v>9.3424657534246574E-4</v>
      </c>
      <c r="AF112" s="245">
        <f>(SUM('1.  LRAMVA Summary'!$D$62:$I$63))*$H112+'8. SL Adjustment'!$I$125</f>
        <v>32.471828198504689</v>
      </c>
      <c r="AG112" s="245">
        <f>(SUM('1.  LRAMVA Summary'!$D$65:$I$66))*$H112+'8. SL Adjustment'!$I$126</f>
        <v>80.705219889350388</v>
      </c>
      <c r="AH112" s="245">
        <f>(SUM('1.  LRAMVA Summary'!$D$68:$I$69))*$H112+'8. SL Adjustment'!$I$127</f>
        <v>2263.5240931475773</v>
      </c>
      <c r="AI112" s="245">
        <f>(+SUM('1.  LRAMVA Summary'!$D$71:$I$72)*(MONTH($E112)-1)/12)*$H112+'8. SL Adjustment'!$I$128</f>
        <v>0</v>
      </c>
      <c r="AJ112" s="245"/>
      <c r="AK112" s="245"/>
      <c r="AL112" s="245"/>
      <c r="AM112" s="245">
        <f t="shared" si="61"/>
        <v>2376.7011412354323</v>
      </c>
    </row>
    <row r="113" spans="2:39" s="9" customFormat="1">
      <c r="B113" s="68"/>
      <c r="E113" s="229">
        <v>42979</v>
      </c>
      <c r="F113" s="229" t="s">
        <v>185</v>
      </c>
      <c r="G113" s="230" t="s">
        <v>68</v>
      </c>
      <c r="H113" s="255">
        <f t="shared" si="63"/>
        <v>9.1666666666666665E-4</v>
      </c>
      <c r="I113" s="245">
        <f>(SUM('1.  LRAMVA Summary'!D$53:D$70)+SUM('1.  LRAMVA Summary'!D$71:D$72)*(MONTH($E113)-1)/12)*$H113</f>
        <v>588.55064501518655</v>
      </c>
      <c r="J113" s="245">
        <f>(SUM('1.  LRAMVA Summary'!E$53:E$70)+SUM('1.  LRAMVA Summary'!E$71:E$72)*(MONTH($E113)-1)/12)*$H113</f>
        <v>576.82970544547709</v>
      </c>
      <c r="K113" s="245">
        <f>(SUM('1.  LRAMVA Summary'!F$53:F$70)+SUM('1.  LRAMVA Summary'!F$71:F$72)*(MONTH($E113)-1)/12)*$H113</f>
        <v>932.46190240900739</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v>277.77848889412832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59"/>
        <v>2367.4418582722942</v>
      </c>
      <c r="Z113" s="9">
        <v>364.73210830036294</v>
      </c>
      <c r="AB113" s="990">
        <f t="shared" si="60"/>
        <v>42979</v>
      </c>
      <c r="AC113" s="991">
        <f>AC112</f>
        <v>1.0999999999999999E-2</v>
      </c>
      <c r="AD113" s="993">
        <v>30</v>
      </c>
      <c r="AE113" s="994">
        <f t="shared" si="57"/>
        <v>9.041095890410959E-4</v>
      </c>
      <c r="AF113" s="245">
        <f>(SUM('1.  LRAMVA Summary'!$D$62:$I$63))*$H113+'8. SL Adjustment'!$J$125</f>
        <v>31.424349869520665</v>
      </c>
      <c r="AG113" s="245">
        <f>(SUM('1.  LRAMVA Summary'!$D$65:$I$66))*$H113+'8. SL Adjustment'!$J$126</f>
        <v>78.101825699371346</v>
      </c>
      <c r="AH113" s="245">
        <f>(SUM('1.  LRAMVA Summary'!$D$68:$I$69))*$H113+'8. SL Adjustment'!$J$127</f>
        <v>2257.9156827034026</v>
      </c>
      <c r="AI113" s="245">
        <f>(+SUM('1.  LRAMVA Summary'!$D$71:$I$72)*(MONTH($E113)-1)/12)*$H113+'8. SL Adjustment'!$J$128</f>
        <v>0</v>
      </c>
      <c r="AJ113" s="245"/>
      <c r="AK113" s="245"/>
      <c r="AL113" s="245"/>
      <c r="AM113" s="245">
        <f t="shared" si="61"/>
        <v>2367.4418582722947</v>
      </c>
    </row>
    <row r="114" spans="2:39" s="9" customFormat="1">
      <c r="B114" s="68"/>
      <c r="E114" s="229">
        <v>43009</v>
      </c>
      <c r="F114" s="229" t="s">
        <v>185</v>
      </c>
      <c r="G114" s="230" t="s">
        <v>69</v>
      </c>
      <c r="H114" s="255">
        <f>$C$42/12</f>
        <v>1.25E-3</v>
      </c>
      <c r="I114" s="245">
        <f>(SUM('1.  LRAMVA Summary'!D$53:D$70)+SUM('1.  LRAMVA Summary'!D$71:D$72)*(MONTH($E114)-1)/12)*$H114</f>
        <v>802.56906138434533</v>
      </c>
      <c r="J114" s="245">
        <f>(SUM('1.  LRAMVA Summary'!E$53:E$70)+SUM('1.  LRAMVA Summary'!E$71:E$72)*(MONTH($E114)-1)/12)*$H114</f>
        <v>786.58596197110512</v>
      </c>
      <c r="K114" s="245">
        <f>(SUM('1.  LRAMVA Summary'!F$53:F$70)+SUM('1.  LRAMVA Summary'!F$71:F$72)*(MONTH($E114)-1)/12)*$H114</f>
        <v>1271.5389578304646</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v>391.41514344172623</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59"/>
        <v>3240.9561016846797</v>
      </c>
      <c r="Z114" s="9">
        <v>520.33836805858573</v>
      </c>
      <c r="AB114" s="990">
        <f t="shared" si="60"/>
        <v>43009</v>
      </c>
      <c r="AC114" s="991">
        <f>$C$42</f>
        <v>1.4999999999999999E-2</v>
      </c>
      <c r="AD114" s="993">
        <v>31</v>
      </c>
      <c r="AE114" s="994">
        <f t="shared" si="57"/>
        <v>1.2739726027397261E-3</v>
      </c>
      <c r="AF114" s="245">
        <f>(SUM('1.  LRAMVA Summary'!$D$62:$I$63))*$H114+'8. SL Adjustment'!$K$125</f>
        <v>44.279765725233666</v>
      </c>
      <c r="AG114" s="245">
        <f>(SUM('1.  LRAMVA Summary'!$D$65:$I$66))*$H114+'8. SL Adjustment'!$K$126</f>
        <v>110.05257257638688</v>
      </c>
      <c r="AH114" s="245">
        <f>(SUM('1.  LRAMVA Summary'!$D$68:$I$69))*$H114+'8. SL Adjustment'!$K$127</f>
        <v>3086.6237633830601</v>
      </c>
      <c r="AI114" s="245">
        <f>(+SUM('1.  LRAMVA Summary'!$D$71:$I$72)*(MONTH($E114)-1)/12)*$H114+'8. SL Adjustment'!$K$128</f>
        <v>0</v>
      </c>
      <c r="AJ114" s="245"/>
      <c r="AK114" s="245"/>
      <c r="AL114" s="245"/>
      <c r="AM114" s="245">
        <f t="shared" si="61"/>
        <v>3240.9561016846806</v>
      </c>
    </row>
    <row r="115" spans="2:39" s="9" customFormat="1">
      <c r="B115" s="68"/>
      <c r="E115" s="229">
        <v>43040</v>
      </c>
      <c r="F115" s="229" t="s">
        <v>185</v>
      </c>
      <c r="G115" s="230" t="s">
        <v>69</v>
      </c>
      <c r="H115" s="255">
        <f t="shared" ref="H115:H116" si="64">$C$42/12</f>
        <v>1.25E-3</v>
      </c>
      <c r="I115" s="245">
        <f>(SUM('1.  LRAMVA Summary'!D$53:D$70)+SUM('1.  LRAMVA Summary'!D$71:D$72)*(MONTH($E115)-1)/12)*$H115</f>
        <v>802.56906138434533</v>
      </c>
      <c r="J115" s="245">
        <f>(SUM('1.  LRAMVA Summary'!E$53:E$70)+SUM('1.  LRAMVA Summary'!E$71:E$72)*(MONTH($E115)-1)/12)*$H115</f>
        <v>786.58596197110512</v>
      </c>
      <c r="K115" s="245">
        <f>(SUM('1.  LRAMVA Summary'!F$53:F$70)+SUM('1.  LRAMVA Summary'!F$71:F$72)*(MONTH($E115)-1)/12)*$H115</f>
        <v>1271.5389578304646</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v>378.78884849199318</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59"/>
        <v>3228.3298067349465</v>
      </c>
      <c r="Z115" s="9">
        <v>543.31477025304025</v>
      </c>
      <c r="AB115" s="990">
        <f t="shared" si="60"/>
        <v>43040</v>
      </c>
      <c r="AC115" s="991">
        <f>AC114</f>
        <v>1.4999999999999999E-2</v>
      </c>
      <c r="AD115" s="993">
        <v>30</v>
      </c>
      <c r="AE115" s="994">
        <f t="shared" si="57"/>
        <v>1.2328767123287671E-3</v>
      </c>
      <c r="AF115" s="245">
        <f>(SUM('1.  LRAMVA Summary'!$D$62:$I$63))*$H115+'8. SL Adjustment'!$L$125</f>
        <v>42.851386185709998</v>
      </c>
      <c r="AG115" s="245">
        <f>(SUM('1.  LRAMVA Summary'!$D$65:$I$66))*$H115+'8. SL Adjustment'!$L$126</f>
        <v>106.50248959005181</v>
      </c>
      <c r="AH115" s="245">
        <f>(SUM('1.  LRAMVA Summary'!$D$68:$I$69))*$H115+'8. SL Adjustment'!$L$127</f>
        <v>3078.9759309591855</v>
      </c>
      <c r="AI115" s="245">
        <f>(+SUM('1.  LRAMVA Summary'!$D$71:$I$72)*(MONTH($E115)-1)/12)*$H115+'8. SL Adjustment'!$L$128</f>
        <v>0</v>
      </c>
      <c r="AJ115" s="245"/>
      <c r="AK115" s="245"/>
      <c r="AL115" s="245"/>
      <c r="AM115" s="245">
        <f t="shared" si="61"/>
        <v>3228.3298067349474</v>
      </c>
    </row>
    <row r="116" spans="2:39" s="9" customFormat="1">
      <c r="B116" s="68"/>
      <c r="E116" s="229">
        <v>43070</v>
      </c>
      <c r="F116" s="229" t="s">
        <v>185</v>
      </c>
      <c r="G116" s="230" t="s">
        <v>69</v>
      </c>
      <c r="H116" s="255">
        <f t="shared" si="64"/>
        <v>1.25E-3</v>
      </c>
      <c r="I116" s="245">
        <f>(SUM('1.  LRAMVA Summary'!D$53:D$70)+SUM('1.  LRAMVA Summary'!D$71:D$72)*(MONTH($E116)-1)/12)*$H116</f>
        <v>802.56906138434533</v>
      </c>
      <c r="J116" s="245">
        <f>(SUM('1.  LRAMVA Summary'!E$53:E$70)+SUM('1.  LRAMVA Summary'!E$71:E$72)*(MONTH($E116)-1)/12)*$H116</f>
        <v>786.58596197110512</v>
      </c>
      <c r="K116" s="245">
        <f>(SUM('1.  LRAMVA Summary'!F$53:F$70)+SUM('1.  LRAMVA Summary'!F$71:F$72)*(MONTH($E116)-1)/12)*$H116</f>
        <v>1271.5389578304646</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v>391.41514344172623</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59"/>
        <v>3240.9561016846797</v>
      </c>
      <c r="Z116" s="9">
        <v>566.29117244749477</v>
      </c>
      <c r="AB116" s="990">
        <f t="shared" si="60"/>
        <v>43070</v>
      </c>
      <c r="AC116" s="991">
        <f>AC115</f>
        <v>1.4999999999999999E-2</v>
      </c>
      <c r="AD116" s="993">
        <v>31</v>
      </c>
      <c r="AE116" s="994">
        <f t="shared" si="57"/>
        <v>1.2739726027397261E-3</v>
      </c>
      <c r="AF116" s="245">
        <f>(SUM('1.  LRAMVA Summary'!$D$62:$I$63))*$H116+'8. SL Adjustment'!$M$125</f>
        <v>44.279765725233666</v>
      </c>
      <c r="AG116" s="245">
        <f>(SUM('1.  LRAMVA Summary'!$D$65:$I$66))*$H116+'8. SL Adjustment'!$M$126</f>
        <v>110.05257257638688</v>
      </c>
      <c r="AH116" s="245">
        <f>(SUM('1.  LRAMVA Summary'!$D$68:$I$69))*$H116+'8. SL Adjustment'!$M$127</f>
        <v>3086.6237633830601</v>
      </c>
      <c r="AI116" s="245">
        <f>(+SUM('1.  LRAMVA Summary'!$D$71:$I$72)*(MONTH($E116)-1)/12)*$H116+'8. SL Adjustment'!$M$128</f>
        <v>0</v>
      </c>
      <c r="AJ116" s="245"/>
      <c r="AK116" s="245"/>
      <c r="AL116" s="245"/>
      <c r="AM116" s="245">
        <f t="shared" si="61"/>
        <v>3240.9561016846806</v>
      </c>
    </row>
    <row r="117" spans="2:39" s="9" customFormat="1" ht="15" thickBot="1">
      <c r="B117" s="68"/>
      <c r="E117" s="231" t="s">
        <v>473</v>
      </c>
      <c r="F117" s="231"/>
      <c r="G117" s="232"/>
      <c r="H117" s="233"/>
      <c r="I117" s="234">
        <f>SUM(I104:I116)</f>
        <v>10941.691536873239</v>
      </c>
      <c r="J117" s="234">
        <f>SUM(J104:J116)</f>
        <v>10723.78861487273</v>
      </c>
      <c r="K117" s="234">
        <f t="shared" ref="K117:O117" si="65">SUM(K104:K116)</f>
        <v>17335.314458422003</v>
      </c>
      <c r="L117" s="234">
        <f t="shared" si="65"/>
        <v>-91.663117393667179</v>
      </c>
      <c r="M117" s="234">
        <f t="shared" si="65"/>
        <v>-57.596667860336993</v>
      </c>
      <c r="N117" s="234">
        <f t="shared" si="65"/>
        <v>-2.7930942017019187</v>
      </c>
      <c r="O117" s="234">
        <f t="shared" si="65"/>
        <v>6812.8956534568906</v>
      </c>
      <c r="P117" s="234">
        <f t="shared" ref="P117:V117" si="66">SUM(P104:P116)</f>
        <v>0</v>
      </c>
      <c r="Q117" s="234">
        <f t="shared" si="66"/>
        <v>0</v>
      </c>
      <c r="R117" s="234">
        <f t="shared" si="66"/>
        <v>0</v>
      </c>
      <c r="S117" s="234">
        <f t="shared" si="66"/>
        <v>0</v>
      </c>
      <c r="T117" s="234">
        <f t="shared" si="66"/>
        <v>0</v>
      </c>
      <c r="U117" s="234">
        <f t="shared" si="66"/>
        <v>0</v>
      </c>
      <c r="V117" s="234">
        <f t="shared" si="66"/>
        <v>0</v>
      </c>
      <c r="W117" s="234">
        <f>SUM(W104:W116)</f>
        <v>45661.63738416916</v>
      </c>
      <c r="Z117" s="9">
        <v>6711.8093000123627</v>
      </c>
      <c r="AF117" s="995">
        <f>SUM(AF104:AF116)</f>
        <v>1374.6017669802495</v>
      </c>
      <c r="AG117" s="995">
        <f t="shared" ref="AG117:AI117" si="67">SUM(AG104:AG116)</f>
        <v>2316.6872076055893</v>
      </c>
      <c r="AH117" s="995">
        <f t="shared" si="67"/>
        <v>41970.348409583326</v>
      </c>
      <c r="AI117" s="995">
        <f t="shared" si="67"/>
        <v>0</v>
      </c>
      <c r="AJ117" s="995"/>
      <c r="AK117" s="995"/>
      <c r="AL117" s="995"/>
      <c r="AM117" s="995">
        <f>SUM(AM104:AM116)</f>
        <v>45661.63738416916</v>
      </c>
    </row>
    <row r="118" spans="2:39"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39" s="9" customFormat="1">
      <c r="B119" s="68"/>
      <c r="E119" s="240" t="s">
        <v>436</v>
      </c>
      <c r="F119" s="240"/>
      <c r="G119" s="241"/>
      <c r="H119" s="242"/>
      <c r="I119" s="243">
        <f>I117+I118</f>
        <v>10941.691536873239</v>
      </c>
      <c r="J119" s="243">
        <f t="shared" ref="J119" si="68">J117+J118</f>
        <v>10723.78861487273</v>
      </c>
      <c r="K119" s="243">
        <f t="shared" ref="K119" si="69">K117+K118</f>
        <v>17335.314458422003</v>
      </c>
      <c r="L119" s="243">
        <f t="shared" ref="L119" si="70">L117+L118</f>
        <v>-91.663117393667179</v>
      </c>
      <c r="M119" s="243">
        <f t="shared" ref="M119" si="71">M117+M118</f>
        <v>-57.596667860336993</v>
      </c>
      <c r="N119" s="243">
        <f t="shared" ref="N119" si="72">N117+N118</f>
        <v>-2.7930942017019187</v>
      </c>
      <c r="O119" s="243">
        <f t="shared" ref="O119:V119" si="73">O117+O118</f>
        <v>6812.8956534568906</v>
      </c>
      <c r="P119" s="243">
        <f t="shared" si="73"/>
        <v>0</v>
      </c>
      <c r="Q119" s="243">
        <f t="shared" si="73"/>
        <v>0</v>
      </c>
      <c r="R119" s="243">
        <f t="shared" si="73"/>
        <v>0</v>
      </c>
      <c r="S119" s="243">
        <f t="shared" si="73"/>
        <v>0</v>
      </c>
      <c r="T119" s="243">
        <f t="shared" si="73"/>
        <v>0</v>
      </c>
      <c r="U119" s="243">
        <f t="shared" si="73"/>
        <v>0</v>
      </c>
      <c r="V119" s="243">
        <f t="shared" si="73"/>
        <v>0</v>
      </c>
      <c r="W119" s="243">
        <f t="shared" ref="W119" si="74">W117+W118</f>
        <v>45661.63738416916</v>
      </c>
    </row>
    <row r="120" spans="2:39" s="9" customFormat="1">
      <c r="B120" s="68"/>
      <c r="E120" s="229">
        <v>43101</v>
      </c>
      <c r="F120" s="229" t="s">
        <v>186</v>
      </c>
      <c r="G120" s="230" t="s">
        <v>65</v>
      </c>
      <c r="H120" s="255">
        <f>$C$43/12</f>
        <v>1.25E-3</v>
      </c>
      <c r="I120" s="245">
        <f>(SUM('1.  LRAMVA Summary'!D$53:D$73)+SUM('1.  LRAMVA Summary'!D$74:D$75)*(MONTH($E120)-1)/12)*$H120</f>
        <v>802.56906138434533</v>
      </c>
      <c r="J120" s="245">
        <f>(SUM('1.  LRAMVA Summary'!E$53:E$73)+SUM('1.  LRAMVA Summary'!E$74:E$75)*(MONTH($E120)-1)/12)*$H120</f>
        <v>786.58596197110512</v>
      </c>
      <c r="K120" s="245">
        <f>(SUM('1.  LRAMVA Summary'!F$53:F$73)+SUM('1.  LRAMVA Summary'!F$74:F$75)*(MONTH($E120)-1)/12)*$H120</f>
        <v>1271.5389578304646</v>
      </c>
      <c r="L120" s="245">
        <f>(SUM('1.  LRAMVA Summary'!G$53:G$73)+SUM('1.  LRAMVA Summary'!G$74:G$75)*(MONTH($E120)-1)/12)*$H120</f>
        <v>-6.7234560435452702</v>
      </c>
      <c r="M120" s="245">
        <f>(SUM('1.  LRAMVA Summary'!H$53:H$73)+SUM('1.  LRAMVA Summary'!H$74:H$75)*(MONTH($E120)-1)/12)*$H120</f>
        <v>-4.2246944640833979</v>
      </c>
      <c r="N120" s="245">
        <f>(SUM('1.  LRAMVA Summary'!I$53:I$73)+SUM('1.  LRAMVA Summary'!I$74:I$75)*(MONTH($E120)-1)/12)*$H120</f>
        <v>-0.20487243533265903</v>
      </c>
      <c r="O120" s="245">
        <f>(SUM('1.  LRAMVA Summary'!J$53:J$73)+SUM('1.  LRAMVA Summary'!J$74:J$75)*(MONTH($E120)-1)/12)*$H120</f>
        <v>208.41521520334209</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3057.9561734462955</v>
      </c>
      <c r="AB120" s="990">
        <f>E120</f>
        <v>43101</v>
      </c>
    </row>
    <row r="121" spans="2:39" s="9" customFormat="1">
      <c r="B121" s="68"/>
      <c r="E121" s="229">
        <v>43132</v>
      </c>
      <c r="F121" s="229" t="s">
        <v>186</v>
      </c>
      <c r="G121" s="230" t="s">
        <v>65</v>
      </c>
      <c r="H121" s="255">
        <f t="shared" ref="H121:H122" si="75">$C$43/12</f>
        <v>1.25E-3</v>
      </c>
      <c r="I121" s="245">
        <f>(SUM('1.  LRAMVA Summary'!D$53:D$73)+SUM('1.  LRAMVA Summary'!D$74:D$75)*(MONTH($E121)-1)/12)*$H121</f>
        <v>802.56906138434533</v>
      </c>
      <c r="J121" s="245">
        <f>(SUM('1.  LRAMVA Summary'!E$53:E$73)+SUM('1.  LRAMVA Summary'!E$74:E$75)*(MONTH($E121)-1)/12)*$H121</f>
        <v>786.58596197110512</v>
      </c>
      <c r="K121" s="245">
        <f>(SUM('1.  LRAMVA Summary'!F$53:F$73)+SUM('1.  LRAMVA Summary'!F$74:F$75)*(MONTH($E121)-1)/12)*$H121</f>
        <v>1271.5389578304646</v>
      </c>
      <c r="L121" s="245">
        <f>(SUM('1.  LRAMVA Summary'!G$53:G$73)+SUM('1.  LRAMVA Summary'!G$74:G$75)*(MONTH($E121)-1)/12)*$H121</f>
        <v>-6.7234560435452702</v>
      </c>
      <c r="M121" s="245">
        <f>(SUM('1.  LRAMVA Summary'!H$53:H$73)+SUM('1.  LRAMVA Summary'!H$74:H$75)*(MONTH($E121)-1)/12)*$H121</f>
        <v>-4.2246944640833979</v>
      </c>
      <c r="N121" s="245">
        <f>(SUM('1.  LRAMVA Summary'!I$53:I$73)+SUM('1.  LRAMVA Summary'!I$74:I$75)*(MONTH($E121)-1)/12)*$H121</f>
        <v>-0.20487243533265903</v>
      </c>
      <c r="O121" s="245">
        <f>(SUM('1.  LRAMVA Summary'!J$53:J$73)+SUM('1.  LRAMVA Summary'!J$74:J$75)*(MONTH($E121)-1)/12)*$H121</f>
        <v>208.41521520334209</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76">SUM(I121:V121)</f>
        <v>3057.9561734462955</v>
      </c>
      <c r="AB121" s="990">
        <f t="shared" ref="AB121:AB131" si="77">E121</f>
        <v>43132</v>
      </c>
    </row>
    <row r="122" spans="2:39" s="9" customFormat="1">
      <c r="B122" s="68"/>
      <c r="E122" s="229">
        <v>43160</v>
      </c>
      <c r="F122" s="229" t="s">
        <v>186</v>
      </c>
      <c r="G122" s="230" t="s">
        <v>65</v>
      </c>
      <c r="H122" s="255">
        <f t="shared" si="75"/>
        <v>1.25E-3</v>
      </c>
      <c r="I122" s="245">
        <f>(SUM('1.  LRAMVA Summary'!D$53:D$73)+SUM('1.  LRAMVA Summary'!D$74:D$75)*(MONTH($E122)-1)/12)*$H122</f>
        <v>802.56906138434533</v>
      </c>
      <c r="J122" s="245">
        <f>(SUM('1.  LRAMVA Summary'!E$53:E$73)+SUM('1.  LRAMVA Summary'!E$74:E$75)*(MONTH($E122)-1)/12)*$H122</f>
        <v>786.58596197110512</v>
      </c>
      <c r="K122" s="245">
        <f>(SUM('1.  LRAMVA Summary'!F$53:F$73)+SUM('1.  LRAMVA Summary'!F$74:F$75)*(MONTH($E122)-1)/12)*$H122</f>
        <v>1271.5389578304646</v>
      </c>
      <c r="L122" s="245">
        <f>(SUM('1.  LRAMVA Summary'!G$53:G$73)+SUM('1.  LRAMVA Summary'!G$74:G$75)*(MONTH($E122)-1)/12)*$H122</f>
        <v>-6.7234560435452702</v>
      </c>
      <c r="M122" s="245">
        <f>(SUM('1.  LRAMVA Summary'!H$53:H$73)+SUM('1.  LRAMVA Summary'!H$74:H$75)*(MONTH($E122)-1)/12)*$H122</f>
        <v>-4.2246944640833979</v>
      </c>
      <c r="N122" s="245">
        <f>(SUM('1.  LRAMVA Summary'!I$53:I$73)+SUM('1.  LRAMVA Summary'!I$74:I$75)*(MONTH($E122)-1)/12)*$H122</f>
        <v>-0.20487243533265903</v>
      </c>
      <c r="O122" s="245">
        <f>(SUM('1.  LRAMVA Summary'!J$53:J$73)+SUM('1.  LRAMVA Summary'!J$74:J$75)*(MONTH($E122)-1)/12)*$H122</f>
        <v>208.41521520334209</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76"/>
        <v>3057.9561734462955</v>
      </c>
      <c r="AB122" s="990">
        <f t="shared" si="77"/>
        <v>43160</v>
      </c>
    </row>
    <row r="123" spans="2:39" s="8" customFormat="1">
      <c r="B123" s="254"/>
      <c r="E123" s="229">
        <v>43191</v>
      </c>
      <c r="F123" s="229" t="s">
        <v>186</v>
      </c>
      <c r="G123" s="230" t="s">
        <v>66</v>
      </c>
      <c r="H123" s="255">
        <f>$C$44/12</f>
        <v>1.575E-3</v>
      </c>
      <c r="I123" s="245">
        <f>(SUM('1.  LRAMVA Summary'!D$53:D$73)+SUM('1.  LRAMVA Summary'!D$74:D$75)*(MONTH($E123)-1)/12)*$H123</f>
        <v>1011.237017344275</v>
      </c>
      <c r="J123" s="245">
        <f>(SUM('1.  LRAMVA Summary'!E$53:E$73)+SUM('1.  LRAMVA Summary'!E$74:E$75)*(MONTH($E123)-1)/12)*$H123</f>
        <v>991.09831208359253</v>
      </c>
      <c r="K123" s="245">
        <f>(SUM('1.  LRAMVA Summary'!F$53:F$73)+SUM('1.  LRAMVA Summary'!F$74:F$75)*(MONTH($E123)-1)/12)*$H123</f>
        <v>1602.1390868663855</v>
      </c>
      <c r="L123" s="245">
        <f>(SUM('1.  LRAMVA Summary'!G$53:G$73)+SUM('1.  LRAMVA Summary'!G$74:G$75)*(MONTH($E123)-1)/12)*$H123</f>
        <v>-8.4715546148670402</v>
      </c>
      <c r="M123" s="245">
        <f>(SUM('1.  LRAMVA Summary'!H$53:H$73)+SUM('1.  LRAMVA Summary'!H$74:H$75)*(MONTH($E123)-1)/12)*$H123</f>
        <v>-5.3231150247450811</v>
      </c>
      <c r="N123" s="245">
        <f>(SUM('1.  LRAMVA Summary'!I$53:I$73)+SUM('1.  LRAMVA Summary'!I$74:I$75)*(MONTH($E123)-1)/12)*$H123</f>
        <v>-0.25813926851915037</v>
      </c>
      <c r="O123" s="245">
        <f>(SUM('1.  LRAMVA Summary'!J$53:J$73)+SUM('1.  LRAMVA Summary'!J$74:J$75)*(MONTH($E123)-1)/12)*$H123</f>
        <v>262.60317115621103</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76"/>
        <v>3853.024778542333</v>
      </c>
      <c r="AB123" s="990">
        <f t="shared" si="77"/>
        <v>43191</v>
      </c>
    </row>
    <row r="124" spans="2:39" s="9" customFormat="1">
      <c r="B124" s="68"/>
      <c r="E124" s="229">
        <v>43221</v>
      </c>
      <c r="F124" s="229" t="s">
        <v>186</v>
      </c>
      <c r="G124" s="230" t="s">
        <v>66</v>
      </c>
      <c r="H124" s="255">
        <f t="shared" ref="H124:H125" si="78">$C$44/12</f>
        <v>1.575E-3</v>
      </c>
      <c r="I124" s="245">
        <f>(SUM('1.  LRAMVA Summary'!D$53:D$73)+SUM('1.  LRAMVA Summary'!D$74:D$75)*(MONTH($E124)-1)/12)*$H124</f>
        <v>1011.237017344275</v>
      </c>
      <c r="J124" s="245">
        <f>(SUM('1.  LRAMVA Summary'!E$53:E$73)+SUM('1.  LRAMVA Summary'!E$74:E$75)*(MONTH($E124)-1)/12)*$H124</f>
        <v>991.09831208359253</v>
      </c>
      <c r="K124" s="245">
        <f>(SUM('1.  LRAMVA Summary'!F$53:F$73)+SUM('1.  LRAMVA Summary'!F$74:F$75)*(MONTH($E124)-1)/12)*$H124</f>
        <v>1602.1390868663855</v>
      </c>
      <c r="L124" s="245">
        <f>(SUM('1.  LRAMVA Summary'!G$53:G$73)+SUM('1.  LRAMVA Summary'!G$74:G$75)*(MONTH($E124)-1)/12)*$H124</f>
        <v>-8.4715546148670402</v>
      </c>
      <c r="M124" s="245">
        <f>(SUM('1.  LRAMVA Summary'!H$53:H$73)+SUM('1.  LRAMVA Summary'!H$74:H$75)*(MONTH($E124)-1)/12)*$H124</f>
        <v>-5.3231150247450811</v>
      </c>
      <c r="N124" s="245">
        <f>(SUM('1.  LRAMVA Summary'!I$53:I$73)+SUM('1.  LRAMVA Summary'!I$74:I$75)*(MONTH($E124)-1)/12)*$H124</f>
        <v>-0.25813926851915037</v>
      </c>
      <c r="O124" s="245">
        <f>(SUM('1.  LRAMVA Summary'!J$53:J$73)+SUM('1.  LRAMVA Summary'!J$74:J$75)*(MONTH($E124)-1)/12)*$H124</f>
        <v>262.60317115621103</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76"/>
        <v>3853.024778542333</v>
      </c>
      <c r="AB124" s="990">
        <f t="shared" si="77"/>
        <v>43221</v>
      </c>
    </row>
    <row r="125" spans="2:39" s="253" customFormat="1">
      <c r="B125" s="252"/>
      <c r="E125" s="229">
        <v>43252</v>
      </c>
      <c r="F125" s="229" t="s">
        <v>186</v>
      </c>
      <c r="G125" s="230" t="s">
        <v>66</v>
      </c>
      <c r="H125" s="255">
        <f t="shared" si="78"/>
        <v>1.575E-3</v>
      </c>
      <c r="I125" s="245">
        <f>(SUM('1.  LRAMVA Summary'!D$53:D$73)+SUM('1.  LRAMVA Summary'!D$74:D$75)*(MONTH($E125)-1)/12)*$H125</f>
        <v>1011.237017344275</v>
      </c>
      <c r="J125" s="245">
        <f>(SUM('1.  LRAMVA Summary'!E$53:E$73)+SUM('1.  LRAMVA Summary'!E$74:E$75)*(MONTH($E125)-1)/12)*$H125</f>
        <v>991.09831208359253</v>
      </c>
      <c r="K125" s="245">
        <f>(SUM('1.  LRAMVA Summary'!F$53:F$73)+SUM('1.  LRAMVA Summary'!F$74:F$75)*(MONTH($E125)-1)/12)*$H125</f>
        <v>1602.1390868663855</v>
      </c>
      <c r="L125" s="245">
        <f>(SUM('1.  LRAMVA Summary'!G$53:G$73)+SUM('1.  LRAMVA Summary'!G$74:G$75)*(MONTH($E125)-1)/12)*$H125</f>
        <v>-8.4715546148670402</v>
      </c>
      <c r="M125" s="245">
        <f>(SUM('1.  LRAMVA Summary'!H$53:H$73)+SUM('1.  LRAMVA Summary'!H$74:H$75)*(MONTH($E125)-1)/12)*$H125</f>
        <v>-5.3231150247450811</v>
      </c>
      <c r="N125" s="245">
        <f>(SUM('1.  LRAMVA Summary'!I$53:I$73)+SUM('1.  LRAMVA Summary'!I$74:I$75)*(MONTH($E125)-1)/12)*$H125</f>
        <v>-0.25813926851915037</v>
      </c>
      <c r="O125" s="245">
        <f>(SUM('1.  LRAMVA Summary'!J$53:J$73)+SUM('1.  LRAMVA Summary'!J$74:J$75)*(MONTH($E125)-1)/12)*$H125</f>
        <v>262.60317115621103</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76"/>
        <v>3853.024778542333</v>
      </c>
      <c r="AB125" s="990">
        <f t="shared" si="77"/>
        <v>43252</v>
      </c>
    </row>
    <row r="126" spans="2:39" s="9" customFormat="1">
      <c r="B126" s="68"/>
      <c r="E126" s="229">
        <v>43282</v>
      </c>
      <c r="F126" s="229" t="s">
        <v>186</v>
      </c>
      <c r="G126" s="230" t="s">
        <v>68</v>
      </c>
      <c r="H126" s="255">
        <f>$C$45/12</f>
        <v>1.575E-3</v>
      </c>
      <c r="I126" s="245">
        <f>(SUM('1.  LRAMVA Summary'!D$53:D$73)+SUM('1.  LRAMVA Summary'!D$74:D$75)*(MONTH($E126)-1)/12)*$H126</f>
        <v>1011.237017344275</v>
      </c>
      <c r="J126" s="245">
        <f>(SUM('1.  LRAMVA Summary'!E$53:E$73)+SUM('1.  LRAMVA Summary'!E$74:E$75)*(MONTH($E126)-1)/12)*$H126</f>
        <v>991.09831208359253</v>
      </c>
      <c r="K126" s="245">
        <f>(SUM('1.  LRAMVA Summary'!F$53:F$73)+SUM('1.  LRAMVA Summary'!F$74:F$75)*(MONTH($E126)-1)/12)*$H126</f>
        <v>1602.1390868663855</v>
      </c>
      <c r="L126" s="245">
        <f>(SUM('1.  LRAMVA Summary'!G$53:G$73)+SUM('1.  LRAMVA Summary'!G$74:G$75)*(MONTH($E126)-1)/12)*$H126</f>
        <v>-8.4715546148670402</v>
      </c>
      <c r="M126" s="245">
        <f>(SUM('1.  LRAMVA Summary'!H$53:H$73)+SUM('1.  LRAMVA Summary'!H$74:H$75)*(MONTH($E126)-1)/12)*$H126</f>
        <v>-5.3231150247450811</v>
      </c>
      <c r="N126" s="245">
        <f>(SUM('1.  LRAMVA Summary'!I$53:I$73)+SUM('1.  LRAMVA Summary'!I$74:I$75)*(MONTH($E126)-1)/12)*$H126</f>
        <v>-0.25813926851915037</v>
      </c>
      <c r="O126" s="245">
        <f>(SUM('1.  LRAMVA Summary'!J$53:J$73)+SUM('1.  LRAMVA Summary'!J$74:J$75)*(MONTH($E126)-1)/12)*$H126</f>
        <v>262.60317115621103</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76"/>
        <v>3853.024778542333</v>
      </c>
      <c r="AB126" s="990">
        <f t="shared" si="77"/>
        <v>43282</v>
      </c>
    </row>
    <row r="127" spans="2:39" s="9" customFormat="1">
      <c r="B127" s="68"/>
      <c r="E127" s="229">
        <v>43313</v>
      </c>
      <c r="F127" s="229" t="s">
        <v>186</v>
      </c>
      <c r="G127" s="230" t="s">
        <v>68</v>
      </c>
      <c r="H127" s="255">
        <f t="shared" ref="H127:H128" si="79">$C$45/12</f>
        <v>1.575E-3</v>
      </c>
      <c r="I127" s="245">
        <f>(SUM('1.  LRAMVA Summary'!D$53:D$73)+SUM('1.  LRAMVA Summary'!D$74:D$75)*(MONTH($E127)-1)/12)*$H127</f>
        <v>1011.237017344275</v>
      </c>
      <c r="J127" s="245">
        <f>(SUM('1.  LRAMVA Summary'!E$53:E$73)+SUM('1.  LRAMVA Summary'!E$74:E$75)*(MONTH($E127)-1)/12)*$H127</f>
        <v>991.09831208359253</v>
      </c>
      <c r="K127" s="245">
        <f>(SUM('1.  LRAMVA Summary'!F$53:F$73)+SUM('1.  LRAMVA Summary'!F$74:F$75)*(MONTH($E127)-1)/12)*$H127</f>
        <v>1602.1390868663855</v>
      </c>
      <c r="L127" s="245">
        <f>(SUM('1.  LRAMVA Summary'!G$53:G$73)+SUM('1.  LRAMVA Summary'!G$74:G$75)*(MONTH($E127)-1)/12)*$H127</f>
        <v>-8.4715546148670402</v>
      </c>
      <c r="M127" s="245">
        <f>(SUM('1.  LRAMVA Summary'!H$53:H$73)+SUM('1.  LRAMVA Summary'!H$74:H$75)*(MONTH($E127)-1)/12)*$H127</f>
        <v>-5.3231150247450811</v>
      </c>
      <c r="N127" s="245">
        <f>(SUM('1.  LRAMVA Summary'!I$53:I$73)+SUM('1.  LRAMVA Summary'!I$74:I$75)*(MONTH($E127)-1)/12)*$H127</f>
        <v>-0.25813926851915037</v>
      </c>
      <c r="O127" s="245">
        <f>(SUM('1.  LRAMVA Summary'!J$53:J$73)+SUM('1.  LRAMVA Summary'!J$74:J$75)*(MONTH($E127)-1)/12)*$H127</f>
        <v>262.60317115621103</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76"/>
        <v>3853.024778542333</v>
      </c>
      <c r="AB127" s="990">
        <f t="shared" si="77"/>
        <v>43313</v>
      </c>
    </row>
    <row r="128" spans="2:39" s="9" customFormat="1">
      <c r="B128" s="68"/>
      <c r="E128" s="229">
        <v>43344</v>
      </c>
      <c r="F128" s="229" t="s">
        <v>186</v>
      </c>
      <c r="G128" s="230" t="s">
        <v>68</v>
      </c>
      <c r="H128" s="255">
        <f t="shared" si="79"/>
        <v>1.575E-3</v>
      </c>
      <c r="I128" s="245">
        <f>(SUM('1.  LRAMVA Summary'!D$53:D$73)+SUM('1.  LRAMVA Summary'!D$74:D$75)*(MONTH($E128)-1)/12)*$H128</f>
        <v>1011.237017344275</v>
      </c>
      <c r="J128" s="245">
        <f>(SUM('1.  LRAMVA Summary'!E$53:E$73)+SUM('1.  LRAMVA Summary'!E$74:E$75)*(MONTH($E128)-1)/12)*$H128</f>
        <v>991.09831208359253</v>
      </c>
      <c r="K128" s="245">
        <f>(SUM('1.  LRAMVA Summary'!F$53:F$73)+SUM('1.  LRAMVA Summary'!F$74:F$75)*(MONTH($E128)-1)/12)*$H128</f>
        <v>1602.1390868663855</v>
      </c>
      <c r="L128" s="245">
        <f>(SUM('1.  LRAMVA Summary'!G$53:G$73)+SUM('1.  LRAMVA Summary'!G$74:G$75)*(MONTH($E128)-1)/12)*$H128</f>
        <v>-8.4715546148670402</v>
      </c>
      <c r="M128" s="245">
        <f>(SUM('1.  LRAMVA Summary'!H$53:H$73)+SUM('1.  LRAMVA Summary'!H$74:H$75)*(MONTH($E128)-1)/12)*$H128</f>
        <v>-5.3231150247450811</v>
      </c>
      <c r="N128" s="245">
        <f>(SUM('1.  LRAMVA Summary'!I$53:I$73)+SUM('1.  LRAMVA Summary'!I$74:I$75)*(MONTH($E128)-1)/12)*$H128</f>
        <v>-0.25813926851915037</v>
      </c>
      <c r="O128" s="245">
        <f>(SUM('1.  LRAMVA Summary'!J$53:J$73)+SUM('1.  LRAMVA Summary'!J$74:J$75)*(MONTH($E128)-1)/12)*$H128</f>
        <v>262.60317115621103</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76"/>
        <v>3853.024778542333</v>
      </c>
      <c r="AB128" s="990">
        <f t="shared" si="77"/>
        <v>43344</v>
      </c>
    </row>
    <row r="129" spans="2:28" s="9" customFormat="1">
      <c r="B129" s="68"/>
      <c r="E129" s="229">
        <v>43374</v>
      </c>
      <c r="F129" s="229" t="s">
        <v>186</v>
      </c>
      <c r="G129" s="230" t="s">
        <v>69</v>
      </c>
      <c r="H129" s="255">
        <f>$C$46/12</f>
        <v>1.575E-3</v>
      </c>
      <c r="I129" s="245">
        <f>(SUM('1.  LRAMVA Summary'!D$53:D$73)+SUM('1.  LRAMVA Summary'!D$74:D$75)*(MONTH($E129)-1)/12)*$H129</f>
        <v>1011.237017344275</v>
      </c>
      <c r="J129" s="245">
        <f>(SUM('1.  LRAMVA Summary'!E$53:E$73)+SUM('1.  LRAMVA Summary'!E$74:E$75)*(MONTH($E129)-1)/12)*$H129</f>
        <v>991.09831208359253</v>
      </c>
      <c r="K129" s="245">
        <f>(SUM('1.  LRAMVA Summary'!F$53:F$73)+SUM('1.  LRAMVA Summary'!F$74:F$75)*(MONTH($E129)-1)/12)*$H129</f>
        <v>1602.1390868663855</v>
      </c>
      <c r="L129" s="245">
        <f>(SUM('1.  LRAMVA Summary'!G$53:G$73)+SUM('1.  LRAMVA Summary'!G$74:G$75)*(MONTH($E129)-1)/12)*$H129</f>
        <v>-8.4715546148670402</v>
      </c>
      <c r="M129" s="245">
        <f>(SUM('1.  LRAMVA Summary'!H$53:H$73)+SUM('1.  LRAMVA Summary'!H$74:H$75)*(MONTH($E129)-1)/12)*$H129</f>
        <v>-5.3231150247450811</v>
      </c>
      <c r="N129" s="245">
        <f>(SUM('1.  LRAMVA Summary'!I$53:I$73)+SUM('1.  LRAMVA Summary'!I$74:I$75)*(MONTH($E129)-1)/12)*$H129</f>
        <v>-0.25813926851915037</v>
      </c>
      <c r="O129" s="245">
        <f>(SUM('1.  LRAMVA Summary'!J$53:J$73)+SUM('1.  LRAMVA Summary'!J$74:J$75)*(MONTH($E129)-1)/12)*$H129</f>
        <v>262.60317115621103</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76"/>
        <v>3853.024778542333</v>
      </c>
      <c r="AB129" s="990">
        <f t="shared" si="77"/>
        <v>43374</v>
      </c>
    </row>
    <row r="130" spans="2:28" s="9" customFormat="1">
      <c r="B130" s="68"/>
      <c r="E130" s="229">
        <v>43405</v>
      </c>
      <c r="F130" s="229" t="s">
        <v>186</v>
      </c>
      <c r="G130" s="230" t="s">
        <v>69</v>
      </c>
      <c r="H130" s="255">
        <f t="shared" ref="H130:H131" si="80">$C$46/12</f>
        <v>1.575E-3</v>
      </c>
      <c r="I130" s="245">
        <f>(SUM('1.  LRAMVA Summary'!D$53:D$73)+SUM('1.  LRAMVA Summary'!D$74:D$75)*(MONTH($E130)-1)/12)*$H130</f>
        <v>1011.237017344275</v>
      </c>
      <c r="J130" s="245">
        <f>(SUM('1.  LRAMVA Summary'!E$53:E$73)+SUM('1.  LRAMVA Summary'!E$74:E$75)*(MONTH($E130)-1)/12)*$H130</f>
        <v>991.09831208359253</v>
      </c>
      <c r="K130" s="245">
        <f>(SUM('1.  LRAMVA Summary'!F$53:F$73)+SUM('1.  LRAMVA Summary'!F$74:F$75)*(MONTH($E130)-1)/12)*$H130</f>
        <v>1602.1390868663855</v>
      </c>
      <c r="L130" s="245">
        <f>(SUM('1.  LRAMVA Summary'!G$53:G$73)+SUM('1.  LRAMVA Summary'!G$74:G$75)*(MONTH($E130)-1)/12)*$H130</f>
        <v>-8.4715546148670402</v>
      </c>
      <c r="M130" s="245">
        <f>(SUM('1.  LRAMVA Summary'!H$53:H$73)+SUM('1.  LRAMVA Summary'!H$74:H$75)*(MONTH($E130)-1)/12)*$H130</f>
        <v>-5.3231150247450811</v>
      </c>
      <c r="N130" s="245">
        <f>(SUM('1.  LRAMVA Summary'!I$53:I$73)+SUM('1.  LRAMVA Summary'!I$74:I$75)*(MONTH($E130)-1)/12)*$H130</f>
        <v>-0.25813926851915037</v>
      </c>
      <c r="O130" s="245">
        <f>(SUM('1.  LRAMVA Summary'!J$53:J$73)+SUM('1.  LRAMVA Summary'!J$74:J$75)*(MONTH($E130)-1)/12)*$H130</f>
        <v>262.60317115621103</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76"/>
        <v>3853.024778542333</v>
      </c>
      <c r="AB130" s="990">
        <f t="shared" si="77"/>
        <v>43405</v>
      </c>
    </row>
    <row r="131" spans="2:28" s="9" customFormat="1">
      <c r="B131" s="68"/>
      <c r="E131" s="229">
        <v>43435</v>
      </c>
      <c r="F131" s="229" t="s">
        <v>186</v>
      </c>
      <c r="G131" s="230" t="s">
        <v>69</v>
      </c>
      <c r="H131" s="255">
        <f t="shared" si="80"/>
        <v>1.575E-3</v>
      </c>
      <c r="I131" s="245">
        <f>(SUM('1.  LRAMVA Summary'!D$53:D$73)+SUM('1.  LRAMVA Summary'!D$74:D$75)*(MONTH($E131)-1)/12)*$H131</f>
        <v>1011.237017344275</v>
      </c>
      <c r="J131" s="245">
        <f>(SUM('1.  LRAMVA Summary'!E$53:E$73)+SUM('1.  LRAMVA Summary'!E$74:E$75)*(MONTH($E131)-1)/12)*$H131</f>
        <v>991.09831208359253</v>
      </c>
      <c r="K131" s="245">
        <f>(SUM('1.  LRAMVA Summary'!F$53:F$73)+SUM('1.  LRAMVA Summary'!F$74:F$75)*(MONTH($E131)-1)/12)*$H131</f>
        <v>1602.1390868663855</v>
      </c>
      <c r="L131" s="245">
        <f>(SUM('1.  LRAMVA Summary'!G$53:G$73)+SUM('1.  LRAMVA Summary'!G$74:G$75)*(MONTH($E131)-1)/12)*$H131</f>
        <v>-8.4715546148670402</v>
      </c>
      <c r="M131" s="245">
        <f>(SUM('1.  LRAMVA Summary'!H$53:H$73)+SUM('1.  LRAMVA Summary'!H$74:H$75)*(MONTH($E131)-1)/12)*$H131</f>
        <v>-5.3231150247450811</v>
      </c>
      <c r="N131" s="245">
        <f>(SUM('1.  LRAMVA Summary'!I$53:I$73)+SUM('1.  LRAMVA Summary'!I$74:I$75)*(MONTH($E131)-1)/12)*$H131</f>
        <v>-0.25813926851915037</v>
      </c>
      <c r="O131" s="245">
        <f>(SUM('1.  LRAMVA Summary'!J$53:J$73)+SUM('1.  LRAMVA Summary'!J$74:J$75)*(MONTH($E131)-1)/12)*$H131</f>
        <v>262.60317115621103</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76"/>
        <v>3853.024778542333</v>
      </c>
      <c r="AB131" s="990">
        <f t="shared" si="77"/>
        <v>43435</v>
      </c>
    </row>
    <row r="132" spans="2:28" s="9" customFormat="1" ht="15" thickBot="1">
      <c r="B132" s="68"/>
      <c r="E132" s="231" t="s">
        <v>474</v>
      </c>
      <c r="F132" s="231"/>
      <c r="G132" s="232"/>
      <c r="H132" s="233"/>
      <c r="I132" s="234">
        <f>SUM(I119:I131)</f>
        <v>22450.531877124758</v>
      </c>
      <c r="J132" s="234">
        <f>SUM(J119:J131)</f>
        <v>22003.43130953837</v>
      </c>
      <c r="K132" s="234">
        <f t="shared" ref="K132:O132" si="81">SUM(K119:K131)</f>
        <v>35569.183113710853</v>
      </c>
      <c r="L132" s="234">
        <f t="shared" si="81"/>
        <v>-188.07747705810638</v>
      </c>
      <c r="M132" s="234">
        <f t="shared" si="81"/>
        <v>-118.1787864752929</v>
      </c>
      <c r="N132" s="234">
        <f t="shared" si="81"/>
        <v>-5.7309649243722465</v>
      </c>
      <c r="O132" s="234">
        <f t="shared" si="81"/>
        <v>9801.5698394728206</v>
      </c>
      <c r="P132" s="234">
        <f t="shared" ref="P132:V132" si="82">SUM(P119:P131)</f>
        <v>0</v>
      </c>
      <c r="Q132" s="234">
        <f t="shared" si="82"/>
        <v>0</v>
      </c>
      <c r="R132" s="234">
        <f t="shared" si="82"/>
        <v>0</v>
      </c>
      <c r="S132" s="234">
        <f t="shared" si="82"/>
        <v>0</v>
      </c>
      <c r="T132" s="234">
        <f t="shared" si="82"/>
        <v>0</v>
      </c>
      <c r="U132" s="234">
        <f t="shared" si="82"/>
        <v>0</v>
      </c>
      <c r="V132" s="234">
        <f t="shared" si="82"/>
        <v>0</v>
      </c>
      <c r="W132" s="234">
        <f>SUM(W119:W131)</f>
        <v>89512.728911389015</v>
      </c>
    </row>
    <row r="133" spans="2:28" s="9" customFormat="1" ht="1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8" s="9" customFormat="1">
      <c r="B134" s="68"/>
      <c r="E134" s="240" t="s">
        <v>437</v>
      </c>
      <c r="F134" s="240"/>
      <c r="G134" s="241"/>
      <c r="H134" s="242"/>
      <c r="I134" s="243">
        <f>I132+I133</f>
        <v>22450.531877124758</v>
      </c>
      <c r="J134" s="243">
        <f t="shared" ref="J134" si="83">J132+J133</f>
        <v>22003.43130953837</v>
      </c>
      <c r="K134" s="243">
        <f t="shared" ref="K134" si="84">K132+K133</f>
        <v>35569.183113710853</v>
      </c>
      <c r="L134" s="243">
        <f t="shared" ref="L134" si="85">L132+L133</f>
        <v>-188.07747705810638</v>
      </c>
      <c r="M134" s="243">
        <f t="shared" ref="M134" si="86">M132+M133</f>
        <v>-118.1787864752929</v>
      </c>
      <c r="N134" s="243">
        <f t="shared" ref="N134" si="87">N132+N133</f>
        <v>-5.7309649243722465</v>
      </c>
      <c r="O134" s="243">
        <f t="shared" ref="O134:V134" si="88">O132+O133</f>
        <v>9801.5698394728206</v>
      </c>
      <c r="P134" s="243">
        <f t="shared" si="88"/>
        <v>0</v>
      </c>
      <c r="Q134" s="243">
        <f t="shared" si="88"/>
        <v>0</v>
      </c>
      <c r="R134" s="243">
        <f t="shared" si="88"/>
        <v>0</v>
      </c>
      <c r="S134" s="243">
        <f t="shared" si="88"/>
        <v>0</v>
      </c>
      <c r="T134" s="243">
        <f t="shared" si="88"/>
        <v>0</v>
      </c>
      <c r="U134" s="243">
        <f t="shared" si="88"/>
        <v>0</v>
      </c>
      <c r="V134" s="243">
        <f t="shared" si="88"/>
        <v>0</v>
      </c>
      <c r="W134" s="243">
        <f>W132+W133</f>
        <v>89512.728911389015</v>
      </c>
    </row>
    <row r="135" spans="2:28"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8" s="9" customFormat="1">
      <c r="B136" s="68"/>
      <c r="E136" s="229">
        <v>43497</v>
      </c>
      <c r="F136" s="229" t="s">
        <v>187</v>
      </c>
      <c r="G136" s="230" t="s">
        <v>65</v>
      </c>
      <c r="H136" s="255">
        <f t="shared" ref="H136:H137" si="89">$C$47/12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90">SUM(I136:V136)</f>
        <v>0</v>
      </c>
    </row>
    <row r="137" spans="2:28" s="9" customFormat="1">
      <c r="B137" s="68"/>
      <c r="E137" s="229">
        <v>43525</v>
      </c>
      <c r="F137" s="229" t="s">
        <v>187</v>
      </c>
      <c r="G137" s="230" t="s">
        <v>65</v>
      </c>
      <c r="H137" s="255">
        <f t="shared" si="89"/>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90"/>
        <v>0</v>
      </c>
    </row>
    <row r="138" spans="2:28"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90"/>
        <v>0</v>
      </c>
    </row>
    <row r="139" spans="2:28"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90"/>
        <v>0</v>
      </c>
    </row>
    <row r="140" spans="2:28" s="9" customFormat="1">
      <c r="B140" s="68"/>
      <c r="E140" s="229">
        <v>43617</v>
      </c>
      <c r="F140" s="229" t="s">
        <v>187</v>
      </c>
      <c r="G140" s="230" t="s">
        <v>66</v>
      </c>
      <c r="H140" s="255">
        <f t="shared" ref="H140" si="91">$C$48/12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90"/>
        <v>0</v>
      </c>
    </row>
    <row r="141" spans="2:28"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90"/>
        <v>0</v>
      </c>
    </row>
    <row r="142" spans="2:28" s="9" customFormat="1">
      <c r="B142" s="68"/>
      <c r="E142" s="229">
        <v>43678</v>
      </c>
      <c r="F142" s="229" t="s">
        <v>187</v>
      </c>
      <c r="G142" s="230" t="s">
        <v>68</v>
      </c>
      <c r="H142" s="255">
        <f t="shared" ref="H142" si="92">$C$49/12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90"/>
        <v>0</v>
      </c>
    </row>
    <row r="143" spans="2:28"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90"/>
        <v>0</v>
      </c>
    </row>
    <row r="144" spans="2:28"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90"/>
        <v>0</v>
      </c>
    </row>
    <row r="145" spans="2:23" s="9" customFormat="1">
      <c r="B145" s="68"/>
      <c r="E145" s="229">
        <v>43770</v>
      </c>
      <c r="F145" s="229" t="s">
        <v>187</v>
      </c>
      <c r="G145" s="230" t="s">
        <v>69</v>
      </c>
      <c r="H145" s="255">
        <f t="shared" ref="H145:H146" si="93">$C$50/12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90"/>
        <v>0</v>
      </c>
    </row>
    <row r="146" spans="2:23" s="9" customFormat="1">
      <c r="B146" s="68"/>
      <c r="E146" s="229">
        <v>43800</v>
      </c>
      <c r="F146" s="229" t="s">
        <v>187</v>
      </c>
      <c r="G146" s="230" t="s">
        <v>69</v>
      </c>
      <c r="H146" s="255">
        <f t="shared" si="93"/>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90"/>
        <v>0</v>
      </c>
    </row>
    <row r="147" spans="2:23" s="9" customFormat="1" ht="15" thickBot="1">
      <c r="B147" s="68"/>
      <c r="E147" s="231" t="s">
        <v>475</v>
      </c>
      <c r="F147" s="231"/>
      <c r="G147" s="232"/>
      <c r="H147" s="233"/>
      <c r="I147" s="234">
        <f>SUM(I134:I146)</f>
        <v>22450.531877124758</v>
      </c>
      <c r="J147" s="234">
        <f>SUM(J134:J146)</f>
        <v>22003.43130953837</v>
      </c>
      <c r="K147" s="234">
        <f t="shared" ref="K147:O147" si="94">SUM(K134:K146)</f>
        <v>35569.183113710853</v>
      </c>
      <c r="L147" s="234">
        <f t="shared" si="94"/>
        <v>-188.07747705810638</v>
      </c>
      <c r="M147" s="234">
        <f t="shared" si="94"/>
        <v>-118.1787864752929</v>
      </c>
      <c r="N147" s="234">
        <f t="shared" si="94"/>
        <v>-5.7309649243722465</v>
      </c>
      <c r="O147" s="234">
        <f t="shared" si="94"/>
        <v>9801.5698394728206</v>
      </c>
      <c r="P147" s="234">
        <f t="shared" ref="P147:V147" si="95">SUM(P134:P146)</f>
        <v>0</v>
      </c>
      <c r="Q147" s="234">
        <f t="shared" si="95"/>
        <v>0</v>
      </c>
      <c r="R147" s="234">
        <f t="shared" si="95"/>
        <v>0</v>
      </c>
      <c r="S147" s="234">
        <f t="shared" si="95"/>
        <v>0</v>
      </c>
      <c r="T147" s="234">
        <f t="shared" si="95"/>
        <v>0</v>
      </c>
      <c r="U147" s="234">
        <f t="shared" si="95"/>
        <v>0</v>
      </c>
      <c r="V147" s="234">
        <f t="shared" si="95"/>
        <v>0</v>
      </c>
      <c r="W147" s="234">
        <f>SUM(W134:W146)</f>
        <v>89512.728911389015</v>
      </c>
    </row>
    <row r="148" spans="2:23" s="9" customFormat="1" ht="1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22450.531877124758</v>
      </c>
      <c r="J149" s="243">
        <f t="shared" ref="J149" si="96">J147+J148</f>
        <v>22003.43130953837</v>
      </c>
      <c r="K149" s="243">
        <f t="shared" ref="K149" si="97">K147+K148</f>
        <v>35569.183113710853</v>
      </c>
      <c r="L149" s="243">
        <f t="shared" ref="L149" si="98">L147+L148</f>
        <v>-188.07747705810638</v>
      </c>
      <c r="M149" s="243">
        <f t="shared" ref="M149" si="99">M147+M148</f>
        <v>-118.1787864752929</v>
      </c>
      <c r="N149" s="243">
        <f t="shared" ref="N149" si="100">N147+N148</f>
        <v>-5.7309649243722465</v>
      </c>
      <c r="O149" s="243">
        <f t="shared" ref="O149:V149" si="101">O147+O148</f>
        <v>9801.5698394728206</v>
      </c>
      <c r="P149" s="243">
        <f t="shared" si="101"/>
        <v>0</v>
      </c>
      <c r="Q149" s="243">
        <f t="shared" si="101"/>
        <v>0</v>
      </c>
      <c r="R149" s="243">
        <f t="shared" si="101"/>
        <v>0</v>
      </c>
      <c r="S149" s="243">
        <f t="shared" si="101"/>
        <v>0</v>
      </c>
      <c r="T149" s="243">
        <f t="shared" si="101"/>
        <v>0</v>
      </c>
      <c r="U149" s="243">
        <f t="shared" si="101"/>
        <v>0</v>
      </c>
      <c r="V149" s="243">
        <f t="shared" si="101"/>
        <v>0</v>
      </c>
      <c r="W149" s="243">
        <f>W147+W148</f>
        <v>89512.728911389015</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102">$C$51/12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103">SUM(I151:V151)</f>
        <v>0</v>
      </c>
    </row>
    <row r="152" spans="2:23" s="9" customFormat="1">
      <c r="B152" s="68"/>
      <c r="E152" s="229">
        <v>43891</v>
      </c>
      <c r="F152" s="229" t="s">
        <v>188</v>
      </c>
      <c r="G152" s="230" t="s">
        <v>65</v>
      </c>
      <c r="H152" s="255">
        <f t="shared" si="102"/>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103"/>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103"/>
        <v>0</v>
      </c>
    </row>
    <row r="154" spans="2:23" s="9" customFormat="1">
      <c r="B154" s="68"/>
      <c r="E154" s="229">
        <v>43952</v>
      </c>
      <c r="F154" s="229" t="s">
        <v>188</v>
      </c>
      <c r="G154" s="230" t="s">
        <v>66</v>
      </c>
      <c r="H154" s="255">
        <f t="shared" ref="H154:H155" si="104">$C$52/12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103"/>
        <v>0</v>
      </c>
    </row>
    <row r="155" spans="2:23" s="9" customFormat="1">
      <c r="B155" s="68"/>
      <c r="E155" s="229">
        <v>43983</v>
      </c>
      <c r="F155" s="229" t="s">
        <v>188</v>
      </c>
      <c r="G155" s="230" t="s">
        <v>66</v>
      </c>
      <c r="H155" s="255">
        <f t="shared" si="104"/>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103"/>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103"/>
        <v>0</v>
      </c>
    </row>
    <row r="157" spans="2:23" s="9" customFormat="1">
      <c r="B157" s="68"/>
      <c r="E157" s="229">
        <v>44044</v>
      </c>
      <c r="F157" s="229" t="s">
        <v>188</v>
      </c>
      <c r="G157" s="230" t="s">
        <v>68</v>
      </c>
      <c r="H157" s="255">
        <f t="shared" ref="H157:H158" si="105">$C$53/12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103"/>
        <v>0</v>
      </c>
    </row>
    <row r="158" spans="2:23" s="9" customFormat="1">
      <c r="B158" s="68"/>
      <c r="E158" s="229">
        <v>44075</v>
      </c>
      <c r="F158" s="229" t="s">
        <v>188</v>
      </c>
      <c r="G158" s="230" t="s">
        <v>68</v>
      </c>
      <c r="H158" s="255">
        <f t="shared" si="105"/>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103"/>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103"/>
        <v>0</v>
      </c>
    </row>
    <row r="160" spans="2:23" s="9" customFormat="1">
      <c r="B160" s="68"/>
      <c r="E160" s="229">
        <v>44136</v>
      </c>
      <c r="F160" s="229" t="s">
        <v>188</v>
      </c>
      <c r="G160" s="230" t="s">
        <v>69</v>
      </c>
      <c r="H160" s="255">
        <f t="shared" ref="H160:H161" si="106">$C$54/12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103"/>
        <v>0</v>
      </c>
    </row>
    <row r="161" spans="2:23" s="9" customFormat="1">
      <c r="B161" s="68"/>
      <c r="E161" s="229">
        <v>44166</v>
      </c>
      <c r="F161" s="229" t="s">
        <v>188</v>
      </c>
      <c r="G161" s="230" t="s">
        <v>69</v>
      </c>
      <c r="H161" s="255">
        <f t="shared" si="106"/>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thickBot="1">
      <c r="B162" s="68"/>
      <c r="E162" s="231" t="s">
        <v>476</v>
      </c>
      <c r="F162" s="231"/>
      <c r="G162" s="232"/>
      <c r="H162" s="233"/>
      <c r="I162" s="234">
        <f>SUM(I149:I161)</f>
        <v>22450.531877124758</v>
      </c>
      <c r="J162" s="234">
        <f>SUM(J149:J161)</f>
        <v>22003.43130953837</v>
      </c>
      <c r="K162" s="234">
        <f t="shared" ref="K162:O162" si="107">SUM(K149:K161)</f>
        <v>35569.183113710853</v>
      </c>
      <c r="L162" s="234">
        <f t="shared" si="107"/>
        <v>-188.07747705810638</v>
      </c>
      <c r="M162" s="234">
        <f t="shared" si="107"/>
        <v>-118.1787864752929</v>
      </c>
      <c r="N162" s="234">
        <f t="shared" si="107"/>
        <v>-5.7309649243722465</v>
      </c>
      <c r="O162" s="234">
        <f t="shared" si="107"/>
        <v>9801.5698394728206</v>
      </c>
      <c r="P162" s="234">
        <f t="shared" ref="P162:V162" si="108">SUM(P149:P161)</f>
        <v>0</v>
      </c>
      <c r="Q162" s="234">
        <f t="shared" si="108"/>
        <v>0</v>
      </c>
      <c r="R162" s="234">
        <f t="shared" si="108"/>
        <v>0</v>
      </c>
      <c r="S162" s="234">
        <f t="shared" si="108"/>
        <v>0</v>
      </c>
      <c r="T162" s="234">
        <f t="shared" si="108"/>
        <v>0</v>
      </c>
      <c r="U162" s="234">
        <f t="shared" si="108"/>
        <v>0</v>
      </c>
      <c r="V162" s="234">
        <f t="shared" si="108"/>
        <v>0</v>
      </c>
      <c r="W162" s="234">
        <f>SUM(W149:W161)</f>
        <v>89512.728911389015</v>
      </c>
    </row>
    <row r="163" spans="2:23" s="9" customFormat="1" ht="1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view="pageBreakPreview" zoomScale="60" zoomScaleNormal="70" workbookViewId="0">
      <selection activeCell="L37" sqref="L37"/>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65" t="s">
        <v>172</v>
      </c>
      <c r="D13" s="648" t="s">
        <v>624</v>
      </c>
      <c r="E13" s="642"/>
      <c r="F13" s="642"/>
      <c r="H13" s="618"/>
    </row>
    <row r="15" spans="2:8" ht="15.6">
      <c r="B15" s="92"/>
    </row>
    <row r="16" spans="2:8" ht="15.6">
      <c r="B16" s="617" t="s">
        <v>613</v>
      </c>
    </row>
    <row r="17" spans="2:22" ht="15.6">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0"/>
  <sheetViews>
    <sheetView topLeftCell="A12" zoomScale="85" zoomScaleNormal="85" workbookViewId="0">
      <pane xSplit="5" ySplit="13" topLeftCell="F34" activePane="bottomRight" state="frozen"/>
      <selection activeCell="C28" sqref="C28"/>
      <selection pane="topRight" activeCell="C28" sqref="C28"/>
      <selection pane="bottomLeft" activeCell="C28" sqref="C28"/>
      <selection pane="bottomRight" activeCell="K57" sqref="K5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6">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6">
      <c r="B22" s="92"/>
    </row>
    <row r="23" spans="2:79" s="686" customFormat="1" ht="40.799999999999997">
      <c r="B23" s="1233"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1233"/>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0.199999999999999">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0.199999999999999">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0.199999999999999">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0.199999999999999">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0.199999999999999">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0.199999999999999">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0.199999999999999">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0.199999999999999">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0.199999999999999">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0.199999999999999">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0.199999999999999">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0.199999999999999">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0.199999999999999">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0.199999999999999">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0.199999999999999">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0.199999999999999">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0.199999999999999">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0.199999999999999">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0.199999999999999">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0.199999999999999">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view="pageBreakPreview" topLeftCell="A22" zoomScale="60" zoomScaleNormal="80" workbookViewId="0">
      <pane xSplit="5" ySplit="2" topLeftCell="BJ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2.88671875" style="12" customWidth="1"/>
    <col min="4" max="4" width="11.44140625" style="12" customWidth="1"/>
    <col min="5" max="5" width="47.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6">
      <c r="B21" s="92"/>
    </row>
    <row r="22" spans="2:79" s="686" customFormat="1" ht="88.5" customHeight="1">
      <c r="B22" s="1233"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1233"/>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0.199999999999999">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v>31.271387726101793</v>
      </c>
      <c r="P24" s="704">
        <v>55075.467567639236</v>
      </c>
      <c r="Q24" s="690"/>
      <c r="R24" s="691">
        <v>0</v>
      </c>
      <c r="S24" s="691">
        <v>16.116182683421464</v>
      </c>
      <c r="T24" s="691">
        <v>16.116182683421464</v>
      </c>
      <c r="U24" s="691">
        <v>16.116182683421464</v>
      </c>
      <c r="V24" s="691">
        <v>15.719950586297861</v>
      </c>
      <c r="W24" s="691">
        <v>0</v>
      </c>
      <c r="X24" s="691">
        <v>0</v>
      </c>
      <c r="Y24" s="691">
        <v>0</v>
      </c>
      <c r="Z24" s="691">
        <v>0</v>
      </c>
      <c r="AA24" s="691">
        <v>0</v>
      </c>
      <c r="AB24" s="691">
        <v>0</v>
      </c>
      <c r="AC24" s="691">
        <v>0</v>
      </c>
      <c r="AD24" s="691">
        <v>0</v>
      </c>
      <c r="AE24" s="691">
        <v>0</v>
      </c>
      <c r="AF24" s="691">
        <v>0</v>
      </c>
      <c r="AG24" s="691">
        <v>0</v>
      </c>
      <c r="AH24" s="691">
        <v>0</v>
      </c>
      <c r="AI24" s="691">
        <v>0</v>
      </c>
      <c r="AJ24" s="691">
        <v>0</v>
      </c>
      <c r="AK24" s="691">
        <v>0</v>
      </c>
      <c r="AL24" s="691">
        <v>0</v>
      </c>
      <c r="AM24" s="691">
        <v>0</v>
      </c>
      <c r="AN24" s="691">
        <v>0</v>
      </c>
      <c r="AO24" s="691">
        <v>0</v>
      </c>
      <c r="AP24" s="691">
        <v>0</v>
      </c>
      <c r="AQ24" s="691">
        <v>0</v>
      </c>
      <c r="AR24" s="691">
        <v>0</v>
      </c>
      <c r="AS24" s="691">
        <v>0</v>
      </c>
      <c r="AT24" s="691">
        <v>0</v>
      </c>
      <c r="AU24" s="691">
        <v>0</v>
      </c>
      <c r="AV24" s="690"/>
      <c r="AW24" s="691">
        <v>0</v>
      </c>
      <c r="AX24" s="691">
        <v>28383.975296179604</v>
      </c>
      <c r="AY24" s="691">
        <v>28383.975296179604</v>
      </c>
      <c r="AZ24" s="691">
        <v>28383.975296179604</v>
      </c>
      <c r="BA24" s="691">
        <v>28029.642991854089</v>
      </c>
      <c r="BB24" s="691">
        <v>0</v>
      </c>
      <c r="BC24" s="691">
        <v>0</v>
      </c>
      <c r="BD24" s="691">
        <v>0</v>
      </c>
      <c r="BE24" s="691">
        <v>0</v>
      </c>
      <c r="BF24" s="691">
        <v>0</v>
      </c>
      <c r="BG24" s="691">
        <v>0</v>
      </c>
      <c r="BH24" s="691">
        <v>0</v>
      </c>
      <c r="BI24" s="691">
        <v>0</v>
      </c>
      <c r="BJ24" s="691">
        <v>0</v>
      </c>
      <c r="BK24" s="691">
        <v>0</v>
      </c>
      <c r="BL24" s="691">
        <v>0</v>
      </c>
      <c r="BM24" s="691">
        <v>0</v>
      </c>
      <c r="BN24" s="691">
        <v>0</v>
      </c>
      <c r="BO24" s="691">
        <v>0</v>
      </c>
      <c r="BP24" s="691">
        <v>0</v>
      </c>
      <c r="BQ24" s="691">
        <v>0</v>
      </c>
      <c r="BR24" s="691">
        <v>0</v>
      </c>
      <c r="BS24" s="691">
        <v>0</v>
      </c>
      <c r="BT24" s="691">
        <v>0</v>
      </c>
      <c r="BU24" s="691">
        <v>0</v>
      </c>
      <c r="BV24" s="691">
        <v>0</v>
      </c>
      <c r="BW24" s="691">
        <v>0</v>
      </c>
      <c r="BX24" s="691">
        <v>0</v>
      </c>
      <c r="BY24" s="691">
        <v>0</v>
      </c>
      <c r="BZ24" s="694">
        <v>0</v>
      </c>
      <c r="CA24" s="705"/>
    </row>
    <row r="25" spans="2:79" s="693" customFormat="1" ht="10.199999999999999">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v>202.07108973557482</v>
      </c>
      <c r="P25" s="704">
        <v>1412653.2774483797</v>
      </c>
      <c r="Q25" s="690"/>
      <c r="R25" s="691">
        <v>0</v>
      </c>
      <c r="S25" s="691">
        <v>93.555566595186576</v>
      </c>
      <c r="T25" s="691">
        <v>93.555566595186576</v>
      </c>
      <c r="U25" s="691">
        <v>93.555566595186576</v>
      </c>
      <c r="V25" s="691">
        <v>91.26348835277085</v>
      </c>
      <c r="W25" s="691">
        <v>54.135109314277706</v>
      </c>
      <c r="X25" s="691">
        <v>0</v>
      </c>
      <c r="Y25" s="691">
        <v>0</v>
      </c>
      <c r="Z25" s="691">
        <v>0</v>
      </c>
      <c r="AA25" s="691">
        <v>0</v>
      </c>
      <c r="AB25" s="691">
        <v>0</v>
      </c>
      <c r="AC25" s="691">
        <v>0</v>
      </c>
      <c r="AD25" s="691">
        <v>0</v>
      </c>
      <c r="AE25" s="691">
        <v>0</v>
      </c>
      <c r="AF25" s="691">
        <v>0</v>
      </c>
      <c r="AG25" s="691">
        <v>0</v>
      </c>
      <c r="AH25" s="691">
        <v>0</v>
      </c>
      <c r="AI25" s="691">
        <v>0</v>
      </c>
      <c r="AJ25" s="691">
        <v>0</v>
      </c>
      <c r="AK25" s="691">
        <v>0</v>
      </c>
      <c r="AL25" s="691">
        <v>0</v>
      </c>
      <c r="AM25" s="691">
        <v>0</v>
      </c>
      <c r="AN25" s="691">
        <v>0</v>
      </c>
      <c r="AO25" s="691">
        <v>0</v>
      </c>
      <c r="AP25" s="691">
        <v>0</v>
      </c>
      <c r="AQ25" s="691">
        <v>0</v>
      </c>
      <c r="AR25" s="691">
        <v>0</v>
      </c>
      <c r="AS25" s="691">
        <v>0</v>
      </c>
      <c r="AT25" s="691">
        <v>0</v>
      </c>
      <c r="AU25" s="691">
        <v>0</v>
      </c>
      <c r="AV25" s="690"/>
      <c r="AW25" s="691">
        <v>0</v>
      </c>
      <c r="AX25" s="691">
        <v>662322.50662380701</v>
      </c>
      <c r="AY25" s="691">
        <v>662322.50662380701</v>
      </c>
      <c r="AZ25" s="691">
        <v>662322.50662380701</v>
      </c>
      <c r="BA25" s="691">
        <v>660272.8055238073</v>
      </c>
      <c r="BB25" s="691">
        <v>411737.32295616</v>
      </c>
      <c r="BC25" s="691">
        <v>0</v>
      </c>
      <c r="BD25" s="691">
        <v>0</v>
      </c>
      <c r="BE25" s="691">
        <v>0</v>
      </c>
      <c r="BF25" s="691">
        <v>0</v>
      </c>
      <c r="BG25" s="691">
        <v>0</v>
      </c>
      <c r="BH25" s="691">
        <v>0</v>
      </c>
      <c r="BI25" s="691">
        <v>0</v>
      </c>
      <c r="BJ25" s="691">
        <v>0</v>
      </c>
      <c r="BK25" s="691">
        <v>0</v>
      </c>
      <c r="BL25" s="691">
        <v>0</v>
      </c>
      <c r="BM25" s="691">
        <v>0</v>
      </c>
      <c r="BN25" s="691">
        <v>0</v>
      </c>
      <c r="BO25" s="691">
        <v>0</v>
      </c>
      <c r="BP25" s="691">
        <v>0</v>
      </c>
      <c r="BQ25" s="691">
        <v>0</v>
      </c>
      <c r="BR25" s="691">
        <v>0</v>
      </c>
      <c r="BS25" s="691">
        <v>0</v>
      </c>
      <c r="BT25" s="691">
        <v>0</v>
      </c>
      <c r="BU25" s="691">
        <v>0</v>
      </c>
      <c r="BV25" s="691">
        <v>0</v>
      </c>
      <c r="BW25" s="691">
        <v>0</v>
      </c>
      <c r="BX25" s="691">
        <v>0</v>
      </c>
      <c r="BY25" s="691">
        <v>0</v>
      </c>
      <c r="BZ25" s="694">
        <v>0</v>
      </c>
      <c r="CA25" s="705"/>
    </row>
    <row r="26" spans="2:79" s="693" customFormat="1" ht="10.199999999999999">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v>107.68888608351733</v>
      </c>
      <c r="P26" s="704">
        <v>1939859.8843642254</v>
      </c>
      <c r="Q26" s="690"/>
      <c r="R26" s="691">
        <v>0</v>
      </c>
      <c r="S26" s="691">
        <v>98.246296039149371</v>
      </c>
      <c r="T26" s="691">
        <v>98.246296039149371</v>
      </c>
      <c r="U26" s="691">
        <v>98.246296039149371</v>
      </c>
      <c r="V26" s="691">
        <v>98.246296039149371</v>
      </c>
      <c r="W26" s="691">
        <v>89.926732053748793</v>
      </c>
      <c r="X26" s="691">
        <v>76.099207083845954</v>
      </c>
      <c r="Y26" s="691">
        <v>56.970370415329981</v>
      </c>
      <c r="Z26" s="691">
        <v>56.760028007134771</v>
      </c>
      <c r="AA26" s="691">
        <v>56.760028007134771</v>
      </c>
      <c r="AB26" s="691">
        <v>36.60516810448366</v>
      </c>
      <c r="AC26" s="691">
        <v>14.321376981001302</v>
      </c>
      <c r="AD26" s="691">
        <v>14.320119537930438</v>
      </c>
      <c r="AE26" s="691">
        <v>14.320119537930438</v>
      </c>
      <c r="AF26" s="691">
        <v>14.074375709263194</v>
      </c>
      <c r="AG26" s="691">
        <v>14.074375709263194</v>
      </c>
      <c r="AH26" s="691">
        <v>13.724688768257412</v>
      </c>
      <c r="AI26" s="691">
        <v>3.850882936684084</v>
      </c>
      <c r="AJ26" s="691">
        <v>3.850882936684084</v>
      </c>
      <c r="AK26" s="691">
        <v>3.850882936684084</v>
      </c>
      <c r="AL26" s="691">
        <v>3.850882936684084</v>
      </c>
      <c r="AM26" s="691">
        <v>0</v>
      </c>
      <c r="AN26" s="691">
        <v>0</v>
      </c>
      <c r="AO26" s="691">
        <v>0</v>
      </c>
      <c r="AP26" s="691">
        <v>0</v>
      </c>
      <c r="AQ26" s="691">
        <v>0</v>
      </c>
      <c r="AR26" s="691">
        <v>0</v>
      </c>
      <c r="AS26" s="691">
        <v>0</v>
      </c>
      <c r="AT26" s="691">
        <v>0</v>
      </c>
      <c r="AU26" s="691">
        <v>0</v>
      </c>
      <c r="AV26" s="690"/>
      <c r="AW26" s="691">
        <v>0</v>
      </c>
      <c r="AX26" s="691">
        <v>1777858.0110868521</v>
      </c>
      <c r="AY26" s="691">
        <v>1777858.0110868521</v>
      </c>
      <c r="AZ26" s="691">
        <v>1777858.0110868521</v>
      </c>
      <c r="BA26" s="691">
        <v>1777858.0110868521</v>
      </c>
      <c r="BB26" s="691">
        <v>1598181.2525456224</v>
      </c>
      <c r="BC26" s="691">
        <v>1299549.6331963514</v>
      </c>
      <c r="BD26" s="691">
        <v>886426.13618437818</v>
      </c>
      <c r="BE26" s="691">
        <v>884583.53668858798</v>
      </c>
      <c r="BF26" s="691">
        <v>884583.53668858798</v>
      </c>
      <c r="BG26" s="691">
        <v>449301.12254815624</v>
      </c>
      <c r="BH26" s="691">
        <v>333440.03745082178</v>
      </c>
      <c r="BI26" s="691">
        <v>323077.26807698485</v>
      </c>
      <c r="BJ26" s="691">
        <v>323077.26807698485</v>
      </c>
      <c r="BK26" s="691">
        <v>300521.66496091691</v>
      </c>
      <c r="BL26" s="691">
        <v>300521.66496091691</v>
      </c>
      <c r="BM26" s="691">
        <v>296410.67659256374</v>
      </c>
      <c r="BN26" s="691">
        <v>83167.118469107154</v>
      </c>
      <c r="BO26" s="691">
        <v>83167.118469107154</v>
      </c>
      <c r="BP26" s="691">
        <v>83167.118469107154</v>
      </c>
      <c r="BQ26" s="691">
        <v>83167.118469107154</v>
      </c>
      <c r="BR26" s="691">
        <v>0</v>
      </c>
      <c r="BS26" s="691">
        <v>0</v>
      </c>
      <c r="BT26" s="691">
        <v>0</v>
      </c>
      <c r="BU26" s="691">
        <v>0</v>
      </c>
      <c r="BV26" s="691">
        <v>0</v>
      </c>
      <c r="BW26" s="691">
        <v>0</v>
      </c>
      <c r="BX26" s="691">
        <v>0</v>
      </c>
      <c r="BY26" s="691">
        <v>0</v>
      </c>
      <c r="BZ26" s="694">
        <v>0</v>
      </c>
      <c r="CA26" s="705"/>
    </row>
    <row r="27" spans="2:79" s="693" customFormat="1" ht="10.199999999999999">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v>15.327919902812921</v>
      </c>
      <c r="P27" s="704">
        <v>88017.611642866381</v>
      </c>
      <c r="Q27" s="690"/>
      <c r="R27" s="691">
        <v>0</v>
      </c>
      <c r="S27" s="691">
        <v>15.295763634875984</v>
      </c>
      <c r="T27" s="691">
        <v>15.295763634875984</v>
      </c>
      <c r="U27" s="691">
        <v>15.295763634875984</v>
      </c>
      <c r="V27" s="691">
        <v>15.295763634875984</v>
      </c>
      <c r="W27" s="691">
        <v>15.231196918425606</v>
      </c>
      <c r="X27" s="691">
        <v>15.231196918425606</v>
      </c>
      <c r="Y27" s="691">
        <v>12.991422342451488</v>
      </c>
      <c r="Z27" s="691">
        <v>12.964299242447368</v>
      </c>
      <c r="AA27" s="691">
        <v>12.964299242447368</v>
      </c>
      <c r="AB27" s="691">
        <v>12.964299242447368</v>
      </c>
      <c r="AC27" s="691">
        <v>0.23847424498221739</v>
      </c>
      <c r="AD27" s="691">
        <v>0.23831001126482604</v>
      </c>
      <c r="AE27" s="691">
        <v>0.23831001126482604</v>
      </c>
      <c r="AF27" s="691">
        <v>0.22972868094194121</v>
      </c>
      <c r="AG27" s="691">
        <v>0.22972868094194121</v>
      </c>
      <c r="AH27" s="691">
        <v>0.21458475829995852</v>
      </c>
      <c r="AI27" s="691">
        <v>0</v>
      </c>
      <c r="AJ27" s="691">
        <v>0</v>
      </c>
      <c r="AK27" s="691">
        <v>0</v>
      </c>
      <c r="AL27" s="691">
        <v>0</v>
      </c>
      <c r="AM27" s="691">
        <v>0</v>
      </c>
      <c r="AN27" s="691">
        <v>0</v>
      </c>
      <c r="AO27" s="691">
        <v>0</v>
      </c>
      <c r="AP27" s="691">
        <v>0</v>
      </c>
      <c r="AQ27" s="691">
        <v>0</v>
      </c>
      <c r="AR27" s="691">
        <v>0</v>
      </c>
      <c r="AS27" s="691">
        <v>0</v>
      </c>
      <c r="AT27" s="691">
        <v>0</v>
      </c>
      <c r="AU27" s="691">
        <v>0</v>
      </c>
      <c r="AV27" s="690"/>
      <c r="AW27" s="691">
        <v>0</v>
      </c>
      <c r="AX27" s="691">
        <v>92817.362415539537</v>
      </c>
      <c r="AY27" s="691">
        <v>92817.362415539537</v>
      </c>
      <c r="AZ27" s="691">
        <v>92817.362415539537</v>
      </c>
      <c r="BA27" s="691">
        <v>92817.362415539537</v>
      </c>
      <c r="BB27" s="691">
        <v>91422.921752325405</v>
      </c>
      <c r="BC27" s="691">
        <v>91422.921752325405</v>
      </c>
      <c r="BD27" s="691">
        <v>43050.743068407282</v>
      </c>
      <c r="BE27" s="691">
        <v>42813.144712371199</v>
      </c>
      <c r="BF27" s="691">
        <v>42813.144712371199</v>
      </c>
      <c r="BG27" s="691">
        <v>42813.144712371199</v>
      </c>
      <c r="BH27" s="691">
        <v>6953.5109625009891</v>
      </c>
      <c r="BI27" s="691">
        <v>5600.0372536963141</v>
      </c>
      <c r="BJ27" s="691">
        <v>5600.0372536963141</v>
      </c>
      <c r="BK27" s="691">
        <v>4812.3996474109499</v>
      </c>
      <c r="BL27" s="691">
        <v>4812.3996474109499</v>
      </c>
      <c r="BM27" s="691">
        <v>4634.3647180728212</v>
      </c>
      <c r="BN27" s="691">
        <v>0</v>
      </c>
      <c r="BO27" s="691">
        <v>0</v>
      </c>
      <c r="BP27" s="691">
        <v>0</v>
      </c>
      <c r="BQ27" s="691">
        <v>0</v>
      </c>
      <c r="BR27" s="691">
        <v>0</v>
      </c>
      <c r="BS27" s="691">
        <v>0</v>
      </c>
      <c r="BT27" s="691">
        <v>0</v>
      </c>
      <c r="BU27" s="691">
        <v>0</v>
      </c>
      <c r="BV27" s="691">
        <v>0</v>
      </c>
      <c r="BW27" s="691">
        <v>0</v>
      </c>
      <c r="BX27" s="691">
        <v>0</v>
      </c>
      <c r="BY27" s="691">
        <v>0</v>
      </c>
      <c r="BZ27" s="694">
        <v>0</v>
      </c>
      <c r="CA27" s="705"/>
    </row>
    <row r="28" spans="2:79" s="693" customFormat="1" ht="10.199999999999999">
      <c r="B28" s="689">
        <v>5</v>
      </c>
      <c r="C28" s="690" t="s">
        <v>680</v>
      </c>
      <c r="D28" s="690"/>
      <c r="E28" s="690"/>
      <c r="F28" s="690"/>
      <c r="G28" s="690" t="s">
        <v>29</v>
      </c>
      <c r="H28" s="690" t="s">
        <v>683</v>
      </c>
      <c r="I28" s="690">
        <v>2012</v>
      </c>
      <c r="J28" s="690"/>
      <c r="K28" s="690" t="s">
        <v>707</v>
      </c>
      <c r="L28" s="690"/>
      <c r="M28" s="690" t="s">
        <v>688</v>
      </c>
      <c r="N28" s="704">
        <v>7614.342490709756</v>
      </c>
      <c r="O28" s="704">
        <v>3277.6882039460638</v>
      </c>
      <c r="P28" s="704">
        <v>5614936.2237510774</v>
      </c>
      <c r="Q28" s="690"/>
      <c r="R28" s="691">
        <v>0</v>
      </c>
      <c r="S28" s="691">
        <v>1635.2190237884558</v>
      </c>
      <c r="T28" s="691">
        <v>1635.2190237884558</v>
      </c>
      <c r="U28" s="691">
        <v>1635.2190237884558</v>
      </c>
      <c r="V28" s="691">
        <v>1635.2190237884558</v>
      </c>
      <c r="W28" s="691">
        <v>1635.2190237884558</v>
      </c>
      <c r="X28" s="691">
        <v>1635.2190237884558</v>
      </c>
      <c r="Y28" s="691">
        <v>1635.2190237884558</v>
      </c>
      <c r="Z28" s="691">
        <v>1635.2190237884558</v>
      </c>
      <c r="AA28" s="691">
        <v>1635.2190237884558</v>
      </c>
      <c r="AB28" s="691">
        <v>1635.2190237884558</v>
      </c>
      <c r="AC28" s="691">
        <v>1635.2190237884558</v>
      </c>
      <c r="AD28" s="691">
        <v>1635.2190237884558</v>
      </c>
      <c r="AE28" s="691">
        <v>1635.2190237884558</v>
      </c>
      <c r="AF28" s="691">
        <v>1635.2190237884558</v>
      </c>
      <c r="AG28" s="691">
        <v>1635.2190237884558</v>
      </c>
      <c r="AH28" s="691">
        <v>1635.2190237884558</v>
      </c>
      <c r="AI28" s="691">
        <v>1635.2190237884558</v>
      </c>
      <c r="AJ28" s="691">
        <v>1635.2190237884558</v>
      </c>
      <c r="AK28" s="691">
        <v>1253.6191586620789</v>
      </c>
      <c r="AL28" s="691">
        <v>0</v>
      </c>
      <c r="AM28" s="691">
        <v>0</v>
      </c>
      <c r="AN28" s="691">
        <v>0</v>
      </c>
      <c r="AO28" s="691">
        <v>0</v>
      </c>
      <c r="AP28" s="691">
        <v>0</v>
      </c>
      <c r="AQ28" s="691">
        <v>0</v>
      </c>
      <c r="AR28" s="691">
        <v>0</v>
      </c>
      <c r="AS28" s="691">
        <v>0</v>
      </c>
      <c r="AT28" s="691">
        <v>0</v>
      </c>
      <c r="AU28" s="691">
        <v>0</v>
      </c>
      <c r="AV28" s="690"/>
      <c r="AW28" s="691">
        <v>0</v>
      </c>
      <c r="AX28" s="691">
        <v>2761284.784741634</v>
      </c>
      <c r="AY28" s="691">
        <v>2761284.784741634</v>
      </c>
      <c r="AZ28" s="691">
        <v>2761284.784741634</v>
      </c>
      <c r="BA28" s="691">
        <v>2761284.784741634</v>
      </c>
      <c r="BB28" s="691">
        <v>2761284.784741634</v>
      </c>
      <c r="BC28" s="691">
        <v>2761284.784741634</v>
      </c>
      <c r="BD28" s="691">
        <v>2761284.784741634</v>
      </c>
      <c r="BE28" s="691">
        <v>2761284.784741634</v>
      </c>
      <c r="BF28" s="691">
        <v>2761284.784741634</v>
      </c>
      <c r="BG28" s="691">
        <v>2761284.784741634</v>
      </c>
      <c r="BH28" s="691">
        <v>2761284.784741634</v>
      </c>
      <c r="BI28" s="691">
        <v>2761284.784741634</v>
      </c>
      <c r="BJ28" s="691">
        <v>2761284.784741634</v>
      </c>
      <c r="BK28" s="691">
        <v>2761284.784741634</v>
      </c>
      <c r="BL28" s="691">
        <v>2761284.784741634</v>
      </c>
      <c r="BM28" s="691">
        <v>2761284.784741634</v>
      </c>
      <c r="BN28" s="691">
        <v>2761284.784741634</v>
      </c>
      <c r="BO28" s="691">
        <v>2761284.784741634</v>
      </c>
      <c r="BP28" s="691">
        <v>2420037.4185587289</v>
      </c>
      <c r="BQ28" s="691">
        <v>0</v>
      </c>
      <c r="BR28" s="691">
        <v>0</v>
      </c>
      <c r="BS28" s="691">
        <v>0</v>
      </c>
      <c r="BT28" s="691">
        <v>0</v>
      </c>
      <c r="BU28" s="691">
        <v>0</v>
      </c>
      <c r="BV28" s="691">
        <v>0</v>
      </c>
      <c r="BW28" s="691">
        <v>0</v>
      </c>
      <c r="BX28" s="691">
        <v>0</v>
      </c>
      <c r="BY28" s="691">
        <v>0</v>
      </c>
      <c r="BZ28" s="694">
        <v>0</v>
      </c>
      <c r="CA28" s="705"/>
    </row>
    <row r="29" spans="2:79" s="693" customFormat="1" ht="10.199999999999999">
      <c r="B29" s="689">
        <v>6</v>
      </c>
      <c r="C29" s="690" t="s">
        <v>680</v>
      </c>
      <c r="D29" s="690" t="s">
        <v>681</v>
      </c>
      <c r="E29" s="690" t="s">
        <v>42</v>
      </c>
      <c r="F29" s="690" t="s">
        <v>682</v>
      </c>
      <c r="G29" s="690" t="s">
        <v>29</v>
      </c>
      <c r="H29" s="690" t="s">
        <v>689</v>
      </c>
      <c r="I29" s="690">
        <v>2012</v>
      </c>
      <c r="J29" s="690"/>
      <c r="K29" s="690" t="s">
        <v>707</v>
      </c>
      <c r="L29" s="690"/>
      <c r="M29" s="690" t="s">
        <v>691</v>
      </c>
      <c r="N29" s="704">
        <v>7780</v>
      </c>
      <c r="O29" s="704">
        <v>3872.6332751999998</v>
      </c>
      <c r="P29" s="704">
        <v>28586.750249000001</v>
      </c>
      <c r="Q29" s="690"/>
      <c r="R29" s="691">
        <v>0</v>
      </c>
      <c r="S29" s="691">
        <v>3872.6332751999998</v>
      </c>
      <c r="T29" s="691">
        <v>0</v>
      </c>
      <c r="U29" s="691">
        <v>0</v>
      </c>
      <c r="V29" s="691">
        <v>0</v>
      </c>
      <c r="W29" s="691">
        <v>0</v>
      </c>
      <c r="X29" s="691">
        <v>0</v>
      </c>
      <c r="Y29" s="691">
        <v>0</v>
      </c>
      <c r="Z29" s="691">
        <v>0</v>
      </c>
      <c r="AA29" s="691">
        <v>0</v>
      </c>
      <c r="AB29" s="691">
        <v>0</v>
      </c>
      <c r="AC29" s="691">
        <v>0</v>
      </c>
      <c r="AD29" s="691">
        <v>0</v>
      </c>
      <c r="AE29" s="691">
        <v>0</v>
      </c>
      <c r="AF29" s="691">
        <v>0</v>
      </c>
      <c r="AG29" s="691">
        <v>0</v>
      </c>
      <c r="AH29" s="691">
        <v>0</v>
      </c>
      <c r="AI29" s="691">
        <v>0</v>
      </c>
      <c r="AJ29" s="691">
        <v>0</v>
      </c>
      <c r="AK29" s="691">
        <v>0</v>
      </c>
      <c r="AL29" s="691">
        <v>0</v>
      </c>
      <c r="AM29" s="691">
        <v>0</v>
      </c>
      <c r="AN29" s="691">
        <v>0</v>
      </c>
      <c r="AO29" s="691">
        <v>0</v>
      </c>
      <c r="AP29" s="691">
        <v>0</v>
      </c>
      <c r="AQ29" s="691">
        <v>0</v>
      </c>
      <c r="AR29" s="691">
        <v>0</v>
      </c>
      <c r="AS29" s="691">
        <v>0</v>
      </c>
      <c r="AT29" s="691">
        <v>0</v>
      </c>
      <c r="AU29" s="691">
        <v>0</v>
      </c>
      <c r="AV29" s="690"/>
      <c r="AW29" s="691">
        <v>0</v>
      </c>
      <c r="AX29" s="691">
        <v>28586.750249000001</v>
      </c>
      <c r="AY29" s="691">
        <v>0</v>
      </c>
      <c r="AZ29" s="691">
        <v>0</v>
      </c>
      <c r="BA29" s="691">
        <v>0</v>
      </c>
      <c r="BB29" s="691">
        <v>0</v>
      </c>
      <c r="BC29" s="691">
        <v>0</v>
      </c>
      <c r="BD29" s="691">
        <v>0</v>
      </c>
      <c r="BE29" s="691">
        <v>0</v>
      </c>
      <c r="BF29" s="691">
        <v>0</v>
      </c>
      <c r="BG29" s="691">
        <v>0</v>
      </c>
      <c r="BH29" s="691">
        <v>0</v>
      </c>
      <c r="BI29" s="691">
        <v>0</v>
      </c>
      <c r="BJ29" s="691">
        <v>0</v>
      </c>
      <c r="BK29" s="691">
        <v>0</v>
      </c>
      <c r="BL29" s="691">
        <v>0</v>
      </c>
      <c r="BM29" s="691">
        <v>0</v>
      </c>
      <c r="BN29" s="691">
        <v>0</v>
      </c>
      <c r="BO29" s="691">
        <v>0</v>
      </c>
      <c r="BP29" s="691">
        <v>0</v>
      </c>
      <c r="BQ29" s="691">
        <v>0</v>
      </c>
      <c r="BR29" s="691">
        <v>0</v>
      </c>
      <c r="BS29" s="691">
        <v>0</v>
      </c>
      <c r="BT29" s="691">
        <v>0</v>
      </c>
      <c r="BU29" s="691">
        <v>0</v>
      </c>
      <c r="BV29" s="691">
        <v>0</v>
      </c>
      <c r="BW29" s="691">
        <v>0</v>
      </c>
      <c r="BX29" s="691">
        <v>0</v>
      </c>
      <c r="BY29" s="691">
        <v>0</v>
      </c>
      <c r="BZ29" s="694">
        <v>0</v>
      </c>
      <c r="CA29" s="705"/>
    </row>
    <row r="30" spans="2:79" s="693" customFormat="1" ht="10.199999999999999">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v>1523.3849388713063</v>
      </c>
      <c r="P30" s="704">
        <v>5758088.1830670005</v>
      </c>
      <c r="Q30" s="690"/>
      <c r="R30" s="691">
        <v>0</v>
      </c>
      <c r="S30" s="691">
        <v>1437.0705927699516</v>
      </c>
      <c r="T30" s="691">
        <v>1434.9755266768884</v>
      </c>
      <c r="U30" s="691">
        <v>1234.0808494956405</v>
      </c>
      <c r="V30" s="691">
        <v>946.67636798902879</v>
      </c>
      <c r="W30" s="691">
        <v>946.43374257492326</v>
      </c>
      <c r="X30" s="691">
        <v>244.02128103761575</v>
      </c>
      <c r="Y30" s="691">
        <v>244.02128103761575</v>
      </c>
      <c r="Z30" s="691">
        <v>234.63127046613783</v>
      </c>
      <c r="AA30" s="691">
        <v>234.63127046613783</v>
      </c>
      <c r="AB30" s="691">
        <v>234.63127046613783</v>
      </c>
      <c r="AC30" s="691">
        <v>218.78251448533041</v>
      </c>
      <c r="AD30" s="691">
        <v>218.78251448533041</v>
      </c>
      <c r="AE30" s="691">
        <v>14.716110600267019</v>
      </c>
      <c r="AF30" s="691">
        <v>14.716110600267019</v>
      </c>
      <c r="AG30" s="691">
        <v>14.716110600267019</v>
      </c>
      <c r="AH30" s="691">
        <v>0</v>
      </c>
      <c r="AI30" s="691">
        <v>0</v>
      </c>
      <c r="AJ30" s="691">
        <v>0</v>
      </c>
      <c r="AK30" s="691">
        <v>0</v>
      </c>
      <c r="AL30" s="691">
        <v>0</v>
      </c>
      <c r="AM30" s="691">
        <v>0</v>
      </c>
      <c r="AN30" s="691">
        <v>0</v>
      </c>
      <c r="AO30" s="691">
        <v>0</v>
      </c>
      <c r="AP30" s="691">
        <v>0</v>
      </c>
      <c r="AQ30" s="691">
        <v>0</v>
      </c>
      <c r="AR30" s="691">
        <v>0</v>
      </c>
      <c r="AS30" s="691">
        <v>0</v>
      </c>
      <c r="AT30" s="691">
        <v>0</v>
      </c>
      <c r="AU30" s="691">
        <v>0</v>
      </c>
      <c r="AV30" s="690"/>
      <c r="AW30" s="691">
        <v>0</v>
      </c>
      <c r="AX30" s="691">
        <v>5424342.6788559761</v>
      </c>
      <c r="AY30" s="691">
        <v>5415634.9588425448</v>
      </c>
      <c r="AZ30" s="691">
        <v>4573454.4394884622</v>
      </c>
      <c r="BA30" s="691">
        <v>3341962.2566060103</v>
      </c>
      <c r="BB30" s="691">
        <v>3340837.4798673992</v>
      </c>
      <c r="BC30" s="691">
        <v>891386.27729651832</v>
      </c>
      <c r="BD30" s="691">
        <v>891386.27729651832</v>
      </c>
      <c r="BE30" s="691">
        <v>882009.22274148068</v>
      </c>
      <c r="BF30" s="691">
        <v>882009.22274148068</v>
      </c>
      <c r="BG30" s="691">
        <v>882009.22274148068</v>
      </c>
      <c r="BH30" s="691">
        <v>726932.59690633812</v>
      </c>
      <c r="BI30" s="691">
        <v>726932.59690633812</v>
      </c>
      <c r="BJ30" s="691">
        <v>14695.805812595327</v>
      </c>
      <c r="BK30" s="691">
        <v>14695.805812595327</v>
      </c>
      <c r="BL30" s="691">
        <v>14695.805812595327</v>
      </c>
      <c r="BM30" s="691">
        <v>0</v>
      </c>
      <c r="BN30" s="691">
        <v>0</v>
      </c>
      <c r="BO30" s="691">
        <v>0</v>
      </c>
      <c r="BP30" s="691">
        <v>0</v>
      </c>
      <c r="BQ30" s="691">
        <v>0</v>
      </c>
      <c r="BR30" s="691">
        <v>0</v>
      </c>
      <c r="BS30" s="691">
        <v>0</v>
      </c>
      <c r="BT30" s="691">
        <v>0</v>
      </c>
      <c r="BU30" s="691">
        <v>0</v>
      </c>
      <c r="BV30" s="691">
        <v>0</v>
      </c>
      <c r="BW30" s="691">
        <v>0</v>
      </c>
      <c r="BX30" s="691">
        <v>0</v>
      </c>
      <c r="BY30" s="691">
        <v>0</v>
      </c>
      <c r="BZ30" s="694">
        <v>0</v>
      </c>
      <c r="CA30" s="705"/>
    </row>
    <row r="31" spans="2:79" s="693" customFormat="1" ht="10.199999999999999">
      <c r="B31" s="689">
        <v>8</v>
      </c>
      <c r="C31" s="690" t="s">
        <v>680</v>
      </c>
      <c r="D31" s="690" t="s">
        <v>693</v>
      </c>
      <c r="E31" s="690" t="s">
        <v>22</v>
      </c>
      <c r="F31" s="690" t="s">
        <v>682</v>
      </c>
      <c r="G31" s="690" t="s">
        <v>706</v>
      </c>
      <c r="H31" s="690" t="s">
        <v>683</v>
      </c>
      <c r="I31" s="690">
        <v>2012</v>
      </c>
      <c r="J31" s="690"/>
      <c r="K31" s="690" t="s">
        <v>707</v>
      </c>
      <c r="L31" s="690"/>
      <c r="M31" s="690" t="s">
        <v>699</v>
      </c>
      <c r="N31" s="704">
        <v>388</v>
      </c>
      <c r="O31" s="704">
        <v>6206.8737795536836</v>
      </c>
      <c r="P31" s="704">
        <v>33903387.342965424</v>
      </c>
      <c r="Q31" s="690"/>
      <c r="R31" s="691">
        <v>0</v>
      </c>
      <c r="S31" s="691">
        <v>4689.817557520254</v>
      </c>
      <c r="T31" s="691">
        <v>4669.6367558809488</v>
      </c>
      <c r="U31" s="691">
        <v>4661.9739999941048</v>
      </c>
      <c r="V31" s="691">
        <v>4590.8220435100502</v>
      </c>
      <c r="W31" s="691">
        <v>4590.8220435100502</v>
      </c>
      <c r="X31" s="691">
        <v>4349.0322927641473</v>
      </c>
      <c r="Y31" s="691">
        <v>4254.2341479961606</v>
      </c>
      <c r="Z31" s="691">
        <v>4254.2341479961606</v>
      </c>
      <c r="AA31" s="691">
        <v>4008.7000171507652</v>
      </c>
      <c r="AB31" s="691">
        <v>2730.3586248457527</v>
      </c>
      <c r="AC31" s="691">
        <v>2629.8942401233394</v>
      </c>
      <c r="AD31" s="691">
        <v>2629.8942401233394</v>
      </c>
      <c r="AE31" s="691">
        <v>980.63699897953097</v>
      </c>
      <c r="AF31" s="691">
        <v>937.66519196782644</v>
      </c>
      <c r="AG31" s="691">
        <v>937.66519196782644</v>
      </c>
      <c r="AH31" s="691">
        <v>222.5256819689165</v>
      </c>
      <c r="AI31" s="691">
        <v>155.27290336872233</v>
      </c>
      <c r="AJ31" s="691">
        <v>155.27290336872233</v>
      </c>
      <c r="AK31" s="691">
        <v>155.27290336872233</v>
      </c>
      <c r="AL31" s="691">
        <v>155.27290336872233</v>
      </c>
      <c r="AM31" s="691">
        <v>0</v>
      </c>
      <c r="AN31" s="691">
        <v>0</v>
      </c>
      <c r="AO31" s="691">
        <v>0</v>
      </c>
      <c r="AP31" s="691">
        <v>0</v>
      </c>
      <c r="AQ31" s="691">
        <v>0</v>
      </c>
      <c r="AR31" s="691">
        <v>0</v>
      </c>
      <c r="AS31" s="691">
        <v>0</v>
      </c>
      <c r="AT31" s="691">
        <v>0</v>
      </c>
      <c r="AU31" s="691">
        <v>0</v>
      </c>
      <c r="AV31" s="690"/>
      <c r="AW31" s="691">
        <v>0</v>
      </c>
      <c r="AX31" s="691">
        <v>25834396.827353202</v>
      </c>
      <c r="AY31" s="691">
        <v>25767976.165304456</v>
      </c>
      <c r="AZ31" s="691">
        <v>25742596.784025948</v>
      </c>
      <c r="BA31" s="691">
        <v>25509177.367360171</v>
      </c>
      <c r="BB31" s="691">
        <v>25509177.367360171</v>
      </c>
      <c r="BC31" s="691">
        <v>24717523.591794766</v>
      </c>
      <c r="BD31" s="691">
        <v>24157030.4259996</v>
      </c>
      <c r="BE31" s="691">
        <v>24157030.4259996</v>
      </c>
      <c r="BF31" s="691">
        <v>23087410.557311624</v>
      </c>
      <c r="BG31" s="691">
        <v>15754901.74809199</v>
      </c>
      <c r="BH31" s="691">
        <v>14199021.062035101</v>
      </c>
      <c r="BI31" s="691">
        <v>14131085.252128275</v>
      </c>
      <c r="BJ31" s="691">
        <v>4337256.1555195851</v>
      </c>
      <c r="BK31" s="691">
        <v>4196413.4814207572</v>
      </c>
      <c r="BL31" s="691">
        <v>4196413.4814207572</v>
      </c>
      <c r="BM31" s="691">
        <v>646031.52451381437</v>
      </c>
      <c r="BN31" s="691">
        <v>460511.571788072</v>
      </c>
      <c r="BO31" s="691">
        <v>460511.571788072</v>
      </c>
      <c r="BP31" s="691">
        <v>460511.571788072</v>
      </c>
      <c r="BQ31" s="691">
        <v>460511.571788072</v>
      </c>
      <c r="BR31" s="691">
        <v>0</v>
      </c>
      <c r="BS31" s="691">
        <v>0</v>
      </c>
      <c r="BT31" s="691">
        <v>0</v>
      </c>
      <c r="BU31" s="691">
        <v>0</v>
      </c>
      <c r="BV31" s="691">
        <v>0</v>
      </c>
      <c r="BW31" s="691">
        <v>0</v>
      </c>
      <c r="BX31" s="691">
        <v>0</v>
      </c>
      <c r="BY31" s="691">
        <v>0</v>
      </c>
      <c r="BZ31" s="694">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v>51.771746295647823</v>
      </c>
      <c r="P32" s="704">
        <v>251762.54462563081</v>
      </c>
      <c r="Q32" s="690"/>
      <c r="R32" s="691">
        <v>0</v>
      </c>
      <c r="S32" s="691">
        <v>51.771746295647823</v>
      </c>
      <c r="T32" s="691">
        <v>51.771746295647823</v>
      </c>
      <c r="U32" s="691">
        <v>51.771746295647823</v>
      </c>
      <c r="V32" s="691">
        <v>51.771746295647823</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1">
        <v>0</v>
      </c>
      <c r="AP32" s="691">
        <v>0</v>
      </c>
      <c r="AQ32" s="691">
        <v>0</v>
      </c>
      <c r="AR32" s="691">
        <v>0</v>
      </c>
      <c r="AS32" s="691">
        <v>0</v>
      </c>
      <c r="AT32" s="691">
        <v>0</v>
      </c>
      <c r="AU32" s="691">
        <v>0</v>
      </c>
      <c r="AV32" s="690"/>
      <c r="AW32" s="691">
        <v>0</v>
      </c>
      <c r="AX32" s="691">
        <v>251762.54462563081</v>
      </c>
      <c r="AY32" s="691">
        <v>251762.54462563081</v>
      </c>
      <c r="AZ32" s="691">
        <v>251762.54462563081</v>
      </c>
      <c r="BA32" s="691">
        <v>251762.54462563081</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1">
        <v>0</v>
      </c>
      <c r="BU32" s="691">
        <v>0</v>
      </c>
      <c r="BV32" s="691">
        <v>0</v>
      </c>
      <c r="BW32" s="691">
        <v>0</v>
      </c>
      <c r="BX32" s="691">
        <v>0</v>
      </c>
      <c r="BY32" s="691">
        <v>0</v>
      </c>
      <c r="BZ32" s="694">
        <v>0</v>
      </c>
      <c r="CA32" s="705"/>
    </row>
    <row r="33" spans="1:79" s="693" customFormat="1" ht="10.199999999999999">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v>1232.3429100000001</v>
      </c>
      <c r="P33" s="704">
        <v>17912.5</v>
      </c>
      <c r="Q33" s="690"/>
      <c r="R33" s="691">
        <v>0</v>
      </c>
      <c r="S33" s="691">
        <v>1232.3429100000001</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1">
        <v>0</v>
      </c>
      <c r="AP33" s="691">
        <v>0</v>
      </c>
      <c r="AQ33" s="691">
        <v>0</v>
      </c>
      <c r="AR33" s="691">
        <v>0</v>
      </c>
      <c r="AS33" s="691">
        <v>0</v>
      </c>
      <c r="AT33" s="691">
        <v>0</v>
      </c>
      <c r="AU33" s="691">
        <v>0</v>
      </c>
      <c r="AV33" s="690"/>
      <c r="AW33" s="691">
        <v>0</v>
      </c>
      <c r="AX33" s="691">
        <v>17912.5</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1">
        <v>0</v>
      </c>
      <c r="BU33" s="691">
        <v>0</v>
      </c>
      <c r="BV33" s="691">
        <v>0</v>
      </c>
      <c r="BW33" s="691">
        <v>0</v>
      </c>
      <c r="BX33" s="691">
        <v>0</v>
      </c>
      <c r="BY33" s="691">
        <v>0</v>
      </c>
      <c r="BZ33" s="694">
        <v>0</v>
      </c>
      <c r="CA33" s="705"/>
    </row>
    <row r="34" spans="1:79" s="693" customFormat="1" ht="10.199999999999999">
      <c r="B34" s="689">
        <v>11</v>
      </c>
      <c r="C34" s="690" t="s">
        <v>680</v>
      </c>
      <c r="D34" s="690" t="s">
        <v>708</v>
      </c>
      <c r="E34" s="690" t="s">
        <v>14</v>
      </c>
      <c r="F34" s="690" t="s">
        <v>682</v>
      </c>
      <c r="G34" s="690" t="s">
        <v>29</v>
      </c>
      <c r="H34" s="690" t="s">
        <v>683</v>
      </c>
      <c r="I34" s="690">
        <v>2012</v>
      </c>
      <c r="J34" s="690"/>
      <c r="K34" s="690" t="s">
        <v>707</v>
      </c>
      <c r="L34" s="690"/>
      <c r="M34" s="690" t="s">
        <v>699</v>
      </c>
      <c r="N34" s="704">
        <v>258</v>
      </c>
      <c r="O34" s="704">
        <v>35.877025992143871</v>
      </c>
      <c r="P34" s="704">
        <v>313.10242748641969</v>
      </c>
      <c r="Q34" s="690"/>
      <c r="R34" s="691">
        <v>0</v>
      </c>
      <c r="S34" s="691">
        <v>35.877025992143871</v>
      </c>
      <c r="T34" s="691">
        <v>34.544499825220534</v>
      </c>
      <c r="U34" s="691">
        <v>34.544499825220534</v>
      </c>
      <c r="V34" s="691">
        <v>34.544499825220534</v>
      </c>
      <c r="W34" s="691">
        <v>34.38185599865389</v>
      </c>
      <c r="X34" s="691">
        <v>34.38185599865389</v>
      </c>
      <c r="Y34" s="691">
        <v>33.5332160196267</v>
      </c>
      <c r="Z34" s="691">
        <v>33.5332160196267</v>
      </c>
      <c r="AA34" s="691">
        <v>26.119961339980375</v>
      </c>
      <c r="AB34" s="691">
        <v>23.729011733084928</v>
      </c>
      <c r="AC34" s="691">
        <v>22.158945769537265</v>
      </c>
      <c r="AD34" s="691">
        <v>22.158945769537265</v>
      </c>
      <c r="AE34" s="691">
        <v>18.107894570101088</v>
      </c>
      <c r="AF34" s="691">
        <v>18.107894570101088</v>
      </c>
      <c r="AG34" s="691">
        <v>10.69380915211514</v>
      </c>
      <c r="AH34" s="691">
        <v>10.096935082226995</v>
      </c>
      <c r="AI34" s="691">
        <v>10.096935082226995</v>
      </c>
      <c r="AJ34" s="691">
        <v>10.096935082226995</v>
      </c>
      <c r="AK34" s="691">
        <v>10.096935082226995</v>
      </c>
      <c r="AL34" s="691">
        <v>10.096935082226995</v>
      </c>
      <c r="AM34" s="691">
        <v>1.2879166379570965</v>
      </c>
      <c r="AN34" s="691">
        <v>0</v>
      </c>
      <c r="AO34" s="691">
        <v>0</v>
      </c>
      <c r="AP34" s="691">
        <v>0</v>
      </c>
      <c r="AQ34" s="691">
        <v>0</v>
      </c>
      <c r="AR34" s="691">
        <v>0</v>
      </c>
      <c r="AS34" s="691">
        <v>0</v>
      </c>
      <c r="AT34" s="691">
        <v>0</v>
      </c>
      <c r="AU34" s="691">
        <v>0</v>
      </c>
      <c r="AV34" s="690"/>
      <c r="AW34" s="691">
        <v>0</v>
      </c>
      <c r="AX34" s="691">
        <v>313.10242748641969</v>
      </c>
      <c r="AY34" s="691">
        <v>287.4504274864197</v>
      </c>
      <c r="AZ34" s="691">
        <v>287.4504274864197</v>
      </c>
      <c r="BA34" s="691">
        <v>287.4504274864197</v>
      </c>
      <c r="BB34" s="691">
        <v>284.10942748641969</v>
      </c>
      <c r="BC34" s="691">
        <v>284.10942748641969</v>
      </c>
      <c r="BD34" s="691">
        <v>267.77255303573611</v>
      </c>
      <c r="BE34" s="691">
        <v>266.21809101486207</v>
      </c>
      <c r="BF34" s="691">
        <v>123.50809101486206</v>
      </c>
      <c r="BG34" s="691">
        <v>121.27509101486206</v>
      </c>
      <c r="BH34" s="691">
        <v>108.22713082504272</v>
      </c>
      <c r="BI34" s="691">
        <v>108.22713082504272</v>
      </c>
      <c r="BJ34" s="691">
        <v>94.758782558441169</v>
      </c>
      <c r="BK34" s="691">
        <v>94.758782558441169</v>
      </c>
      <c r="BL34" s="691">
        <v>36.708782558441165</v>
      </c>
      <c r="BM34" s="691">
        <v>31.786782558441161</v>
      </c>
      <c r="BN34" s="691">
        <v>31.786782558441161</v>
      </c>
      <c r="BO34" s="691">
        <v>31.786782558441161</v>
      </c>
      <c r="BP34" s="691">
        <v>31.786782558441161</v>
      </c>
      <c r="BQ34" s="691">
        <v>31.786782558441161</v>
      </c>
      <c r="BR34" s="691">
        <v>9.4949999999999992</v>
      </c>
      <c r="BS34" s="691">
        <v>0</v>
      </c>
      <c r="BT34" s="691">
        <v>0</v>
      </c>
      <c r="BU34" s="691">
        <v>0</v>
      </c>
      <c r="BV34" s="691">
        <v>0</v>
      </c>
      <c r="BW34" s="691">
        <v>0</v>
      </c>
      <c r="BX34" s="691">
        <v>0</v>
      </c>
      <c r="BY34" s="691">
        <v>0</v>
      </c>
      <c r="BZ34" s="694">
        <v>0</v>
      </c>
      <c r="CA34" s="705"/>
    </row>
    <row r="35" spans="1:79" s="693" customFormat="1" ht="10.199999999999999">
      <c r="B35" s="689">
        <v>12</v>
      </c>
      <c r="C35" s="690" t="s">
        <v>680</v>
      </c>
      <c r="D35" s="690" t="s">
        <v>702</v>
      </c>
      <c r="E35" s="690" t="s">
        <v>9</v>
      </c>
      <c r="F35" s="690" t="s">
        <v>682</v>
      </c>
      <c r="G35" s="690" t="s">
        <v>702</v>
      </c>
      <c r="H35" s="690" t="s">
        <v>689</v>
      </c>
      <c r="I35" s="690">
        <v>2012</v>
      </c>
      <c r="J35" s="690"/>
      <c r="K35" s="690" t="s">
        <v>707</v>
      </c>
      <c r="L35" s="690"/>
      <c r="M35" s="690" t="s">
        <v>698</v>
      </c>
      <c r="N35" s="704">
        <v>12</v>
      </c>
      <c r="O35" s="704">
        <v>3186.4897850000002</v>
      </c>
      <c r="P35" s="704">
        <v>76793.02</v>
      </c>
      <c r="Q35" s="690"/>
      <c r="R35" s="691">
        <v>0</v>
      </c>
      <c r="S35" s="691">
        <v>3186.4897850000002</v>
      </c>
      <c r="T35" s="691">
        <v>0</v>
      </c>
      <c r="U35" s="691">
        <v>0</v>
      </c>
      <c r="V35" s="691">
        <v>0</v>
      </c>
      <c r="W35" s="691">
        <v>0</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1">
        <v>0</v>
      </c>
      <c r="AP35" s="691">
        <v>0</v>
      </c>
      <c r="AQ35" s="691">
        <v>0</v>
      </c>
      <c r="AR35" s="691">
        <v>0</v>
      </c>
      <c r="AS35" s="691">
        <v>0</v>
      </c>
      <c r="AT35" s="691">
        <v>0</v>
      </c>
      <c r="AU35" s="691">
        <v>0</v>
      </c>
      <c r="AV35" s="690"/>
      <c r="AW35" s="691">
        <v>0</v>
      </c>
      <c r="AX35" s="691">
        <v>76793.02</v>
      </c>
      <c r="AY35" s="691">
        <v>0</v>
      </c>
      <c r="AZ35" s="691">
        <v>0</v>
      </c>
      <c r="BA35" s="691">
        <v>0</v>
      </c>
      <c r="BB35" s="691">
        <v>0</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1">
        <v>0</v>
      </c>
      <c r="BU35" s="691">
        <v>0</v>
      </c>
      <c r="BV35" s="691">
        <v>0</v>
      </c>
      <c r="BW35" s="691">
        <v>0</v>
      </c>
      <c r="BX35" s="691">
        <v>0</v>
      </c>
      <c r="BY35" s="691">
        <v>0</v>
      </c>
      <c r="BZ35" s="694">
        <v>0</v>
      </c>
      <c r="CA35" s="705"/>
    </row>
    <row r="36" spans="1:79" s="693" customFormat="1" ht="10.199999999999999">
      <c r="B36" s="689">
        <v>13</v>
      </c>
      <c r="C36" s="690" t="s">
        <v>680</v>
      </c>
      <c r="D36" s="690" t="s">
        <v>702</v>
      </c>
      <c r="E36" s="690" t="s">
        <v>13</v>
      </c>
      <c r="F36" s="690" t="s">
        <v>682</v>
      </c>
      <c r="G36" s="690" t="s">
        <v>702</v>
      </c>
      <c r="H36" s="690"/>
      <c r="I36" s="690">
        <v>2012</v>
      </c>
      <c r="J36" s="690"/>
      <c r="K36" s="690" t="s">
        <v>707</v>
      </c>
      <c r="L36" s="690"/>
      <c r="M36" s="690"/>
      <c r="N36" s="704">
        <v>2</v>
      </c>
      <c r="O36" s="704">
        <v>20.57</v>
      </c>
      <c r="P36" s="704">
        <v>40000</v>
      </c>
      <c r="Q36" s="690"/>
      <c r="R36" s="691">
        <v>0</v>
      </c>
      <c r="S36" s="691">
        <v>18.513000000000002</v>
      </c>
      <c r="T36" s="691">
        <v>18.513000000000002</v>
      </c>
      <c r="U36" s="691">
        <v>18.513000000000002</v>
      </c>
      <c r="V36" s="691">
        <v>18.513000000000002</v>
      </c>
      <c r="W36" s="691">
        <v>18.513000000000002</v>
      </c>
      <c r="X36" s="691">
        <v>18.513000000000002</v>
      </c>
      <c r="Y36" s="691">
        <v>18.513000000000002</v>
      </c>
      <c r="Z36" s="691">
        <v>18.513000000000002</v>
      </c>
      <c r="AA36" s="691">
        <v>18.513000000000002</v>
      </c>
      <c r="AB36" s="691">
        <v>18.513000000000002</v>
      </c>
      <c r="AC36" s="691">
        <v>18.513000000000002</v>
      </c>
      <c r="AD36" s="691">
        <v>0</v>
      </c>
      <c r="AE36" s="691">
        <v>0</v>
      </c>
      <c r="AF36" s="691">
        <v>0</v>
      </c>
      <c r="AG36" s="691">
        <v>0</v>
      </c>
      <c r="AH36" s="691">
        <v>0</v>
      </c>
      <c r="AI36" s="691">
        <v>0</v>
      </c>
      <c r="AJ36" s="691">
        <v>0</v>
      </c>
      <c r="AK36" s="691">
        <v>0</v>
      </c>
      <c r="AL36" s="691">
        <v>0</v>
      </c>
      <c r="AM36" s="691">
        <v>0</v>
      </c>
      <c r="AN36" s="691">
        <v>0</v>
      </c>
      <c r="AO36" s="691">
        <v>0</v>
      </c>
      <c r="AP36" s="691">
        <v>0</v>
      </c>
      <c r="AQ36" s="691">
        <v>0</v>
      </c>
      <c r="AR36" s="691">
        <v>0</v>
      </c>
      <c r="AS36" s="691">
        <v>0</v>
      </c>
      <c r="AT36" s="691">
        <v>0</v>
      </c>
      <c r="AU36" s="691">
        <v>0</v>
      </c>
      <c r="AV36" s="690"/>
      <c r="AW36" s="691">
        <v>0</v>
      </c>
      <c r="AX36" s="691">
        <v>36000</v>
      </c>
      <c r="AY36" s="691">
        <v>36000</v>
      </c>
      <c r="AZ36" s="691">
        <v>36000</v>
      </c>
      <c r="BA36" s="691">
        <v>36000</v>
      </c>
      <c r="BB36" s="691">
        <v>36000</v>
      </c>
      <c r="BC36" s="691">
        <v>36000</v>
      </c>
      <c r="BD36" s="691">
        <v>36000</v>
      </c>
      <c r="BE36" s="691">
        <v>36000</v>
      </c>
      <c r="BF36" s="691">
        <v>36000</v>
      </c>
      <c r="BG36" s="691">
        <v>36000</v>
      </c>
      <c r="BH36" s="691">
        <v>36000</v>
      </c>
      <c r="BI36" s="691">
        <v>0</v>
      </c>
      <c r="BJ36" s="691">
        <v>0</v>
      </c>
      <c r="BK36" s="691">
        <v>0</v>
      </c>
      <c r="BL36" s="691">
        <v>0</v>
      </c>
      <c r="BM36" s="691">
        <v>0</v>
      </c>
      <c r="BN36" s="691">
        <v>0</v>
      </c>
      <c r="BO36" s="691">
        <v>0</v>
      </c>
      <c r="BP36" s="691">
        <v>0</v>
      </c>
      <c r="BQ36" s="691">
        <v>0</v>
      </c>
      <c r="BR36" s="691">
        <v>0</v>
      </c>
      <c r="BS36" s="691">
        <v>0</v>
      </c>
      <c r="BT36" s="691">
        <v>0</v>
      </c>
      <c r="BU36" s="691">
        <v>0</v>
      </c>
      <c r="BV36" s="691">
        <v>0</v>
      </c>
      <c r="BW36" s="691">
        <v>0</v>
      </c>
      <c r="BX36" s="691">
        <v>0</v>
      </c>
      <c r="BY36" s="691">
        <v>0</v>
      </c>
      <c r="BZ36" s="694">
        <v>0</v>
      </c>
      <c r="CA36" s="705"/>
    </row>
    <row r="37" spans="1:79" s="693" customFormat="1" ht="10.199999999999999">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v>644.4013217273955</v>
      </c>
      <c r="P37" s="704">
        <v>2745769.8526613507</v>
      </c>
      <c r="Q37" s="690"/>
      <c r="R37" s="691">
        <v>0</v>
      </c>
      <c r="S37" s="691">
        <v>644.4013217273955</v>
      </c>
      <c r="T37" s="691">
        <v>644.4013217273955</v>
      </c>
      <c r="U37" s="691">
        <v>644.4013217273955</v>
      </c>
      <c r="V37" s="691">
        <v>644.4013217273955</v>
      </c>
      <c r="W37" s="691">
        <v>644.4013217273955</v>
      </c>
      <c r="X37" s="691">
        <v>644.4013217273955</v>
      </c>
      <c r="Y37" s="691">
        <v>644.4013217273955</v>
      </c>
      <c r="Z37" s="691">
        <v>644.4013217273955</v>
      </c>
      <c r="AA37" s="691">
        <v>644.4013217273955</v>
      </c>
      <c r="AB37" s="691">
        <v>644.4013217273955</v>
      </c>
      <c r="AC37" s="691">
        <v>644.4013217273955</v>
      </c>
      <c r="AD37" s="691">
        <v>644.4013217273955</v>
      </c>
      <c r="AE37" s="691">
        <v>0</v>
      </c>
      <c r="AF37" s="691">
        <v>0</v>
      </c>
      <c r="AG37" s="691">
        <v>0</v>
      </c>
      <c r="AH37" s="691">
        <v>0</v>
      </c>
      <c r="AI37" s="691">
        <v>0</v>
      </c>
      <c r="AJ37" s="691">
        <v>0</v>
      </c>
      <c r="AK37" s="691">
        <v>0</v>
      </c>
      <c r="AL37" s="691">
        <v>0</v>
      </c>
      <c r="AM37" s="691">
        <v>0</v>
      </c>
      <c r="AN37" s="691">
        <v>0</v>
      </c>
      <c r="AO37" s="691">
        <v>0</v>
      </c>
      <c r="AP37" s="691">
        <v>0</v>
      </c>
      <c r="AQ37" s="691">
        <v>0</v>
      </c>
      <c r="AR37" s="691">
        <v>0</v>
      </c>
      <c r="AS37" s="691">
        <v>0</v>
      </c>
      <c r="AT37" s="691">
        <v>0</v>
      </c>
      <c r="AU37" s="691">
        <v>0</v>
      </c>
      <c r="AV37" s="690"/>
      <c r="AW37" s="691">
        <v>0</v>
      </c>
      <c r="AX37" s="691">
        <v>2745769.8526613507</v>
      </c>
      <c r="AY37" s="691">
        <v>2745769.8526613507</v>
      </c>
      <c r="AZ37" s="691">
        <v>2745769.8526613507</v>
      </c>
      <c r="BA37" s="691">
        <v>2745769.8526613507</v>
      </c>
      <c r="BB37" s="691">
        <v>2745769.8526613507</v>
      </c>
      <c r="BC37" s="691">
        <v>2745769.8526613507</v>
      </c>
      <c r="BD37" s="691">
        <v>2745769.8526613507</v>
      </c>
      <c r="BE37" s="691">
        <v>2745769.8526613507</v>
      </c>
      <c r="BF37" s="691">
        <v>2745769.8526613507</v>
      </c>
      <c r="BG37" s="691">
        <v>2745769.8526613507</v>
      </c>
      <c r="BH37" s="691">
        <v>2745769.8526613507</v>
      </c>
      <c r="BI37" s="691">
        <v>2745769.8526613507</v>
      </c>
      <c r="BJ37" s="691">
        <v>0</v>
      </c>
      <c r="BK37" s="691">
        <v>0</v>
      </c>
      <c r="BL37" s="691">
        <v>0</v>
      </c>
      <c r="BM37" s="691">
        <v>0</v>
      </c>
      <c r="BN37" s="691">
        <v>0</v>
      </c>
      <c r="BO37" s="691">
        <v>0</v>
      </c>
      <c r="BP37" s="691">
        <v>0</v>
      </c>
      <c r="BQ37" s="691">
        <v>0</v>
      </c>
      <c r="BR37" s="691">
        <v>0</v>
      </c>
      <c r="BS37" s="691">
        <v>0</v>
      </c>
      <c r="BT37" s="691">
        <v>0</v>
      </c>
      <c r="BU37" s="691">
        <v>0</v>
      </c>
      <c r="BV37" s="691">
        <v>0</v>
      </c>
      <c r="BW37" s="691">
        <v>0</v>
      </c>
      <c r="BX37" s="691">
        <v>0</v>
      </c>
      <c r="BY37" s="691">
        <v>0</v>
      </c>
      <c r="BZ37" s="694">
        <v>0</v>
      </c>
      <c r="CA37" s="705"/>
    </row>
    <row r="38" spans="1:79" s="693" customFormat="1" ht="10.199999999999999">
      <c r="B38" s="689">
        <v>15</v>
      </c>
      <c r="C38" s="690" t="s">
        <v>680</v>
      </c>
      <c r="D38" s="690" t="s">
        <v>504</v>
      </c>
      <c r="E38" s="690" t="s">
        <v>505</v>
      </c>
      <c r="F38" s="690" t="s">
        <v>682</v>
      </c>
      <c r="G38" s="690"/>
      <c r="H38" s="690"/>
      <c r="I38" s="690">
        <v>2012</v>
      </c>
      <c r="J38" s="690"/>
      <c r="K38" s="690" t="s">
        <v>707</v>
      </c>
      <c r="L38" s="690"/>
      <c r="M38" s="690"/>
      <c r="N38" s="704">
        <v>11</v>
      </c>
      <c r="O38" s="704">
        <v>0</v>
      </c>
      <c r="P38" s="704">
        <v>0</v>
      </c>
      <c r="Q38" s="690"/>
      <c r="R38" s="691">
        <v>0</v>
      </c>
      <c r="S38" s="691">
        <v>0</v>
      </c>
      <c r="T38" s="691">
        <v>0</v>
      </c>
      <c r="U38" s="691">
        <v>0</v>
      </c>
      <c r="V38" s="691">
        <v>0</v>
      </c>
      <c r="W38" s="691">
        <v>0</v>
      </c>
      <c r="X38" s="691">
        <v>0</v>
      </c>
      <c r="Y38" s="691">
        <v>0</v>
      </c>
      <c r="Z38" s="691">
        <v>0</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1">
        <v>0</v>
      </c>
      <c r="AP38" s="691">
        <v>0</v>
      </c>
      <c r="AQ38" s="691">
        <v>0</v>
      </c>
      <c r="AR38" s="691">
        <v>0</v>
      </c>
      <c r="AS38" s="691">
        <v>0</v>
      </c>
      <c r="AT38" s="691">
        <v>0</v>
      </c>
      <c r="AU38" s="691">
        <v>0</v>
      </c>
      <c r="AV38" s="690"/>
      <c r="AW38" s="691">
        <v>0</v>
      </c>
      <c r="AX38" s="691">
        <v>0</v>
      </c>
      <c r="AY38" s="691">
        <v>0</v>
      </c>
      <c r="AZ38" s="691">
        <v>0</v>
      </c>
      <c r="BA38" s="691">
        <v>0</v>
      </c>
      <c r="BB38" s="691">
        <v>0</v>
      </c>
      <c r="BC38" s="691">
        <v>0</v>
      </c>
      <c r="BD38" s="691">
        <v>0</v>
      </c>
      <c r="BE38" s="691">
        <v>0</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1">
        <v>0</v>
      </c>
      <c r="BU38" s="691">
        <v>0</v>
      </c>
      <c r="BV38" s="691">
        <v>0</v>
      </c>
      <c r="BW38" s="691">
        <v>0</v>
      </c>
      <c r="BX38" s="691">
        <v>0</v>
      </c>
      <c r="BY38" s="691">
        <v>0</v>
      </c>
      <c r="BZ38" s="694">
        <v>0</v>
      </c>
      <c r="CA38" s="705"/>
    </row>
    <row r="39" spans="1:79" s="741" customFormat="1" ht="10.199999999999999">
      <c r="A39" s="741" t="s">
        <v>723</v>
      </c>
      <c r="B39" s="742">
        <v>16</v>
      </c>
      <c r="C39" s="743" t="s">
        <v>709</v>
      </c>
      <c r="D39" s="743" t="s">
        <v>693</v>
      </c>
      <c r="E39" s="743" t="s">
        <v>22</v>
      </c>
      <c r="F39" s="743" t="s">
        <v>682</v>
      </c>
      <c r="G39" s="743" t="s">
        <v>706</v>
      </c>
      <c r="H39" s="743" t="s">
        <v>683</v>
      </c>
      <c r="I39" s="743">
        <v>2011</v>
      </c>
      <c r="J39" s="743"/>
      <c r="K39" s="743" t="s">
        <v>707</v>
      </c>
      <c r="L39" s="743"/>
      <c r="M39" s="743" t="s">
        <v>699</v>
      </c>
      <c r="N39" s="744">
        <v>26</v>
      </c>
      <c r="O39" s="744">
        <v>287.09407745708728</v>
      </c>
      <c r="P39" s="744">
        <v>1915165.8160109778</v>
      </c>
      <c r="Q39" s="743"/>
      <c r="R39" s="745">
        <v>210.55499739732016</v>
      </c>
      <c r="S39" s="745">
        <v>210.55499739732016</v>
      </c>
      <c r="T39" s="745">
        <v>210.55499739732016</v>
      </c>
      <c r="U39" s="745">
        <v>209.43284904219738</v>
      </c>
      <c r="V39" s="745">
        <v>205.07915717636334</v>
      </c>
      <c r="W39" s="745">
        <v>205.06650467832148</v>
      </c>
      <c r="X39" s="745">
        <v>169.45103711371229</v>
      </c>
      <c r="Y39" s="745">
        <v>104.29043539638806</v>
      </c>
      <c r="Z39" s="745">
        <v>89.728692625990632</v>
      </c>
      <c r="AA39" s="745">
        <v>89.728692625990632</v>
      </c>
      <c r="AB39" s="745">
        <v>87.941596938405638</v>
      </c>
      <c r="AC39" s="745">
        <v>87.941596938405638</v>
      </c>
      <c r="AD39" s="745">
        <v>11.903566038996004</v>
      </c>
      <c r="AE39" s="745">
        <v>0.7716782608118824</v>
      </c>
      <c r="AF39" s="745">
        <v>0.73657205616874866</v>
      </c>
      <c r="AG39" s="745">
        <v>0</v>
      </c>
      <c r="AH39" s="745">
        <v>0</v>
      </c>
      <c r="AI39" s="745">
        <v>0</v>
      </c>
      <c r="AJ39" s="745">
        <v>0</v>
      </c>
      <c r="AK39" s="745">
        <v>0</v>
      </c>
      <c r="AL39" s="745">
        <v>0</v>
      </c>
      <c r="AM39" s="745">
        <v>0</v>
      </c>
      <c r="AN39" s="745" t="s">
        <v>726</v>
      </c>
      <c r="AO39" s="745">
        <v>0</v>
      </c>
      <c r="AP39" s="745">
        <v>0</v>
      </c>
      <c r="AQ39" s="745">
        <v>0</v>
      </c>
      <c r="AR39" s="745">
        <v>0</v>
      </c>
      <c r="AS39" s="745">
        <v>0</v>
      </c>
      <c r="AT39" s="745">
        <v>0</v>
      </c>
      <c r="AU39" s="745">
        <v>0</v>
      </c>
      <c r="AV39" s="743"/>
      <c r="AW39" s="745">
        <v>1423968.6993330147</v>
      </c>
      <c r="AX39" s="745">
        <v>1423968.6993330147</v>
      </c>
      <c r="AY39" s="745">
        <v>1423968.6993330147</v>
      </c>
      <c r="AZ39" s="745">
        <v>1419671.9349736632</v>
      </c>
      <c r="BA39" s="745">
        <v>1403001.4225986151</v>
      </c>
      <c r="BB39" s="745">
        <v>1402952.9755261806</v>
      </c>
      <c r="BC39" s="745">
        <v>1252094.3996446778</v>
      </c>
      <c r="BD39" s="745">
        <v>910524.45198981592</v>
      </c>
      <c r="BE39" s="745">
        <v>854405.40086682769</v>
      </c>
      <c r="BF39" s="745">
        <v>854405.40086682769</v>
      </c>
      <c r="BG39" s="745">
        <v>831143.20933321503</v>
      </c>
      <c r="BH39" s="745">
        <v>800103.13097196491</v>
      </c>
      <c r="BI39" s="745">
        <v>291728.4659759833</v>
      </c>
      <c r="BJ39" s="745">
        <v>249103.88925291033</v>
      </c>
      <c r="BK39" s="745">
        <v>248859.2158327096</v>
      </c>
      <c r="BL39" s="745">
        <v>245946.66942336076</v>
      </c>
      <c r="BM39" s="745">
        <v>0</v>
      </c>
      <c r="BN39" s="745">
        <v>0</v>
      </c>
      <c r="BO39" s="745">
        <v>0</v>
      </c>
      <c r="BP39" s="745">
        <v>0</v>
      </c>
      <c r="BQ39" s="745">
        <v>0</v>
      </c>
      <c r="BR39" s="745">
        <v>0</v>
      </c>
      <c r="BS39" s="745">
        <v>0</v>
      </c>
      <c r="BT39" s="745">
        <v>0</v>
      </c>
      <c r="BU39" s="745">
        <v>0</v>
      </c>
      <c r="BV39" s="745">
        <v>0</v>
      </c>
      <c r="BW39" s="745">
        <v>0</v>
      </c>
      <c r="BX39" s="745">
        <v>0</v>
      </c>
      <c r="BY39" s="745">
        <v>0</v>
      </c>
      <c r="BZ39" s="746">
        <v>0</v>
      </c>
      <c r="CA39" s="743"/>
    </row>
    <row r="40" spans="1:79" s="741" customFormat="1" ht="10.199999999999999">
      <c r="A40" s="741" t="s">
        <v>723</v>
      </c>
      <c r="B40" s="742">
        <v>17</v>
      </c>
      <c r="C40" s="743" t="s">
        <v>709</v>
      </c>
      <c r="D40" s="743" t="s">
        <v>693</v>
      </c>
      <c r="E40" s="743" t="s">
        <v>21</v>
      </c>
      <c r="F40" s="743" t="s">
        <v>682</v>
      </c>
      <c r="G40" s="743" t="s">
        <v>706</v>
      </c>
      <c r="H40" s="743" t="s">
        <v>683</v>
      </c>
      <c r="I40" s="743">
        <v>2011</v>
      </c>
      <c r="J40" s="743"/>
      <c r="K40" s="743" t="s">
        <v>707</v>
      </c>
      <c r="L40" s="743"/>
      <c r="M40" s="743" t="s">
        <v>699</v>
      </c>
      <c r="N40" s="744">
        <v>2</v>
      </c>
      <c r="O40" s="744">
        <v>2.6678859777762054</v>
      </c>
      <c r="P40" s="744">
        <v>5332.7131555176566</v>
      </c>
      <c r="Q40" s="743"/>
      <c r="R40" s="745">
        <v>2.4690703970119992</v>
      </c>
      <c r="S40" s="745">
        <v>2.4690703970119992</v>
      </c>
      <c r="T40" s="745">
        <v>2.4690703970119992</v>
      </c>
      <c r="U40" s="745">
        <v>2.4690703970119992</v>
      </c>
      <c r="V40" s="745">
        <v>2.4690703970119992</v>
      </c>
      <c r="W40" s="745">
        <v>2.4690703970119992</v>
      </c>
      <c r="X40" s="745">
        <v>0.28112607413482399</v>
      </c>
      <c r="Y40" s="745">
        <v>0.28112607413482399</v>
      </c>
      <c r="Z40" s="745">
        <v>0.28112607413482399</v>
      </c>
      <c r="AA40" s="745">
        <v>0.28112607413482399</v>
      </c>
      <c r="AB40" s="745">
        <v>0.25001786101334755</v>
      </c>
      <c r="AC40" s="745">
        <v>0.25001786101334755</v>
      </c>
      <c r="AD40" s="745">
        <v>0</v>
      </c>
      <c r="AE40" s="745">
        <v>0</v>
      </c>
      <c r="AF40" s="745">
        <v>0</v>
      </c>
      <c r="AG40" s="745">
        <v>0</v>
      </c>
      <c r="AH40" s="745">
        <v>0</v>
      </c>
      <c r="AI40" s="745">
        <v>0</v>
      </c>
      <c r="AJ40" s="745">
        <v>0</v>
      </c>
      <c r="AK40" s="745">
        <v>0</v>
      </c>
      <c r="AL40" s="745">
        <v>0</v>
      </c>
      <c r="AM40" s="745">
        <v>0</v>
      </c>
      <c r="AN40" s="745">
        <v>0</v>
      </c>
      <c r="AO40" s="745">
        <v>0</v>
      </c>
      <c r="AP40" s="745">
        <v>0</v>
      </c>
      <c r="AQ40" s="745">
        <v>0</v>
      </c>
      <c r="AR40" s="745">
        <v>0</v>
      </c>
      <c r="AS40" s="745">
        <v>0</v>
      </c>
      <c r="AT40" s="745">
        <v>0</v>
      </c>
      <c r="AU40" s="745">
        <v>0</v>
      </c>
      <c r="AV40" s="743"/>
      <c r="AW40" s="745">
        <v>4951.6327859880694</v>
      </c>
      <c r="AX40" s="745">
        <v>4951.6327859880694</v>
      </c>
      <c r="AY40" s="745">
        <v>4951.6327859880694</v>
      </c>
      <c r="AZ40" s="745">
        <v>4951.6327859880694</v>
      </c>
      <c r="BA40" s="745">
        <v>4951.6327859880694</v>
      </c>
      <c r="BB40" s="745">
        <v>4951.6327859880694</v>
      </c>
      <c r="BC40" s="745">
        <v>691.37663490232535</v>
      </c>
      <c r="BD40" s="745">
        <v>691.37663490232535</v>
      </c>
      <c r="BE40" s="745">
        <v>691.37663490232535</v>
      </c>
      <c r="BF40" s="745">
        <v>691.37663490232535</v>
      </c>
      <c r="BG40" s="745">
        <v>486.82231952901878</v>
      </c>
      <c r="BH40" s="745">
        <v>486.82231952901878</v>
      </c>
      <c r="BI40" s="745">
        <v>0</v>
      </c>
      <c r="BJ40" s="745">
        <v>0</v>
      </c>
      <c r="BK40" s="745">
        <v>0</v>
      </c>
      <c r="BL40" s="745">
        <v>0</v>
      </c>
      <c r="BM40" s="745">
        <v>0</v>
      </c>
      <c r="BN40" s="745">
        <v>0</v>
      </c>
      <c r="BO40" s="745">
        <v>0</v>
      </c>
      <c r="BP40" s="745">
        <v>0</v>
      </c>
      <c r="BQ40" s="745">
        <v>0</v>
      </c>
      <c r="BR40" s="745">
        <v>0</v>
      </c>
      <c r="BS40" s="745">
        <v>0</v>
      </c>
      <c r="BT40" s="745">
        <v>0</v>
      </c>
      <c r="BU40" s="745">
        <v>0</v>
      </c>
      <c r="BV40" s="745">
        <v>0</v>
      </c>
      <c r="BW40" s="745">
        <v>0</v>
      </c>
      <c r="BX40" s="745">
        <v>0</v>
      </c>
      <c r="BY40" s="745">
        <v>0</v>
      </c>
      <c r="BZ40" s="746">
        <v>0</v>
      </c>
      <c r="CA40" s="743"/>
    </row>
    <row r="41" spans="1:79" s="741" customFormat="1" ht="10.199999999999999">
      <c r="A41" s="741" t="s">
        <v>723</v>
      </c>
      <c r="B41" s="742">
        <v>18</v>
      </c>
      <c r="C41" s="743" t="s">
        <v>709</v>
      </c>
      <c r="D41" s="743" t="s">
        <v>693</v>
      </c>
      <c r="E41" s="743" t="s">
        <v>20</v>
      </c>
      <c r="F41" s="743" t="s">
        <v>682</v>
      </c>
      <c r="G41" s="743" t="s">
        <v>706</v>
      </c>
      <c r="H41" s="743" t="s">
        <v>683</v>
      </c>
      <c r="I41" s="743">
        <v>2011</v>
      </c>
      <c r="J41" s="743"/>
      <c r="K41" s="743" t="s">
        <v>707</v>
      </c>
      <c r="L41" s="743"/>
      <c r="M41" s="743" t="s">
        <v>699</v>
      </c>
      <c r="N41" s="744">
        <v>1</v>
      </c>
      <c r="O41" s="744">
        <v>5.1771746295647825</v>
      </c>
      <c r="P41" s="744">
        <v>25176.254462563076</v>
      </c>
      <c r="Q41" s="743"/>
      <c r="R41" s="745">
        <v>5.1771746295647825</v>
      </c>
      <c r="S41" s="745">
        <v>5.1771746295647825</v>
      </c>
      <c r="T41" s="745">
        <v>5.1771746295647825</v>
      </c>
      <c r="U41" s="745">
        <v>5.1771746295647825</v>
      </c>
      <c r="V41" s="745">
        <v>5.1771746295647825</v>
      </c>
      <c r="W41" s="745">
        <v>0</v>
      </c>
      <c r="X41" s="745">
        <v>0</v>
      </c>
      <c r="Y41" s="745">
        <v>0</v>
      </c>
      <c r="Z41" s="745">
        <v>0</v>
      </c>
      <c r="AA41" s="745">
        <v>0</v>
      </c>
      <c r="AB41" s="745">
        <v>0</v>
      </c>
      <c r="AC41" s="745">
        <v>0</v>
      </c>
      <c r="AD41" s="745">
        <v>0</v>
      </c>
      <c r="AE41" s="745">
        <v>0</v>
      </c>
      <c r="AF41" s="745">
        <v>0</v>
      </c>
      <c r="AG41" s="745">
        <v>0</v>
      </c>
      <c r="AH41" s="745">
        <v>0</v>
      </c>
      <c r="AI41" s="745">
        <v>0</v>
      </c>
      <c r="AJ41" s="745">
        <v>0</v>
      </c>
      <c r="AK41" s="745">
        <v>0</v>
      </c>
      <c r="AL41" s="745">
        <v>0</v>
      </c>
      <c r="AM41" s="745">
        <v>0</v>
      </c>
      <c r="AN41" s="745">
        <v>0</v>
      </c>
      <c r="AO41" s="745">
        <v>0</v>
      </c>
      <c r="AP41" s="745">
        <v>0</v>
      </c>
      <c r="AQ41" s="745">
        <v>0</v>
      </c>
      <c r="AR41" s="745">
        <v>0</v>
      </c>
      <c r="AS41" s="745">
        <v>0</v>
      </c>
      <c r="AT41" s="745">
        <v>0</v>
      </c>
      <c r="AU41" s="745">
        <v>0</v>
      </c>
      <c r="AV41" s="743"/>
      <c r="AW41" s="745">
        <v>25176.254462563076</v>
      </c>
      <c r="AX41" s="745">
        <v>25176.254462563076</v>
      </c>
      <c r="AY41" s="745">
        <v>25176.254462563076</v>
      </c>
      <c r="AZ41" s="745">
        <v>25176.254462563076</v>
      </c>
      <c r="BA41" s="745">
        <v>25176.254462563076</v>
      </c>
      <c r="BB41" s="745">
        <v>0</v>
      </c>
      <c r="BC41" s="745">
        <v>0</v>
      </c>
      <c r="BD41" s="745">
        <v>0</v>
      </c>
      <c r="BE41" s="745">
        <v>0</v>
      </c>
      <c r="BF41" s="745">
        <v>0</v>
      </c>
      <c r="BG41" s="745">
        <v>0</v>
      </c>
      <c r="BH41" s="745">
        <v>0</v>
      </c>
      <c r="BI41" s="745">
        <v>0</v>
      </c>
      <c r="BJ41" s="745">
        <v>0</v>
      </c>
      <c r="BK41" s="745">
        <v>0</v>
      </c>
      <c r="BL41" s="745">
        <v>0</v>
      </c>
      <c r="BM41" s="745">
        <v>0</v>
      </c>
      <c r="BN41" s="745">
        <v>0</v>
      </c>
      <c r="BO41" s="745">
        <v>0</v>
      </c>
      <c r="BP41" s="745">
        <v>0</v>
      </c>
      <c r="BQ41" s="745">
        <v>0</v>
      </c>
      <c r="BR41" s="745">
        <v>0</v>
      </c>
      <c r="BS41" s="745">
        <v>0</v>
      </c>
      <c r="BT41" s="745">
        <v>0</v>
      </c>
      <c r="BU41" s="745">
        <v>0</v>
      </c>
      <c r="BV41" s="745">
        <v>0</v>
      </c>
      <c r="BW41" s="745">
        <v>0</v>
      </c>
      <c r="BX41" s="745">
        <v>0</v>
      </c>
      <c r="BY41" s="745">
        <v>0</v>
      </c>
      <c r="BZ41" s="746">
        <v>0</v>
      </c>
      <c r="CA41" s="743"/>
    </row>
    <row r="42" spans="1:79" s="741" customFormat="1" ht="10.199999999999999">
      <c r="A42" s="741" t="s">
        <v>723</v>
      </c>
      <c r="B42" s="742">
        <v>19</v>
      </c>
      <c r="C42" s="743" t="s">
        <v>709</v>
      </c>
      <c r="D42" s="743" t="s">
        <v>693</v>
      </c>
      <c r="E42" s="743" t="s">
        <v>17</v>
      </c>
      <c r="F42" s="743" t="s">
        <v>682</v>
      </c>
      <c r="G42" s="743" t="s">
        <v>706</v>
      </c>
      <c r="H42" s="743" t="s">
        <v>683</v>
      </c>
      <c r="I42" s="743">
        <v>2011</v>
      </c>
      <c r="J42" s="743"/>
      <c r="K42" s="743" t="s">
        <v>707</v>
      </c>
      <c r="L42" s="743"/>
      <c r="M42" s="743" t="s">
        <v>710</v>
      </c>
      <c r="N42" s="744">
        <v>1</v>
      </c>
      <c r="O42" s="744">
        <v>-1.7847599999999999</v>
      </c>
      <c r="P42" s="744">
        <v>45.660000000005141</v>
      </c>
      <c r="Q42" s="743"/>
      <c r="R42" s="745">
        <v>-0.89237999999999995</v>
      </c>
      <c r="S42" s="745">
        <v>-0.89237999999999995</v>
      </c>
      <c r="T42" s="745">
        <v>-0.89238000000000006</v>
      </c>
      <c r="U42" s="745">
        <v>-0.89238000000000006</v>
      </c>
      <c r="V42" s="745">
        <v>-0.89238000000000006</v>
      </c>
      <c r="W42" s="745">
        <v>-0.89238000000000006</v>
      </c>
      <c r="X42" s="745">
        <v>-0.89238000000000006</v>
      </c>
      <c r="Y42" s="745">
        <v>-0.89238000000000006</v>
      </c>
      <c r="Z42" s="745">
        <v>-0.89238000000000006</v>
      </c>
      <c r="AA42" s="745">
        <v>-0.89238000000000006</v>
      </c>
      <c r="AB42" s="745">
        <v>-0.89238000000000006</v>
      </c>
      <c r="AC42" s="745">
        <v>-0.89238000000000006</v>
      </c>
      <c r="AD42" s="745">
        <v>-0.89238000000000006</v>
      </c>
      <c r="AE42" s="745">
        <v>-0.89238000000000006</v>
      </c>
      <c r="AF42" s="745">
        <v>-0.89238000000000006</v>
      </c>
      <c r="AG42" s="745">
        <v>0</v>
      </c>
      <c r="AH42" s="745">
        <v>0</v>
      </c>
      <c r="AI42" s="745">
        <v>0</v>
      </c>
      <c r="AJ42" s="745">
        <v>0</v>
      </c>
      <c r="AK42" s="745">
        <v>0</v>
      </c>
      <c r="AL42" s="745">
        <v>0</v>
      </c>
      <c r="AM42" s="745">
        <v>0</v>
      </c>
      <c r="AN42" s="745">
        <v>0</v>
      </c>
      <c r="AO42" s="745">
        <v>0</v>
      </c>
      <c r="AP42" s="745">
        <v>0</v>
      </c>
      <c r="AQ42" s="745">
        <v>0</v>
      </c>
      <c r="AR42" s="745">
        <v>0</v>
      </c>
      <c r="AS42" s="745">
        <v>0</v>
      </c>
      <c r="AT42" s="745">
        <v>0</v>
      </c>
      <c r="AU42" s="745">
        <v>0</v>
      </c>
      <c r="AV42" s="743"/>
      <c r="AW42" s="745">
        <v>22.83000000000257</v>
      </c>
      <c r="AX42" s="745">
        <v>22.83000000000257</v>
      </c>
      <c r="AY42" s="745">
        <v>22.83000000000257</v>
      </c>
      <c r="AZ42" s="745">
        <v>22.83000000000257</v>
      </c>
      <c r="BA42" s="745">
        <v>22.830000000002602</v>
      </c>
      <c r="BB42" s="745">
        <v>22.830000000002602</v>
      </c>
      <c r="BC42" s="745">
        <v>22.830000000002602</v>
      </c>
      <c r="BD42" s="745">
        <v>22.830000000002602</v>
      </c>
      <c r="BE42" s="745">
        <v>22.830000000002602</v>
      </c>
      <c r="BF42" s="745">
        <v>22.830000000002602</v>
      </c>
      <c r="BG42" s="745">
        <v>22.830000000002602</v>
      </c>
      <c r="BH42" s="745">
        <v>22.830000000002602</v>
      </c>
      <c r="BI42" s="745">
        <v>22.830000000002602</v>
      </c>
      <c r="BJ42" s="745">
        <v>22.830000000002602</v>
      </c>
      <c r="BK42" s="745">
        <v>22.830000000002602</v>
      </c>
      <c r="BL42" s="745">
        <v>0</v>
      </c>
      <c r="BM42" s="745">
        <v>0</v>
      </c>
      <c r="BN42" s="745">
        <v>0</v>
      </c>
      <c r="BO42" s="745">
        <v>0</v>
      </c>
      <c r="BP42" s="745">
        <v>0</v>
      </c>
      <c r="BQ42" s="745">
        <v>0</v>
      </c>
      <c r="BR42" s="745">
        <v>0</v>
      </c>
      <c r="BS42" s="745">
        <v>0</v>
      </c>
      <c r="BT42" s="745">
        <v>0</v>
      </c>
      <c r="BU42" s="745">
        <v>0</v>
      </c>
      <c r="BV42" s="745">
        <v>0</v>
      </c>
      <c r="BW42" s="745">
        <v>0</v>
      </c>
      <c r="BX42" s="745">
        <v>0</v>
      </c>
      <c r="BY42" s="745">
        <v>0</v>
      </c>
      <c r="BZ42" s="746">
        <v>0</v>
      </c>
      <c r="CA42" s="743"/>
    </row>
    <row r="43" spans="1:79" s="741" customFormat="1" ht="10.199999999999999">
      <c r="A43" s="741" t="s">
        <v>723</v>
      </c>
      <c r="B43" s="742">
        <v>20</v>
      </c>
      <c r="C43" s="743" t="s">
        <v>709</v>
      </c>
      <c r="D43" s="743" t="s">
        <v>703</v>
      </c>
      <c r="E43" s="743" t="s">
        <v>17</v>
      </c>
      <c r="F43" s="743" t="s">
        <v>682</v>
      </c>
      <c r="G43" s="743" t="s">
        <v>706</v>
      </c>
      <c r="H43" s="743" t="s">
        <v>683</v>
      </c>
      <c r="I43" s="743">
        <v>2011</v>
      </c>
      <c r="J43" s="743"/>
      <c r="K43" s="743" t="s">
        <v>707</v>
      </c>
      <c r="L43" s="743"/>
      <c r="M43" s="743" t="s">
        <v>710</v>
      </c>
      <c r="N43" s="744">
        <v>4.9291673849298405</v>
      </c>
      <c r="O43" s="744">
        <v>662.67634545717556</v>
      </c>
      <c r="P43" s="744">
        <v>1466818.7102680539</v>
      </c>
      <c r="Q43" s="743"/>
      <c r="R43" s="745">
        <v>331.33817272858778</v>
      </c>
      <c r="S43" s="745">
        <v>331.33817272858778</v>
      </c>
      <c r="T43" s="745">
        <v>331.33817272858778</v>
      </c>
      <c r="U43" s="745">
        <v>331.33817272858778</v>
      </c>
      <c r="V43" s="745">
        <v>331.33817272858801</v>
      </c>
      <c r="W43" s="745">
        <v>331.33817272858801</v>
      </c>
      <c r="X43" s="745">
        <v>331.33817272858801</v>
      </c>
      <c r="Y43" s="745">
        <v>331.33817272858801</v>
      </c>
      <c r="Z43" s="745">
        <v>331.33817272858801</v>
      </c>
      <c r="AA43" s="745">
        <v>331.33817272858801</v>
      </c>
      <c r="AB43" s="745">
        <v>331.33817272858801</v>
      </c>
      <c r="AC43" s="745">
        <v>331.33817272858801</v>
      </c>
      <c r="AD43" s="745">
        <v>331.33817272858801</v>
      </c>
      <c r="AE43" s="745">
        <v>331.33817272858801</v>
      </c>
      <c r="AF43" s="745">
        <v>331.33817272858801</v>
      </c>
      <c r="AG43" s="745">
        <v>0</v>
      </c>
      <c r="AH43" s="745">
        <v>0</v>
      </c>
      <c r="AI43" s="745">
        <v>0</v>
      </c>
      <c r="AJ43" s="745">
        <v>0</v>
      </c>
      <c r="AK43" s="745">
        <v>0</v>
      </c>
      <c r="AL43" s="745">
        <v>0</v>
      </c>
      <c r="AM43" s="745">
        <v>0</v>
      </c>
      <c r="AN43" s="745">
        <v>0</v>
      </c>
      <c r="AO43" s="745">
        <v>0</v>
      </c>
      <c r="AP43" s="745">
        <v>0</v>
      </c>
      <c r="AQ43" s="745">
        <v>0</v>
      </c>
      <c r="AR43" s="745">
        <v>0</v>
      </c>
      <c r="AS43" s="745">
        <v>0</v>
      </c>
      <c r="AT43" s="745">
        <v>0</v>
      </c>
      <c r="AU43" s="745">
        <v>0</v>
      </c>
      <c r="AV43" s="743"/>
      <c r="AW43" s="745">
        <v>733409.35513402696</v>
      </c>
      <c r="AX43" s="745">
        <v>733409.35513402696</v>
      </c>
      <c r="AY43" s="745">
        <v>733409.35513402696</v>
      </c>
      <c r="AZ43" s="745">
        <v>733409.35513402696</v>
      </c>
      <c r="BA43" s="745">
        <v>733409.35513402696</v>
      </c>
      <c r="BB43" s="745">
        <v>733409.35513402696</v>
      </c>
      <c r="BC43" s="745">
        <v>733409.35513402696</v>
      </c>
      <c r="BD43" s="745">
        <v>733409.35513402696</v>
      </c>
      <c r="BE43" s="745">
        <v>733409.35513402696</v>
      </c>
      <c r="BF43" s="745">
        <v>733409.35513402696</v>
      </c>
      <c r="BG43" s="745">
        <v>733409.35513402696</v>
      </c>
      <c r="BH43" s="745">
        <v>733409.35513402696</v>
      </c>
      <c r="BI43" s="745">
        <v>733409.35513402696</v>
      </c>
      <c r="BJ43" s="745">
        <v>733409.35513402696</v>
      </c>
      <c r="BK43" s="745">
        <v>733409.35513402696</v>
      </c>
      <c r="BL43" s="745">
        <v>0</v>
      </c>
      <c r="BM43" s="745">
        <v>0</v>
      </c>
      <c r="BN43" s="745">
        <v>0</v>
      </c>
      <c r="BO43" s="745">
        <v>0</v>
      </c>
      <c r="BP43" s="745">
        <v>0</v>
      </c>
      <c r="BQ43" s="745">
        <v>0</v>
      </c>
      <c r="BR43" s="745">
        <v>0</v>
      </c>
      <c r="BS43" s="745">
        <v>0</v>
      </c>
      <c r="BT43" s="745">
        <v>0</v>
      </c>
      <c r="BU43" s="745">
        <v>0</v>
      </c>
      <c r="BV43" s="745">
        <v>0</v>
      </c>
      <c r="BW43" s="745">
        <v>0</v>
      </c>
      <c r="BX43" s="745">
        <v>0</v>
      </c>
      <c r="BY43" s="745">
        <v>0</v>
      </c>
      <c r="BZ43" s="746">
        <v>0</v>
      </c>
      <c r="CA43" s="743"/>
    </row>
    <row r="44" spans="1:79" s="741" customFormat="1" ht="10.199999999999999">
      <c r="A44" s="741" t="s">
        <v>723</v>
      </c>
      <c r="B44" s="742">
        <v>21</v>
      </c>
      <c r="C44" s="743" t="s">
        <v>709</v>
      </c>
      <c r="D44" s="743" t="s">
        <v>681</v>
      </c>
      <c r="E44" s="743" t="s">
        <v>7</v>
      </c>
      <c r="F44" s="743" t="s">
        <v>682</v>
      </c>
      <c r="G44" s="743" t="s">
        <v>29</v>
      </c>
      <c r="H44" s="743" t="s">
        <v>683</v>
      </c>
      <c r="I44" s="743">
        <v>2011</v>
      </c>
      <c r="J44" s="743"/>
      <c r="K44" s="743" t="s">
        <v>707</v>
      </c>
      <c r="L44" s="743"/>
      <c r="M44" s="743" t="s">
        <v>710</v>
      </c>
      <c r="N44" s="744">
        <v>9</v>
      </c>
      <c r="O44" s="744">
        <v>0.44104958704852748</v>
      </c>
      <c r="P44" s="744">
        <v>4872.4564163205132</v>
      </c>
      <c r="Q44" s="743"/>
      <c r="R44" s="745">
        <v>0.22052479352426374</v>
      </c>
      <c r="S44" s="745">
        <v>0.22052479352426374</v>
      </c>
      <c r="T44" s="745">
        <v>0.22052479352426374</v>
      </c>
      <c r="U44" s="745">
        <v>0.22052479352426374</v>
      </c>
      <c r="V44" s="745">
        <v>0.22052479352426399</v>
      </c>
      <c r="W44" s="745">
        <v>0.22052479352426399</v>
      </c>
      <c r="X44" s="745">
        <v>0.22052479352426399</v>
      </c>
      <c r="Y44" s="745">
        <v>0.22052479352426399</v>
      </c>
      <c r="Z44" s="745">
        <v>0.22052479352426399</v>
      </c>
      <c r="AA44" s="745">
        <v>0.22052479352426399</v>
      </c>
      <c r="AB44" s="745">
        <v>0.22052479352426399</v>
      </c>
      <c r="AC44" s="745">
        <v>0.22052479352426399</v>
      </c>
      <c r="AD44" s="745">
        <v>0.22052479352426399</v>
      </c>
      <c r="AE44" s="745">
        <v>0.22052479352426399</v>
      </c>
      <c r="AF44" s="745">
        <v>0.22052479352426399</v>
      </c>
      <c r="AG44" s="745">
        <v>0</v>
      </c>
      <c r="AH44" s="745">
        <v>0</v>
      </c>
      <c r="AI44" s="745">
        <v>0</v>
      </c>
      <c r="AJ44" s="745">
        <v>0</v>
      </c>
      <c r="AK44" s="745">
        <v>0</v>
      </c>
      <c r="AL44" s="745">
        <v>0</v>
      </c>
      <c r="AM44" s="745">
        <v>0</v>
      </c>
      <c r="AN44" s="745">
        <v>0</v>
      </c>
      <c r="AO44" s="745">
        <v>0</v>
      </c>
      <c r="AP44" s="745">
        <v>0</v>
      </c>
      <c r="AQ44" s="745">
        <v>0</v>
      </c>
      <c r="AR44" s="745">
        <v>0</v>
      </c>
      <c r="AS44" s="745">
        <v>0</v>
      </c>
      <c r="AT44" s="745">
        <v>0</v>
      </c>
      <c r="AU44" s="745">
        <v>0</v>
      </c>
      <c r="AV44" s="743"/>
      <c r="AW44" s="745">
        <v>2436.2282081602566</v>
      </c>
      <c r="AX44" s="745">
        <v>2436.2282081602566</v>
      </c>
      <c r="AY44" s="745">
        <v>2436.2282081602566</v>
      </c>
      <c r="AZ44" s="745">
        <v>2436.2282081602566</v>
      </c>
      <c r="BA44" s="745">
        <v>2436.2282081602598</v>
      </c>
      <c r="BB44" s="745">
        <v>2436.2282081602598</v>
      </c>
      <c r="BC44" s="745">
        <v>2436.2282081602598</v>
      </c>
      <c r="BD44" s="745">
        <v>2436.2282081602598</v>
      </c>
      <c r="BE44" s="745">
        <v>2436.2282081602598</v>
      </c>
      <c r="BF44" s="745">
        <v>2436.2282081602598</v>
      </c>
      <c r="BG44" s="745">
        <v>2436.2282081602598</v>
      </c>
      <c r="BH44" s="745">
        <v>2436.2282081602598</v>
      </c>
      <c r="BI44" s="745">
        <v>2436.2282081602598</v>
      </c>
      <c r="BJ44" s="745">
        <v>2436.2282081602598</v>
      </c>
      <c r="BK44" s="745">
        <v>2436.2282081602598</v>
      </c>
      <c r="BL44" s="745">
        <v>0</v>
      </c>
      <c r="BM44" s="745">
        <v>0</v>
      </c>
      <c r="BN44" s="745">
        <v>0</v>
      </c>
      <c r="BO44" s="745">
        <v>0</v>
      </c>
      <c r="BP44" s="745">
        <v>0</v>
      </c>
      <c r="BQ44" s="745">
        <v>0</v>
      </c>
      <c r="BR44" s="745">
        <v>0</v>
      </c>
      <c r="BS44" s="745">
        <v>0</v>
      </c>
      <c r="BT44" s="745">
        <v>0</v>
      </c>
      <c r="BU44" s="745">
        <v>0</v>
      </c>
      <c r="BV44" s="745">
        <v>0</v>
      </c>
      <c r="BW44" s="745">
        <v>0</v>
      </c>
      <c r="BX44" s="745">
        <v>0</v>
      </c>
      <c r="BY44" s="745">
        <v>0</v>
      </c>
      <c r="BZ44" s="746">
        <v>0</v>
      </c>
      <c r="CA44" s="743"/>
    </row>
    <row r="45" spans="1:79" s="741" customFormat="1" ht="10.199999999999999">
      <c r="A45" s="741" t="s">
        <v>723</v>
      </c>
      <c r="B45" s="742">
        <v>22</v>
      </c>
      <c r="C45" s="743" t="s">
        <v>709</v>
      </c>
      <c r="D45" s="743" t="s">
        <v>681</v>
      </c>
      <c r="E45" s="743" t="s">
        <v>3</v>
      </c>
      <c r="F45" s="743" t="s">
        <v>682</v>
      </c>
      <c r="G45" s="743" t="s">
        <v>29</v>
      </c>
      <c r="H45" s="743" t="s">
        <v>683</v>
      </c>
      <c r="I45" s="743">
        <v>2011</v>
      </c>
      <c r="J45" s="743"/>
      <c r="K45" s="743" t="s">
        <v>707</v>
      </c>
      <c r="L45" s="743"/>
      <c r="M45" s="743" t="s">
        <v>688</v>
      </c>
      <c r="N45" s="744">
        <v>-1634.1720482915937</v>
      </c>
      <c r="O45" s="744">
        <v>-445.27575399472579</v>
      </c>
      <c r="P45" s="744">
        <v>-445.27575399472579</v>
      </c>
      <c r="Q45" s="743"/>
      <c r="R45" s="745">
        <v>-445.27575399472579</v>
      </c>
      <c r="S45" s="745">
        <v>-445.27575399472579</v>
      </c>
      <c r="T45" s="745">
        <v>-445.27575399472579</v>
      </c>
      <c r="U45" s="745">
        <v>-445.27575399472579</v>
      </c>
      <c r="V45" s="745">
        <v>-445.27575399472579</v>
      </c>
      <c r="W45" s="745">
        <v>-445.27575399472579</v>
      </c>
      <c r="X45" s="745">
        <v>-445.27575399472579</v>
      </c>
      <c r="Y45" s="745">
        <v>-445.27575399472579</v>
      </c>
      <c r="Z45" s="745">
        <v>-445.27575399472579</v>
      </c>
      <c r="AA45" s="745">
        <v>-445.27575399472579</v>
      </c>
      <c r="AB45" s="745">
        <v>-445.27575399472579</v>
      </c>
      <c r="AC45" s="745">
        <v>-445.27575399472579</v>
      </c>
      <c r="AD45" s="745">
        <v>-445.27575399472579</v>
      </c>
      <c r="AE45" s="745">
        <v>-445.27575399472579</v>
      </c>
      <c r="AF45" s="745">
        <v>-445.27575399472579</v>
      </c>
      <c r="AG45" s="745">
        <v>-445.27575399472579</v>
      </c>
      <c r="AH45" s="745">
        <v>-445.27575399472579</v>
      </c>
      <c r="AI45" s="745">
        <v>-445.27575399472579</v>
      </c>
      <c r="AJ45" s="745">
        <v>-358.33745359485971</v>
      </c>
      <c r="AK45" s="745">
        <v>0</v>
      </c>
      <c r="AL45" s="745">
        <v>0</v>
      </c>
      <c r="AM45" s="745">
        <v>0</v>
      </c>
      <c r="AN45" s="745">
        <v>0</v>
      </c>
      <c r="AO45" s="745">
        <v>0</v>
      </c>
      <c r="AP45" s="745">
        <v>0</v>
      </c>
      <c r="AQ45" s="745">
        <v>0</v>
      </c>
      <c r="AR45" s="745">
        <v>0</v>
      </c>
      <c r="AS45" s="745">
        <v>0</v>
      </c>
      <c r="AT45" s="745">
        <v>0</v>
      </c>
      <c r="AU45" s="745">
        <v>0</v>
      </c>
      <c r="AV45" s="743"/>
      <c r="AW45" s="745">
        <v>-814450.32165849546</v>
      </c>
      <c r="AX45" s="745">
        <v>-814450.32165849546</v>
      </c>
      <c r="AY45" s="745">
        <v>-814450.32165849546</v>
      </c>
      <c r="AZ45" s="745">
        <v>-814450.32165849546</v>
      </c>
      <c r="BA45" s="745">
        <v>-814450.32165849546</v>
      </c>
      <c r="BB45" s="745">
        <v>-814450.32165849546</v>
      </c>
      <c r="BC45" s="745">
        <v>-814450.32165849546</v>
      </c>
      <c r="BD45" s="745">
        <v>-814450.32165849546</v>
      </c>
      <c r="BE45" s="745">
        <v>-814450.32165849546</v>
      </c>
      <c r="BF45" s="745">
        <v>-814450.32165849546</v>
      </c>
      <c r="BG45" s="745">
        <v>-814450.32165849546</v>
      </c>
      <c r="BH45" s="745">
        <v>-814450.32165849546</v>
      </c>
      <c r="BI45" s="745">
        <v>-814450.32165849546</v>
      </c>
      <c r="BJ45" s="745">
        <v>-814450.32165849546</v>
      </c>
      <c r="BK45" s="745">
        <v>-814450.32165849546</v>
      </c>
      <c r="BL45" s="745">
        <v>-814450.32165849546</v>
      </c>
      <c r="BM45" s="745">
        <v>-814450.32165849546</v>
      </c>
      <c r="BN45" s="745">
        <v>-814450.32165849546</v>
      </c>
      <c r="BO45" s="745">
        <v>-736838.59026981867</v>
      </c>
      <c r="BP45" s="745">
        <v>0</v>
      </c>
      <c r="BQ45" s="745">
        <v>0</v>
      </c>
      <c r="BR45" s="745">
        <v>0</v>
      </c>
      <c r="BS45" s="745">
        <v>0</v>
      </c>
      <c r="BT45" s="745">
        <v>0</v>
      </c>
      <c r="BU45" s="745">
        <v>0</v>
      </c>
      <c r="BV45" s="745">
        <v>0</v>
      </c>
      <c r="BW45" s="745">
        <v>0</v>
      </c>
      <c r="BX45" s="745">
        <v>0</v>
      </c>
      <c r="BY45" s="745">
        <v>0</v>
      </c>
      <c r="BZ45" s="746">
        <v>0</v>
      </c>
      <c r="CA45" s="743"/>
    </row>
    <row r="46" spans="1:79" s="741" customFormat="1" ht="10.199999999999999">
      <c r="A46" s="741" t="s">
        <v>722</v>
      </c>
      <c r="B46" s="742">
        <v>23</v>
      </c>
      <c r="C46" s="743" t="s">
        <v>709</v>
      </c>
      <c r="D46" s="743" t="s">
        <v>681</v>
      </c>
      <c r="E46" s="743" t="s">
        <v>5</v>
      </c>
      <c r="F46" s="743" t="s">
        <v>682</v>
      </c>
      <c r="G46" s="743" t="s">
        <v>29</v>
      </c>
      <c r="H46" s="743" t="s">
        <v>683</v>
      </c>
      <c r="I46" s="743">
        <v>2011</v>
      </c>
      <c r="J46" s="743"/>
      <c r="K46" s="743" t="s">
        <v>707</v>
      </c>
      <c r="L46" s="743"/>
      <c r="M46" s="743" t="s">
        <v>687</v>
      </c>
      <c r="N46" s="744">
        <v>5431.288847524901</v>
      </c>
      <c r="O46" s="744">
        <v>7.740924024995091</v>
      </c>
      <c r="P46" s="744">
        <v>157568.67980260446</v>
      </c>
      <c r="Q46" s="743"/>
      <c r="R46" s="745">
        <v>7.1603814348132859</v>
      </c>
      <c r="S46" s="745">
        <v>7.1603814348132859</v>
      </c>
      <c r="T46" s="745">
        <v>7.1603814348132859</v>
      </c>
      <c r="U46" s="745">
        <v>7.1603814348132859</v>
      </c>
      <c r="V46" s="745">
        <v>7.1603814348132859</v>
      </c>
      <c r="W46" s="745">
        <v>6.5477395497843407</v>
      </c>
      <c r="X46" s="745">
        <v>3.741731797156489</v>
      </c>
      <c r="Y46" s="745">
        <v>3.7400780771792546</v>
      </c>
      <c r="Z46" s="745">
        <v>3.7400780771792546</v>
      </c>
      <c r="AA46" s="745">
        <v>1.1744210249515299</v>
      </c>
      <c r="AB46" s="745">
        <v>0.48795737938086736</v>
      </c>
      <c r="AC46" s="745">
        <v>0.48782675753763433</v>
      </c>
      <c r="AD46" s="745">
        <v>0.48782675753763433</v>
      </c>
      <c r="AE46" s="745">
        <v>0.46539663012304683</v>
      </c>
      <c r="AF46" s="745">
        <v>0.46539663012304683</v>
      </c>
      <c r="AG46" s="745">
        <v>0.46436958368902526</v>
      </c>
      <c r="AH46" s="745">
        <v>0</v>
      </c>
      <c r="AI46" s="745">
        <v>0</v>
      </c>
      <c r="AJ46" s="745">
        <v>0</v>
      </c>
      <c r="AK46" s="745">
        <v>0</v>
      </c>
      <c r="AL46" s="745">
        <v>0</v>
      </c>
      <c r="AM46" s="745">
        <v>0</v>
      </c>
      <c r="AN46" s="745">
        <v>0</v>
      </c>
      <c r="AO46" s="745">
        <v>0</v>
      </c>
      <c r="AP46" s="745">
        <v>0</v>
      </c>
      <c r="AQ46" s="745">
        <v>0</v>
      </c>
      <c r="AR46" s="745">
        <v>0</v>
      </c>
      <c r="AS46" s="745">
        <v>0</v>
      </c>
      <c r="AT46" s="745">
        <v>0</v>
      </c>
      <c r="AU46" s="745">
        <v>0</v>
      </c>
      <c r="AV46" s="743"/>
      <c r="AW46" s="745">
        <v>144940.85534709555</v>
      </c>
      <c r="AX46" s="745">
        <v>144940.85534709555</v>
      </c>
      <c r="AY46" s="745">
        <v>144940.85534709555</v>
      </c>
      <c r="AZ46" s="745">
        <v>144940.85534709555</v>
      </c>
      <c r="BA46" s="745">
        <v>144940.85534709555</v>
      </c>
      <c r="BB46" s="745">
        <v>131709.69224266402</v>
      </c>
      <c r="BC46" s="745">
        <v>71108.634504725735</v>
      </c>
      <c r="BD46" s="745">
        <v>71094.147917725146</v>
      </c>
      <c r="BE46" s="745">
        <v>71094.147917725146</v>
      </c>
      <c r="BF46" s="745">
        <v>15683.91927092576</v>
      </c>
      <c r="BG46" s="745">
        <v>13176.238974772745</v>
      </c>
      <c r="BH46" s="745">
        <v>12099.765559815076</v>
      </c>
      <c r="BI46" s="745">
        <v>12099.765559815076</v>
      </c>
      <c r="BJ46" s="745">
        <v>10041.015785507083</v>
      </c>
      <c r="BK46" s="745">
        <v>10041.015785507083</v>
      </c>
      <c r="BL46" s="745">
        <v>10028.941625883401</v>
      </c>
      <c r="BM46" s="745">
        <v>0</v>
      </c>
      <c r="BN46" s="745">
        <v>0</v>
      </c>
      <c r="BO46" s="745">
        <v>0</v>
      </c>
      <c r="BP46" s="745">
        <v>0</v>
      </c>
      <c r="BQ46" s="745">
        <v>0</v>
      </c>
      <c r="BR46" s="745">
        <v>0</v>
      </c>
      <c r="BS46" s="745">
        <v>0</v>
      </c>
      <c r="BT46" s="745">
        <v>0</v>
      </c>
      <c r="BU46" s="745">
        <v>0</v>
      </c>
      <c r="BV46" s="745">
        <v>0</v>
      </c>
      <c r="BW46" s="745">
        <v>0</v>
      </c>
      <c r="BX46" s="745">
        <v>0</v>
      </c>
      <c r="BY46" s="745">
        <v>0</v>
      </c>
      <c r="BZ46" s="746">
        <v>0</v>
      </c>
      <c r="CA46" s="743"/>
    </row>
    <row r="47" spans="1: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row>
    <row r="48" spans="1: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row>
    <row r="49" spans="2:78" s="693" customFormat="1" ht="10.199999999999999">
      <c r="B49" s="707" t="s">
        <v>494</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9"/>
  <sheetViews>
    <sheetView view="pageBreakPreview" topLeftCell="A19" zoomScale="60" zoomScaleNormal="80" workbookViewId="0">
      <pane xSplit="5" ySplit="5" topLeftCell="F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8"/>
    <col min="80" max="16384" width="9.109375" style="27"/>
  </cols>
  <sheetData>
    <row r="14" spans="2:79" ht="14.4"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0.799999999999997">
      <c r="B22" s="1233"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1233"/>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8" customFormat="1" ht="10.199999999999999">
      <c r="A24" s="738" t="s">
        <v>725</v>
      </c>
      <c r="B24" s="734">
        <v>1</v>
      </c>
      <c r="C24" s="735" t="s">
        <v>210</v>
      </c>
      <c r="D24" s="735" t="s">
        <v>693</v>
      </c>
      <c r="E24" s="735" t="s">
        <v>711</v>
      </c>
      <c r="F24" s="735" t="s">
        <v>682</v>
      </c>
      <c r="G24" s="735" t="s">
        <v>695</v>
      </c>
      <c r="H24" s="735" t="s">
        <v>683</v>
      </c>
      <c r="I24" s="735">
        <v>2012</v>
      </c>
      <c r="J24" s="735" t="s">
        <v>1122</v>
      </c>
      <c r="K24" s="735"/>
      <c r="L24" s="735" t="s">
        <v>1123</v>
      </c>
      <c r="M24" s="735" t="s">
        <v>1124</v>
      </c>
      <c r="N24" s="736">
        <v>1</v>
      </c>
      <c r="O24" s="736">
        <v>5.1771746299999997</v>
      </c>
      <c r="P24" s="736">
        <v>25176.254462563</v>
      </c>
      <c r="Q24" s="735"/>
      <c r="R24" s="736" t="s">
        <v>685</v>
      </c>
      <c r="S24" s="736">
        <v>5.1771746299999997</v>
      </c>
      <c r="T24" s="736">
        <v>5.1771746299999997</v>
      </c>
      <c r="U24" s="736">
        <v>5.1771746299999997</v>
      </c>
      <c r="V24" s="736">
        <v>5.1771746299999997</v>
      </c>
      <c r="W24" s="736" t="s">
        <v>685</v>
      </c>
      <c r="X24" s="736" t="s">
        <v>685</v>
      </c>
      <c r="Y24" s="736" t="s">
        <v>685</v>
      </c>
      <c r="Z24" s="736" t="s">
        <v>685</v>
      </c>
      <c r="AA24" s="736" t="s">
        <v>685</v>
      </c>
      <c r="AB24" s="736" t="s">
        <v>685</v>
      </c>
      <c r="AC24" s="736" t="s">
        <v>685</v>
      </c>
      <c r="AD24" s="736" t="s">
        <v>685</v>
      </c>
      <c r="AE24" s="736" t="s">
        <v>685</v>
      </c>
      <c r="AF24" s="736" t="s">
        <v>685</v>
      </c>
      <c r="AG24" s="736" t="s">
        <v>685</v>
      </c>
      <c r="AH24" s="736" t="s">
        <v>685</v>
      </c>
      <c r="AI24" s="736" t="s">
        <v>685</v>
      </c>
      <c r="AJ24" s="736" t="s">
        <v>685</v>
      </c>
      <c r="AK24" s="736" t="s">
        <v>685</v>
      </c>
      <c r="AL24" s="736" t="s">
        <v>685</v>
      </c>
      <c r="AM24" s="736" t="s">
        <v>685</v>
      </c>
      <c r="AN24" s="736" t="s">
        <v>685</v>
      </c>
      <c r="AO24" s="736" t="s">
        <v>685</v>
      </c>
      <c r="AP24" s="736" t="s">
        <v>685</v>
      </c>
      <c r="AQ24" s="736" t="s">
        <v>685</v>
      </c>
      <c r="AR24" s="736" t="s">
        <v>685</v>
      </c>
      <c r="AS24" s="736" t="s">
        <v>685</v>
      </c>
      <c r="AT24" s="736" t="s">
        <v>685</v>
      </c>
      <c r="AU24" s="736" t="s">
        <v>685</v>
      </c>
      <c r="AV24" s="736"/>
      <c r="AW24" s="736" t="s">
        <v>685</v>
      </c>
      <c r="AX24" s="736">
        <v>25176.254462563</v>
      </c>
      <c r="AY24" s="736">
        <v>25176.254462563</v>
      </c>
      <c r="AZ24" s="736">
        <v>25176.254462563</v>
      </c>
      <c r="BA24" s="736">
        <v>25176.254462563</v>
      </c>
      <c r="BB24" s="736" t="s">
        <v>685</v>
      </c>
      <c r="BC24" s="736" t="s">
        <v>685</v>
      </c>
      <c r="BD24" s="736" t="s">
        <v>685</v>
      </c>
      <c r="BE24" s="736" t="s">
        <v>685</v>
      </c>
      <c r="BF24" s="736" t="s">
        <v>685</v>
      </c>
      <c r="BG24" s="736" t="s">
        <v>685</v>
      </c>
      <c r="BH24" s="736" t="s">
        <v>685</v>
      </c>
      <c r="BI24" s="736" t="s">
        <v>685</v>
      </c>
      <c r="BJ24" s="736" t="s">
        <v>685</v>
      </c>
      <c r="BK24" s="736" t="s">
        <v>685</v>
      </c>
      <c r="BL24" s="736" t="s">
        <v>685</v>
      </c>
      <c r="BM24" s="736" t="s">
        <v>685</v>
      </c>
      <c r="BN24" s="736" t="s">
        <v>685</v>
      </c>
      <c r="BO24" s="736" t="s">
        <v>685</v>
      </c>
      <c r="BP24" s="736" t="s">
        <v>685</v>
      </c>
      <c r="BQ24" s="736" t="s">
        <v>685</v>
      </c>
      <c r="BR24" s="736" t="s">
        <v>685</v>
      </c>
      <c r="BS24" s="736" t="s">
        <v>685</v>
      </c>
      <c r="BT24" s="736" t="s">
        <v>685</v>
      </c>
      <c r="BU24" s="736" t="s">
        <v>685</v>
      </c>
      <c r="BV24" s="736" t="s">
        <v>685</v>
      </c>
      <c r="BW24" s="736" t="s">
        <v>685</v>
      </c>
      <c r="BX24" s="736" t="s">
        <v>685</v>
      </c>
      <c r="BY24" s="736" t="s">
        <v>685</v>
      </c>
      <c r="BZ24" s="737" t="s">
        <v>685</v>
      </c>
      <c r="CA24" s="736"/>
    </row>
    <row r="25" spans="1:79" s="693" customFormat="1" ht="10.199999999999999">
      <c r="B25" s="689">
        <v>2</v>
      </c>
      <c r="C25" s="690" t="s">
        <v>210</v>
      </c>
      <c r="D25" s="690" t="s">
        <v>693</v>
      </c>
      <c r="E25" s="690" t="s">
        <v>711</v>
      </c>
      <c r="F25" s="690" t="s">
        <v>682</v>
      </c>
      <c r="G25" s="690" t="s">
        <v>695</v>
      </c>
      <c r="H25" s="690" t="s">
        <v>683</v>
      </c>
      <c r="I25" s="690">
        <v>2013</v>
      </c>
      <c r="J25" s="690" t="s">
        <v>1122</v>
      </c>
      <c r="K25" s="690"/>
      <c r="L25" s="690" t="s">
        <v>1123</v>
      </c>
      <c r="M25" s="690" t="s">
        <v>1124</v>
      </c>
      <c r="N25" s="691">
        <v>9</v>
      </c>
      <c r="O25" s="691">
        <v>120.84459646800001</v>
      </c>
      <c r="P25" s="691">
        <v>659796.15311638103</v>
      </c>
      <c r="Q25" s="690"/>
      <c r="R25" s="691" t="s">
        <v>685</v>
      </c>
      <c r="S25" s="691" t="s">
        <v>685</v>
      </c>
      <c r="T25" s="691">
        <v>79.314089605000007</v>
      </c>
      <c r="U25" s="691">
        <v>79.314089605000007</v>
      </c>
      <c r="V25" s="691">
        <v>79.314089605000007</v>
      </c>
      <c r="W25" s="691">
        <v>79.314089605000007</v>
      </c>
      <c r="X25" s="691" t="s">
        <v>685</v>
      </c>
      <c r="Y25" s="691" t="s">
        <v>685</v>
      </c>
      <c r="Z25" s="691" t="s">
        <v>685</v>
      </c>
      <c r="AA25" s="691" t="s">
        <v>685</v>
      </c>
      <c r="AB25" s="691" t="s">
        <v>685</v>
      </c>
      <c r="AC25" s="691" t="s">
        <v>685</v>
      </c>
      <c r="AD25" s="691" t="s">
        <v>685</v>
      </c>
      <c r="AE25" s="691" t="s">
        <v>685</v>
      </c>
      <c r="AF25" s="691" t="s">
        <v>685</v>
      </c>
      <c r="AG25" s="691" t="s">
        <v>685</v>
      </c>
      <c r="AH25" s="691" t="s">
        <v>685</v>
      </c>
      <c r="AI25" s="691" t="s">
        <v>685</v>
      </c>
      <c r="AJ25" s="691" t="s">
        <v>685</v>
      </c>
      <c r="AK25" s="691" t="s">
        <v>685</v>
      </c>
      <c r="AL25" s="691" t="s">
        <v>685</v>
      </c>
      <c r="AM25" s="691" t="s">
        <v>685</v>
      </c>
      <c r="AN25" s="691" t="s">
        <v>685</v>
      </c>
      <c r="AO25" s="691" t="s">
        <v>685</v>
      </c>
      <c r="AP25" s="691" t="s">
        <v>685</v>
      </c>
      <c r="AQ25" s="691" t="s">
        <v>685</v>
      </c>
      <c r="AR25" s="691" t="s">
        <v>685</v>
      </c>
      <c r="AS25" s="691" t="s">
        <v>685</v>
      </c>
      <c r="AT25" s="691" t="s">
        <v>685</v>
      </c>
      <c r="AU25" s="691" t="s">
        <v>685</v>
      </c>
      <c r="AV25" s="691"/>
      <c r="AW25" s="691" t="s">
        <v>685</v>
      </c>
      <c r="AX25" s="691" t="s">
        <v>685</v>
      </c>
      <c r="AY25" s="691">
        <v>436056.91017276997</v>
      </c>
      <c r="AZ25" s="691">
        <v>436056.91017276997</v>
      </c>
      <c r="BA25" s="691">
        <v>436056.91017276997</v>
      </c>
      <c r="BB25" s="691">
        <v>436056.91017276997</v>
      </c>
      <c r="BC25" s="691" t="s">
        <v>685</v>
      </c>
      <c r="BD25" s="691" t="s">
        <v>685</v>
      </c>
      <c r="BE25" s="691" t="s">
        <v>685</v>
      </c>
      <c r="BF25" s="691" t="s">
        <v>685</v>
      </c>
      <c r="BG25" s="691" t="s">
        <v>685</v>
      </c>
      <c r="BH25" s="691" t="s">
        <v>685</v>
      </c>
      <c r="BI25" s="691" t="s">
        <v>685</v>
      </c>
      <c r="BJ25" s="691" t="s">
        <v>685</v>
      </c>
      <c r="BK25" s="691" t="s">
        <v>685</v>
      </c>
      <c r="BL25" s="691" t="s">
        <v>685</v>
      </c>
      <c r="BM25" s="691" t="s">
        <v>685</v>
      </c>
      <c r="BN25" s="691" t="s">
        <v>685</v>
      </c>
      <c r="BO25" s="691" t="s">
        <v>685</v>
      </c>
      <c r="BP25" s="691" t="s">
        <v>685</v>
      </c>
      <c r="BQ25" s="691" t="s">
        <v>685</v>
      </c>
      <c r="BR25" s="691" t="s">
        <v>685</v>
      </c>
      <c r="BS25" s="691" t="s">
        <v>685</v>
      </c>
      <c r="BT25" s="691" t="s">
        <v>685</v>
      </c>
      <c r="BU25" s="691" t="s">
        <v>685</v>
      </c>
      <c r="BV25" s="691" t="s">
        <v>685</v>
      </c>
      <c r="BW25" s="691" t="s">
        <v>685</v>
      </c>
      <c r="BX25" s="691" t="s">
        <v>685</v>
      </c>
      <c r="BY25" s="691" t="s">
        <v>685</v>
      </c>
      <c r="BZ25" s="694" t="s">
        <v>685</v>
      </c>
      <c r="CA25" s="692"/>
    </row>
    <row r="26" spans="1:79" s="693" customFormat="1" ht="10.199999999999999">
      <c r="B26" s="689">
        <v>3</v>
      </c>
      <c r="C26" s="690" t="s">
        <v>210</v>
      </c>
      <c r="D26" s="690" t="s">
        <v>693</v>
      </c>
      <c r="E26" s="690" t="s">
        <v>712</v>
      </c>
      <c r="F26" s="690" t="s">
        <v>682</v>
      </c>
      <c r="G26" s="690" t="s">
        <v>695</v>
      </c>
      <c r="H26" s="690" t="s">
        <v>689</v>
      </c>
      <c r="I26" s="690">
        <v>2013</v>
      </c>
      <c r="J26" s="690" t="s">
        <v>1122</v>
      </c>
      <c r="K26" s="690"/>
      <c r="L26" s="690" t="s">
        <v>1123</v>
      </c>
      <c r="M26" s="690" t="s">
        <v>698</v>
      </c>
      <c r="N26" s="691">
        <v>17</v>
      </c>
      <c r="O26" s="691"/>
      <c r="P26" s="691"/>
      <c r="Q26" s="690"/>
      <c r="R26" s="691" t="s">
        <v>685</v>
      </c>
      <c r="S26" s="691" t="s">
        <v>685</v>
      </c>
      <c r="T26" s="691">
        <v>1921.4860000000001</v>
      </c>
      <c r="U26" s="691" t="s">
        <v>685</v>
      </c>
      <c r="V26" s="691" t="s">
        <v>685</v>
      </c>
      <c r="W26" s="691" t="s">
        <v>685</v>
      </c>
      <c r="X26" s="691" t="s">
        <v>685</v>
      </c>
      <c r="Y26" s="691" t="s">
        <v>685</v>
      </c>
      <c r="Z26" s="691" t="s">
        <v>685</v>
      </c>
      <c r="AA26" s="691" t="s">
        <v>685</v>
      </c>
      <c r="AB26" s="691" t="s">
        <v>685</v>
      </c>
      <c r="AC26" s="691" t="s">
        <v>685</v>
      </c>
      <c r="AD26" s="691" t="s">
        <v>685</v>
      </c>
      <c r="AE26" s="691" t="s">
        <v>685</v>
      </c>
      <c r="AF26" s="691" t="s">
        <v>685</v>
      </c>
      <c r="AG26" s="691" t="s">
        <v>685</v>
      </c>
      <c r="AH26" s="691" t="s">
        <v>685</v>
      </c>
      <c r="AI26" s="691" t="s">
        <v>685</v>
      </c>
      <c r="AJ26" s="691" t="s">
        <v>685</v>
      </c>
      <c r="AK26" s="691" t="s">
        <v>685</v>
      </c>
      <c r="AL26" s="691" t="s">
        <v>685</v>
      </c>
      <c r="AM26" s="691" t="s">
        <v>685</v>
      </c>
      <c r="AN26" s="691" t="s">
        <v>685</v>
      </c>
      <c r="AO26" s="691" t="s">
        <v>685</v>
      </c>
      <c r="AP26" s="691" t="s">
        <v>685</v>
      </c>
      <c r="AQ26" s="691" t="s">
        <v>685</v>
      </c>
      <c r="AR26" s="691" t="s">
        <v>685</v>
      </c>
      <c r="AS26" s="691" t="s">
        <v>685</v>
      </c>
      <c r="AT26" s="691" t="s">
        <v>685</v>
      </c>
      <c r="AU26" s="691" t="s">
        <v>685</v>
      </c>
      <c r="AV26" s="691"/>
      <c r="AW26" s="691" t="s">
        <v>685</v>
      </c>
      <c r="AX26" s="691" t="s">
        <v>685</v>
      </c>
      <c r="AY26" s="691">
        <v>28335.84</v>
      </c>
      <c r="AZ26" s="691" t="s">
        <v>685</v>
      </c>
      <c r="BA26" s="691" t="s">
        <v>685</v>
      </c>
      <c r="BB26" s="691" t="s">
        <v>685</v>
      </c>
      <c r="BC26" s="691" t="s">
        <v>685</v>
      </c>
      <c r="BD26" s="691" t="s">
        <v>685</v>
      </c>
      <c r="BE26" s="691" t="s">
        <v>685</v>
      </c>
      <c r="BF26" s="691" t="s">
        <v>685</v>
      </c>
      <c r="BG26" s="691" t="s">
        <v>685</v>
      </c>
      <c r="BH26" s="691" t="s">
        <v>685</v>
      </c>
      <c r="BI26" s="691" t="s">
        <v>685</v>
      </c>
      <c r="BJ26" s="691" t="s">
        <v>685</v>
      </c>
      <c r="BK26" s="691" t="s">
        <v>685</v>
      </c>
      <c r="BL26" s="691" t="s">
        <v>685</v>
      </c>
      <c r="BM26" s="691" t="s">
        <v>685</v>
      </c>
      <c r="BN26" s="691" t="s">
        <v>685</v>
      </c>
      <c r="BO26" s="691" t="s">
        <v>685</v>
      </c>
      <c r="BP26" s="691" t="s">
        <v>685</v>
      </c>
      <c r="BQ26" s="691" t="s">
        <v>685</v>
      </c>
      <c r="BR26" s="691" t="s">
        <v>685</v>
      </c>
      <c r="BS26" s="691" t="s">
        <v>685</v>
      </c>
      <c r="BT26" s="691" t="s">
        <v>685</v>
      </c>
      <c r="BU26" s="691" t="s">
        <v>685</v>
      </c>
      <c r="BV26" s="691" t="s">
        <v>685</v>
      </c>
      <c r="BW26" s="691" t="s">
        <v>685</v>
      </c>
      <c r="BX26" s="691" t="s">
        <v>685</v>
      </c>
      <c r="BY26" s="691" t="s">
        <v>685</v>
      </c>
      <c r="BZ26" s="694" t="s">
        <v>685</v>
      </c>
      <c r="CA26" s="692"/>
    </row>
    <row r="27" spans="1:79" s="693" customFormat="1" ht="10.199999999999999">
      <c r="B27" s="689">
        <v>4</v>
      </c>
      <c r="C27" s="690" t="s">
        <v>210</v>
      </c>
      <c r="D27" s="690" t="s">
        <v>693</v>
      </c>
      <c r="E27" s="695" t="s">
        <v>24</v>
      </c>
      <c r="F27" s="690" t="s">
        <v>682</v>
      </c>
      <c r="G27" s="690" t="s">
        <v>695</v>
      </c>
      <c r="H27" s="690" t="s">
        <v>683</v>
      </c>
      <c r="I27" s="690">
        <v>2013</v>
      </c>
      <c r="J27" s="690" t="s">
        <v>1122</v>
      </c>
      <c r="K27" s="690"/>
      <c r="L27" s="690" t="s">
        <v>1123</v>
      </c>
      <c r="M27" s="690" t="s">
        <v>685</v>
      </c>
      <c r="N27" s="691">
        <v>4</v>
      </c>
      <c r="O27" s="691">
        <v>1441.2250766100001</v>
      </c>
      <c r="P27" s="691">
        <v>2925209.3662510598</v>
      </c>
      <c r="Q27" s="690"/>
      <c r="R27" s="691" t="s">
        <v>685</v>
      </c>
      <c r="S27" s="691" t="s">
        <v>685</v>
      </c>
      <c r="T27" s="691">
        <v>778.26154137000003</v>
      </c>
      <c r="U27" s="691">
        <v>778.26154137000003</v>
      </c>
      <c r="V27" s="691">
        <v>778.26154137000003</v>
      </c>
      <c r="W27" s="691">
        <v>778.26154137000003</v>
      </c>
      <c r="X27" s="691">
        <v>778.26154137000003</v>
      </c>
      <c r="Y27" s="691">
        <v>778.26154137000003</v>
      </c>
      <c r="Z27" s="691">
        <v>778.26154137000003</v>
      </c>
      <c r="AA27" s="691">
        <v>778.26154137000003</v>
      </c>
      <c r="AB27" s="691">
        <v>778.26154137000003</v>
      </c>
      <c r="AC27" s="691">
        <v>778.26154137000003</v>
      </c>
      <c r="AD27" s="691">
        <v>729.18466737000006</v>
      </c>
      <c r="AE27" s="691">
        <v>729.18466737000006</v>
      </c>
      <c r="AF27" s="691">
        <v>729.18466737000006</v>
      </c>
      <c r="AG27" s="691">
        <v>729.18466737000006</v>
      </c>
      <c r="AH27" s="691">
        <v>726.40407826299997</v>
      </c>
      <c r="AI27" s="691">
        <v>0</v>
      </c>
      <c r="AJ27" s="691">
        <v>0</v>
      </c>
      <c r="AK27" s="691">
        <v>0</v>
      </c>
      <c r="AL27" s="691">
        <v>0</v>
      </c>
      <c r="AM27" s="691">
        <v>0</v>
      </c>
      <c r="AN27" s="691">
        <v>0</v>
      </c>
      <c r="AO27" s="691">
        <v>0</v>
      </c>
      <c r="AP27" s="691">
        <v>0</v>
      </c>
      <c r="AQ27" s="691">
        <v>0</v>
      </c>
      <c r="AR27" s="691">
        <v>0</v>
      </c>
      <c r="AS27" s="691">
        <v>0</v>
      </c>
      <c r="AT27" s="691">
        <v>0</v>
      </c>
      <c r="AU27" s="691">
        <v>0</v>
      </c>
      <c r="AV27" s="691"/>
      <c r="AW27" s="691">
        <v>0</v>
      </c>
      <c r="AX27" s="691">
        <v>0</v>
      </c>
      <c r="AY27" s="691">
        <v>1579613.0577755701</v>
      </c>
      <c r="AZ27" s="691">
        <v>1579613.0577755701</v>
      </c>
      <c r="BA27" s="691">
        <v>1579613.0577755701</v>
      </c>
      <c r="BB27" s="691">
        <v>1579613.0577755701</v>
      </c>
      <c r="BC27" s="691">
        <v>1579613.0577755701</v>
      </c>
      <c r="BD27" s="691">
        <v>1579613.0577755701</v>
      </c>
      <c r="BE27" s="691">
        <v>1579613.0577755701</v>
      </c>
      <c r="BF27" s="691">
        <v>1579613.0577755701</v>
      </c>
      <c r="BG27" s="691">
        <v>1579613.0577755701</v>
      </c>
      <c r="BH27" s="691">
        <v>1579613.0577755701</v>
      </c>
      <c r="BI27" s="691">
        <v>1274189.1873755699</v>
      </c>
      <c r="BJ27" s="691">
        <v>1274189.1873755699</v>
      </c>
      <c r="BK27" s="691">
        <v>1274189.1873755699</v>
      </c>
      <c r="BL27" s="691">
        <v>1274189.1873755699</v>
      </c>
      <c r="BM27" s="691">
        <v>1257812.6606999999</v>
      </c>
      <c r="BN27" s="691">
        <v>0</v>
      </c>
      <c r="BO27" s="691">
        <v>0</v>
      </c>
      <c r="BP27" s="691">
        <v>0</v>
      </c>
      <c r="BQ27" s="691">
        <v>0</v>
      </c>
      <c r="BR27" s="691">
        <v>0</v>
      </c>
      <c r="BS27" s="691">
        <v>0</v>
      </c>
      <c r="BT27" s="691">
        <v>0</v>
      </c>
      <c r="BU27" s="691">
        <v>0</v>
      </c>
      <c r="BV27" s="691">
        <v>0</v>
      </c>
      <c r="BW27" s="691">
        <v>0</v>
      </c>
      <c r="BX27" s="691">
        <v>0</v>
      </c>
      <c r="BY27" s="691">
        <v>0</v>
      </c>
      <c r="BZ27" s="694">
        <v>0</v>
      </c>
      <c r="CA27" s="692"/>
    </row>
    <row r="28" spans="1:79" s="738" customFormat="1" ht="10.199999999999999">
      <c r="A28" s="738" t="s">
        <v>725</v>
      </c>
      <c r="B28" s="734">
        <v>5</v>
      </c>
      <c r="C28" s="735" t="s">
        <v>210</v>
      </c>
      <c r="D28" s="735"/>
      <c r="E28" s="735"/>
      <c r="F28" s="735"/>
      <c r="G28" s="735" t="s">
        <v>695</v>
      </c>
      <c r="H28" s="735" t="s">
        <v>683</v>
      </c>
      <c r="I28" s="735">
        <v>2012</v>
      </c>
      <c r="J28" s="735" t="s">
        <v>1122</v>
      </c>
      <c r="K28" s="735"/>
      <c r="L28" s="735" t="s">
        <v>1123</v>
      </c>
      <c r="M28" s="735" t="s">
        <v>699</v>
      </c>
      <c r="N28" s="736">
        <v>47</v>
      </c>
      <c r="O28" s="736">
        <v>755.22091789900003</v>
      </c>
      <c r="P28" s="736">
        <v>4063658.7313070898</v>
      </c>
      <c r="Q28" s="735"/>
      <c r="R28" s="736" t="s">
        <v>685</v>
      </c>
      <c r="S28" s="736">
        <v>493.76162896300002</v>
      </c>
      <c r="T28" s="736">
        <v>493.76162896300002</v>
      </c>
      <c r="U28" s="736">
        <v>493.58608523800001</v>
      </c>
      <c r="V28" s="736">
        <v>490.39288744300001</v>
      </c>
      <c r="W28" s="736">
        <v>490.39288744300001</v>
      </c>
      <c r="X28" s="736">
        <v>479.28548856200001</v>
      </c>
      <c r="Y28" s="736">
        <v>475.41063766299999</v>
      </c>
      <c r="Z28" s="736">
        <v>475.41063766299999</v>
      </c>
      <c r="AA28" s="736">
        <v>467.98950781100001</v>
      </c>
      <c r="AB28" s="736">
        <v>442.01295010699999</v>
      </c>
      <c r="AC28" s="736">
        <v>382.93130108100002</v>
      </c>
      <c r="AD28" s="736">
        <v>371.93997490100003</v>
      </c>
      <c r="AE28" s="736">
        <v>327.01886818600002</v>
      </c>
      <c r="AF28" s="736">
        <v>321.918856409</v>
      </c>
      <c r="AG28" s="736">
        <v>321.918856409</v>
      </c>
      <c r="AH28" s="736">
        <v>234.106286208</v>
      </c>
      <c r="AI28" s="736">
        <v>13.744482503</v>
      </c>
      <c r="AJ28" s="736">
        <v>13.744482503</v>
      </c>
      <c r="AK28" s="736">
        <v>13.744482503</v>
      </c>
      <c r="AL28" s="736">
        <v>13.744482503</v>
      </c>
      <c r="AM28" s="736">
        <v>0</v>
      </c>
      <c r="AN28" s="736">
        <v>0</v>
      </c>
      <c r="AO28" s="736">
        <v>0</v>
      </c>
      <c r="AP28" s="736">
        <v>0</v>
      </c>
      <c r="AQ28" s="736">
        <v>0</v>
      </c>
      <c r="AR28" s="736">
        <v>0</v>
      </c>
      <c r="AS28" s="736">
        <v>0</v>
      </c>
      <c r="AT28" s="736">
        <v>0</v>
      </c>
      <c r="AU28" s="736">
        <v>0</v>
      </c>
      <c r="AV28" s="736"/>
      <c r="AW28" s="736">
        <v>0</v>
      </c>
      <c r="AX28" s="736">
        <v>2712548.1542130499</v>
      </c>
      <c r="AY28" s="736">
        <v>2712548.1542130499</v>
      </c>
      <c r="AZ28" s="736">
        <v>2711913.9455546802</v>
      </c>
      <c r="BA28" s="736">
        <v>2700377.4502726002</v>
      </c>
      <c r="BB28" s="736">
        <v>2700377.4502726002</v>
      </c>
      <c r="BC28" s="736">
        <v>2660248.2559558498</v>
      </c>
      <c r="BD28" s="736">
        <v>2642538.7930665398</v>
      </c>
      <c r="BE28" s="736">
        <v>2642538.7930665398</v>
      </c>
      <c r="BF28" s="736">
        <v>2612035.56750623</v>
      </c>
      <c r="BG28" s="736">
        <v>2494611.5480501698</v>
      </c>
      <c r="BH28" s="736">
        <v>2221019.8965949002</v>
      </c>
      <c r="BI28" s="736">
        <v>2175842.0182461501</v>
      </c>
      <c r="BJ28" s="736">
        <v>1905964.5402681001</v>
      </c>
      <c r="BK28" s="736">
        <v>1887539.04156973</v>
      </c>
      <c r="BL28" s="736">
        <v>1887539.04156973</v>
      </c>
      <c r="BM28" s="736">
        <v>1359885.7733849401</v>
      </c>
      <c r="BN28" s="736">
        <v>35762.978197564997</v>
      </c>
      <c r="BO28" s="736">
        <v>35762.978197564997</v>
      </c>
      <c r="BP28" s="736">
        <v>35762.978197564997</v>
      </c>
      <c r="BQ28" s="736">
        <v>35762.978197564997</v>
      </c>
      <c r="BR28" s="736">
        <v>0</v>
      </c>
      <c r="BS28" s="736">
        <v>0</v>
      </c>
      <c r="BT28" s="736">
        <v>0</v>
      </c>
      <c r="BU28" s="736">
        <v>0</v>
      </c>
      <c r="BV28" s="736">
        <v>0</v>
      </c>
      <c r="BW28" s="736">
        <v>0</v>
      </c>
      <c r="BX28" s="736">
        <v>0</v>
      </c>
      <c r="BY28" s="736">
        <v>0</v>
      </c>
      <c r="BZ28" s="739">
        <v>0</v>
      </c>
      <c r="CA28" s="736"/>
    </row>
    <row r="29" spans="1:79" s="693" customFormat="1" ht="10.199999999999999">
      <c r="B29" s="689">
        <v>6</v>
      </c>
      <c r="C29" s="690" t="s">
        <v>210</v>
      </c>
      <c r="D29" s="690" t="s">
        <v>693</v>
      </c>
      <c r="E29" s="690" t="s">
        <v>22</v>
      </c>
      <c r="F29" s="690" t="s">
        <v>682</v>
      </c>
      <c r="G29" s="690" t="s">
        <v>695</v>
      </c>
      <c r="H29" s="690" t="s">
        <v>683</v>
      </c>
      <c r="I29" s="690">
        <v>2013</v>
      </c>
      <c r="J29" s="690" t="s">
        <v>1122</v>
      </c>
      <c r="K29" s="690"/>
      <c r="L29" s="690" t="s">
        <v>1123</v>
      </c>
      <c r="M29" s="690" t="s">
        <v>699</v>
      </c>
      <c r="N29" s="691">
        <v>727</v>
      </c>
      <c r="O29" s="691">
        <v>7036.6617993890004</v>
      </c>
      <c r="P29" s="691">
        <v>38768552.595386103</v>
      </c>
      <c r="Q29" s="690"/>
      <c r="R29" s="691" t="s">
        <v>685</v>
      </c>
      <c r="S29" s="691" t="s">
        <v>685</v>
      </c>
      <c r="T29" s="691">
        <v>5114.4682773730001</v>
      </c>
      <c r="U29" s="691">
        <v>5108.2518381709997</v>
      </c>
      <c r="V29" s="691">
        <v>5098.1890167940001</v>
      </c>
      <c r="W29" s="691">
        <v>5060.0138301320003</v>
      </c>
      <c r="X29" s="691">
        <v>4867.308686548</v>
      </c>
      <c r="Y29" s="691">
        <v>4789.8969655829997</v>
      </c>
      <c r="Z29" s="691">
        <v>4789.8969655829997</v>
      </c>
      <c r="AA29" s="691">
        <v>4788.2208880870003</v>
      </c>
      <c r="AB29" s="691">
        <v>4659.9215090440002</v>
      </c>
      <c r="AC29" s="691">
        <v>4124.1319175790004</v>
      </c>
      <c r="AD29" s="691">
        <v>3485.7021245320002</v>
      </c>
      <c r="AE29" s="691">
        <v>3471.80498988</v>
      </c>
      <c r="AF29" s="691">
        <v>1505.0147987140001</v>
      </c>
      <c r="AG29" s="691">
        <v>1463.386720148</v>
      </c>
      <c r="AH29" s="691">
        <v>1463.386720148</v>
      </c>
      <c r="AI29" s="691">
        <v>1263.5861115390001</v>
      </c>
      <c r="AJ29" s="691">
        <v>421.696177664</v>
      </c>
      <c r="AK29" s="691">
        <v>414.88685263299999</v>
      </c>
      <c r="AL29" s="691">
        <v>414.88685263299999</v>
      </c>
      <c r="AM29" s="691">
        <v>414.88685263299999</v>
      </c>
      <c r="AN29" s="691">
        <v>0</v>
      </c>
      <c r="AO29" s="691">
        <v>0</v>
      </c>
      <c r="AP29" s="691">
        <v>0</v>
      </c>
      <c r="AQ29" s="691">
        <v>0</v>
      </c>
      <c r="AR29" s="691">
        <v>0</v>
      </c>
      <c r="AS29" s="691">
        <v>0</v>
      </c>
      <c r="AT29" s="691">
        <v>0</v>
      </c>
      <c r="AU29" s="691">
        <v>0</v>
      </c>
      <c r="AV29" s="691"/>
      <c r="AW29" s="691">
        <v>0</v>
      </c>
      <c r="AX29" s="691">
        <v>0</v>
      </c>
      <c r="AY29" s="691">
        <v>28469682.039124999</v>
      </c>
      <c r="AZ29" s="691">
        <v>28448544.0664698</v>
      </c>
      <c r="BA29" s="691">
        <v>28412483.3304969</v>
      </c>
      <c r="BB29" s="691">
        <v>28293824.291729901</v>
      </c>
      <c r="BC29" s="691">
        <v>27648870.270613998</v>
      </c>
      <c r="BD29" s="691">
        <v>27240344.297856301</v>
      </c>
      <c r="BE29" s="691">
        <v>27240344.297856301</v>
      </c>
      <c r="BF29" s="691">
        <v>27195210.419288099</v>
      </c>
      <c r="BG29" s="691">
        <v>26756851.651467402</v>
      </c>
      <c r="BH29" s="691">
        <v>23875070.079429001</v>
      </c>
      <c r="BI29" s="691">
        <v>20057295.823158901</v>
      </c>
      <c r="BJ29" s="691">
        <v>19683069.935956098</v>
      </c>
      <c r="BK29" s="691">
        <v>8197275.4523011297</v>
      </c>
      <c r="BL29" s="691">
        <v>8046094.97243868</v>
      </c>
      <c r="BM29" s="691">
        <v>8046094.97243868</v>
      </c>
      <c r="BN29" s="691">
        <v>6637302.7919464502</v>
      </c>
      <c r="BO29" s="691">
        <v>885974.33134762</v>
      </c>
      <c r="BP29" s="691">
        <v>870640.14288844599</v>
      </c>
      <c r="BQ29" s="691">
        <v>870640.14288844599</v>
      </c>
      <c r="BR29" s="691">
        <v>870640.14288844599</v>
      </c>
      <c r="BS29" s="691">
        <v>0</v>
      </c>
      <c r="BT29" s="691">
        <v>0</v>
      </c>
      <c r="BU29" s="691">
        <v>0</v>
      </c>
      <c r="BV29" s="691">
        <v>0</v>
      </c>
      <c r="BW29" s="691">
        <v>0</v>
      </c>
      <c r="BX29" s="691">
        <v>0</v>
      </c>
      <c r="BY29" s="691">
        <v>0</v>
      </c>
      <c r="BZ29" s="694">
        <v>0</v>
      </c>
      <c r="CA29" s="692"/>
    </row>
    <row r="30" spans="1:79" s="738" customFormat="1" ht="10.199999999999999">
      <c r="A30" s="738" t="s">
        <v>725</v>
      </c>
      <c r="B30" s="734">
        <v>7</v>
      </c>
      <c r="C30" s="735" t="s">
        <v>210</v>
      </c>
      <c r="D30" s="735" t="s">
        <v>693</v>
      </c>
      <c r="E30" s="735" t="s">
        <v>713</v>
      </c>
      <c r="F30" s="735" t="s">
        <v>682</v>
      </c>
      <c r="G30" s="735" t="s">
        <v>695</v>
      </c>
      <c r="H30" s="735" t="s">
        <v>683</v>
      </c>
      <c r="I30" s="735">
        <v>2012</v>
      </c>
      <c r="J30" s="735" t="s">
        <v>1122</v>
      </c>
      <c r="K30" s="735"/>
      <c r="L30" s="735" t="s">
        <v>1123</v>
      </c>
      <c r="M30" s="735" t="s">
        <v>699</v>
      </c>
      <c r="N30" s="736">
        <v>3</v>
      </c>
      <c r="O30" s="736">
        <v>3.3670839789999998</v>
      </c>
      <c r="P30" s="736">
        <v>14832.457327687</v>
      </c>
      <c r="Q30" s="735"/>
      <c r="R30" s="736" t="s">
        <v>685</v>
      </c>
      <c r="S30" s="736">
        <v>3.1763064249999999</v>
      </c>
      <c r="T30" s="736">
        <v>3.1763064249999999</v>
      </c>
      <c r="U30" s="736">
        <v>3.1763064249999999</v>
      </c>
      <c r="V30" s="736">
        <v>2.841840763</v>
      </c>
      <c r="W30" s="736">
        <v>2.841840763</v>
      </c>
      <c r="X30" s="736">
        <v>0.49289660899999999</v>
      </c>
      <c r="Y30" s="736">
        <v>0.49289660899999999</v>
      </c>
      <c r="Z30" s="736">
        <v>0.49289660899999999</v>
      </c>
      <c r="AA30" s="736">
        <v>0.49289660899999999</v>
      </c>
      <c r="AB30" s="736">
        <v>0.49289660899999999</v>
      </c>
      <c r="AC30" s="736">
        <v>0.31188289899999999</v>
      </c>
      <c r="AD30" s="736">
        <v>0.31188289899999999</v>
      </c>
      <c r="AE30" s="736">
        <v>0</v>
      </c>
      <c r="AF30" s="736">
        <v>0</v>
      </c>
      <c r="AG30" s="736">
        <v>0</v>
      </c>
      <c r="AH30" s="736">
        <v>0</v>
      </c>
      <c r="AI30" s="736">
        <v>0</v>
      </c>
      <c r="AJ30" s="736">
        <v>0</v>
      </c>
      <c r="AK30" s="736">
        <v>0</v>
      </c>
      <c r="AL30" s="736">
        <v>0</v>
      </c>
      <c r="AM30" s="736">
        <v>0</v>
      </c>
      <c r="AN30" s="736">
        <v>0</v>
      </c>
      <c r="AO30" s="736">
        <v>0</v>
      </c>
      <c r="AP30" s="736">
        <v>0</v>
      </c>
      <c r="AQ30" s="736">
        <v>0</v>
      </c>
      <c r="AR30" s="736">
        <v>0</v>
      </c>
      <c r="AS30" s="736">
        <v>0</v>
      </c>
      <c r="AT30" s="736">
        <v>0</v>
      </c>
      <c r="AU30" s="736">
        <v>0</v>
      </c>
      <c r="AV30" s="736"/>
      <c r="AW30" s="736" t="s">
        <v>685</v>
      </c>
      <c r="AX30" s="736">
        <v>13972.750808416</v>
      </c>
      <c r="AY30" s="736">
        <v>13972.750808416</v>
      </c>
      <c r="AZ30" s="736">
        <v>13972.750808416</v>
      </c>
      <c r="BA30" s="736">
        <v>12582.611684494001</v>
      </c>
      <c r="BB30" s="736">
        <v>12582.611684494001</v>
      </c>
      <c r="BC30" s="736">
        <v>3085.0449025100002</v>
      </c>
      <c r="BD30" s="736">
        <v>3085.0449025100002</v>
      </c>
      <c r="BE30" s="736">
        <v>3085.0449025100002</v>
      </c>
      <c r="BF30" s="736">
        <v>3085.0449025100002</v>
      </c>
      <c r="BG30" s="736">
        <v>3085.0449025100002</v>
      </c>
      <c r="BH30" s="736">
        <v>1313.865165814</v>
      </c>
      <c r="BI30" s="736">
        <v>1313.865165814</v>
      </c>
      <c r="BJ30" s="736">
        <v>0</v>
      </c>
      <c r="BK30" s="736">
        <v>0</v>
      </c>
      <c r="BL30" s="736">
        <v>0</v>
      </c>
      <c r="BM30" s="736">
        <v>0</v>
      </c>
      <c r="BN30" s="736">
        <v>0</v>
      </c>
      <c r="BO30" s="736">
        <v>0</v>
      </c>
      <c r="BP30" s="736">
        <v>0</v>
      </c>
      <c r="BQ30" s="736">
        <v>0</v>
      </c>
      <c r="BR30" s="736">
        <v>0</v>
      </c>
      <c r="BS30" s="736">
        <v>0</v>
      </c>
      <c r="BT30" s="736">
        <v>0</v>
      </c>
      <c r="BU30" s="736">
        <v>0</v>
      </c>
      <c r="BV30" s="736">
        <v>0</v>
      </c>
      <c r="BW30" s="736">
        <v>0</v>
      </c>
      <c r="BX30" s="736">
        <v>0</v>
      </c>
      <c r="BY30" s="736">
        <v>0</v>
      </c>
      <c r="BZ30" s="739">
        <v>0</v>
      </c>
      <c r="CA30" s="736"/>
    </row>
    <row r="31" spans="1:79" s="693" customFormat="1" ht="10.199999999999999">
      <c r="B31" s="689">
        <v>8</v>
      </c>
      <c r="C31" s="690" t="s">
        <v>210</v>
      </c>
      <c r="D31" s="690" t="s">
        <v>693</v>
      </c>
      <c r="E31" s="690" t="s">
        <v>713</v>
      </c>
      <c r="F31" s="690" t="s">
        <v>682</v>
      </c>
      <c r="G31" s="690" t="s">
        <v>695</v>
      </c>
      <c r="H31" s="690" t="s">
        <v>683</v>
      </c>
      <c r="I31" s="690">
        <v>2013</v>
      </c>
      <c r="J31" s="690" t="s">
        <v>1122</v>
      </c>
      <c r="K31" s="690"/>
      <c r="L31" s="690" t="s">
        <v>1123</v>
      </c>
      <c r="M31" s="690" t="s">
        <v>699</v>
      </c>
      <c r="N31" s="691">
        <v>2315</v>
      </c>
      <c r="O31" s="691">
        <v>2463.181766663</v>
      </c>
      <c r="P31" s="691">
        <v>8416741.5867679603</v>
      </c>
      <c r="Q31" s="690"/>
      <c r="R31" s="691" t="s">
        <v>685</v>
      </c>
      <c r="S31" s="691" t="s">
        <v>685</v>
      </c>
      <c r="T31" s="691">
        <v>2326.5822134179998</v>
      </c>
      <c r="U31" s="691">
        <v>2326.5822134179998</v>
      </c>
      <c r="V31" s="691">
        <v>2206.88249692</v>
      </c>
      <c r="W31" s="691">
        <v>1825.5740147829999</v>
      </c>
      <c r="X31" s="691">
        <v>760.51336068000001</v>
      </c>
      <c r="Y31" s="691">
        <v>756.61932220599999</v>
      </c>
      <c r="Z31" s="691">
        <v>756.61932220599999</v>
      </c>
      <c r="AA31" s="691">
        <v>743.54872989099999</v>
      </c>
      <c r="AB31" s="691">
        <v>743.54872989099999</v>
      </c>
      <c r="AC31" s="691">
        <v>743.54872989099999</v>
      </c>
      <c r="AD31" s="691">
        <v>717.580528996</v>
      </c>
      <c r="AE31" s="691">
        <v>324.67294382099999</v>
      </c>
      <c r="AF31" s="691">
        <v>27.202851471999999</v>
      </c>
      <c r="AG31" s="691">
        <v>27.202851471999999</v>
      </c>
      <c r="AH31" s="691">
        <v>27.202851471999999</v>
      </c>
      <c r="AI31" s="691">
        <v>0</v>
      </c>
      <c r="AJ31" s="691">
        <v>0</v>
      </c>
      <c r="AK31" s="691">
        <v>0</v>
      </c>
      <c r="AL31" s="691">
        <v>0</v>
      </c>
      <c r="AM31" s="691">
        <v>0</v>
      </c>
      <c r="AN31" s="691">
        <v>0</v>
      </c>
      <c r="AO31" s="691">
        <v>0</v>
      </c>
      <c r="AP31" s="691">
        <v>0</v>
      </c>
      <c r="AQ31" s="691">
        <v>0</v>
      </c>
      <c r="AR31" s="691">
        <v>0</v>
      </c>
      <c r="AS31" s="691">
        <v>0</v>
      </c>
      <c r="AT31" s="691">
        <v>0</v>
      </c>
      <c r="AU31" s="691">
        <v>0</v>
      </c>
      <c r="AV31" s="691"/>
      <c r="AW31" s="691" t="s">
        <v>685</v>
      </c>
      <c r="AX31" s="691" t="s">
        <v>685</v>
      </c>
      <c r="AY31" s="691">
        <v>7944312.5198117597</v>
      </c>
      <c r="AZ31" s="691">
        <v>7944312.5198117597</v>
      </c>
      <c r="BA31" s="691">
        <v>7498603.0486309202</v>
      </c>
      <c r="BB31" s="691">
        <v>6038248.2825318398</v>
      </c>
      <c r="BC31" s="691">
        <v>2701017.1829984901</v>
      </c>
      <c r="BD31" s="691">
        <v>2688801.7338009002</v>
      </c>
      <c r="BE31" s="691">
        <v>2688801.7338009002</v>
      </c>
      <c r="BF31" s="691">
        <v>2675740.4564032401</v>
      </c>
      <c r="BG31" s="691">
        <v>2675740.4564032401</v>
      </c>
      <c r="BH31" s="691">
        <v>2675740.4564032401</v>
      </c>
      <c r="BI31" s="691">
        <v>2440160.1867589802</v>
      </c>
      <c r="BJ31" s="691">
        <v>965484.15053906105</v>
      </c>
      <c r="BK31" s="691">
        <v>27183.465027638998</v>
      </c>
      <c r="BL31" s="691">
        <v>27183.465027638998</v>
      </c>
      <c r="BM31" s="691">
        <v>27183.465027638998</v>
      </c>
      <c r="BN31" s="691">
        <v>0</v>
      </c>
      <c r="BO31" s="691">
        <v>0</v>
      </c>
      <c r="BP31" s="691">
        <v>0</v>
      </c>
      <c r="BQ31" s="691">
        <v>0</v>
      </c>
      <c r="BR31" s="691">
        <v>0</v>
      </c>
      <c r="BS31" s="691">
        <v>0</v>
      </c>
      <c r="BT31" s="691">
        <v>0</v>
      </c>
      <c r="BU31" s="691">
        <v>0</v>
      </c>
      <c r="BV31" s="691">
        <v>0</v>
      </c>
      <c r="BW31" s="691">
        <v>0</v>
      </c>
      <c r="BX31" s="691">
        <v>0</v>
      </c>
      <c r="BY31" s="691">
        <v>0</v>
      </c>
      <c r="BZ31" s="694">
        <v>0</v>
      </c>
      <c r="CA31" s="692"/>
    </row>
    <row r="32" spans="1:79" s="693" customFormat="1" ht="10.199999999999999">
      <c r="B32" s="689">
        <v>9</v>
      </c>
      <c r="C32" s="690" t="s">
        <v>210</v>
      </c>
      <c r="D32" s="690" t="s">
        <v>681</v>
      </c>
      <c r="E32" s="690" t="s">
        <v>714</v>
      </c>
      <c r="F32" s="690" t="s">
        <v>682</v>
      </c>
      <c r="G32" s="690" t="s">
        <v>29</v>
      </c>
      <c r="H32" s="690" t="s">
        <v>683</v>
      </c>
      <c r="I32" s="690">
        <v>2013</v>
      </c>
      <c r="J32" s="690" t="s">
        <v>1122</v>
      </c>
      <c r="K32" s="690"/>
      <c r="L32" s="690" t="s">
        <v>1125</v>
      </c>
      <c r="M32" s="690" t="s">
        <v>1126</v>
      </c>
      <c r="N32" s="691">
        <v>23028.134116523001</v>
      </c>
      <c r="O32" s="691">
        <v>30.783126795000001</v>
      </c>
      <c r="P32" s="691">
        <v>454211.25017673202</v>
      </c>
      <c r="Q32" s="690"/>
      <c r="R32" s="691">
        <v>0</v>
      </c>
      <c r="S32" s="691">
        <v>0</v>
      </c>
      <c r="T32" s="691">
        <v>34.292712747000003</v>
      </c>
      <c r="U32" s="691">
        <v>34.292712747000003</v>
      </c>
      <c r="V32" s="691">
        <v>33.054928722</v>
      </c>
      <c r="W32" s="691">
        <v>28.336276427000001</v>
      </c>
      <c r="X32" s="691">
        <v>28.336276427000001</v>
      </c>
      <c r="Y32" s="691">
        <v>28.336276427000001</v>
      </c>
      <c r="Z32" s="691">
        <v>28.336276427000001</v>
      </c>
      <c r="AA32" s="691">
        <v>28.296626161999999</v>
      </c>
      <c r="AB32" s="691">
        <v>21.164237576000001</v>
      </c>
      <c r="AC32" s="691">
        <v>21.164237576000001</v>
      </c>
      <c r="AD32" s="691">
        <v>17.000510248000001</v>
      </c>
      <c r="AE32" s="691">
        <v>17.000034487000001</v>
      </c>
      <c r="AF32" s="691">
        <v>17.000034487000001</v>
      </c>
      <c r="AG32" s="691">
        <v>16.974690714000001</v>
      </c>
      <c r="AH32" s="691">
        <v>16.974690714000001</v>
      </c>
      <c r="AI32" s="691">
        <v>16.953929319</v>
      </c>
      <c r="AJ32" s="691">
        <v>16.430031076999999</v>
      </c>
      <c r="AK32" s="691">
        <v>9.6440636980000001</v>
      </c>
      <c r="AL32" s="691">
        <v>9.6440636980000001</v>
      </c>
      <c r="AM32" s="691">
        <v>9.6440636980000001</v>
      </c>
      <c r="AN32" s="691">
        <v>0</v>
      </c>
      <c r="AO32" s="691">
        <v>0</v>
      </c>
      <c r="AP32" s="691">
        <v>0</v>
      </c>
      <c r="AQ32" s="691">
        <v>0</v>
      </c>
      <c r="AR32" s="691">
        <v>0</v>
      </c>
      <c r="AS32" s="691">
        <v>0</v>
      </c>
      <c r="AT32" s="691">
        <v>0</v>
      </c>
      <c r="AU32" s="691">
        <v>0</v>
      </c>
      <c r="AV32" s="691"/>
      <c r="AW32" s="691">
        <v>0</v>
      </c>
      <c r="AX32" s="691">
        <v>0</v>
      </c>
      <c r="AY32" s="691">
        <v>511654.72928661399</v>
      </c>
      <c r="AZ32" s="691">
        <v>511654.72928661399</v>
      </c>
      <c r="BA32" s="691">
        <v>491937.66525316797</v>
      </c>
      <c r="BB32" s="691">
        <v>416772.71922010701</v>
      </c>
      <c r="BC32" s="691">
        <v>416772.71922010701</v>
      </c>
      <c r="BD32" s="691">
        <v>416772.71922010701</v>
      </c>
      <c r="BE32" s="691">
        <v>416772.71922010701</v>
      </c>
      <c r="BF32" s="691">
        <v>416425.38290130399</v>
      </c>
      <c r="BG32" s="691">
        <v>302811.246989962</v>
      </c>
      <c r="BH32" s="691">
        <v>302811.246989962</v>
      </c>
      <c r="BI32" s="691">
        <v>275329.95302388998</v>
      </c>
      <c r="BJ32" s="691">
        <v>271409.13339202199</v>
      </c>
      <c r="BK32" s="691">
        <v>271409.13339202199</v>
      </c>
      <c r="BL32" s="691">
        <v>270293.41157636797</v>
      </c>
      <c r="BM32" s="691">
        <v>270293.41157636797</v>
      </c>
      <c r="BN32" s="691">
        <v>270064.65038376499</v>
      </c>
      <c r="BO32" s="691">
        <v>261719.30500001399</v>
      </c>
      <c r="BP32" s="691">
        <v>153623.425100436</v>
      </c>
      <c r="BQ32" s="691">
        <v>153623.425100436</v>
      </c>
      <c r="BR32" s="691">
        <v>153623.425100436</v>
      </c>
      <c r="BS32" s="691">
        <v>0</v>
      </c>
      <c r="BT32" s="691">
        <v>0</v>
      </c>
      <c r="BU32" s="691">
        <v>0</v>
      </c>
      <c r="BV32" s="691">
        <v>0</v>
      </c>
      <c r="BW32" s="691">
        <v>0</v>
      </c>
      <c r="BX32" s="691">
        <v>0</v>
      </c>
      <c r="BY32" s="691">
        <v>0</v>
      </c>
      <c r="BZ32" s="694">
        <v>0</v>
      </c>
      <c r="CA32" s="692"/>
    </row>
    <row r="33" spans="1:79" s="693" customFormat="1" ht="10.199999999999999">
      <c r="B33" s="689">
        <v>10</v>
      </c>
      <c r="C33" s="690" t="s">
        <v>210</v>
      </c>
      <c r="D33" s="690" t="s">
        <v>681</v>
      </c>
      <c r="E33" s="690" t="s">
        <v>2</v>
      </c>
      <c r="F33" s="690" t="s">
        <v>682</v>
      </c>
      <c r="G33" s="690" t="s">
        <v>29</v>
      </c>
      <c r="H33" s="690" t="s">
        <v>683</v>
      </c>
      <c r="I33" s="690">
        <v>2013</v>
      </c>
      <c r="J33" s="690" t="s">
        <v>1122</v>
      </c>
      <c r="K33" s="690"/>
      <c r="L33" s="690" t="s">
        <v>1127</v>
      </c>
      <c r="M33" s="690" t="s">
        <v>686</v>
      </c>
      <c r="N33" s="691">
        <v>187</v>
      </c>
      <c r="O33" s="691">
        <v>73.613609600000004</v>
      </c>
      <c r="P33" s="691">
        <v>131257.6134</v>
      </c>
      <c r="Q33" s="690"/>
      <c r="R33" s="691" t="s">
        <v>685</v>
      </c>
      <c r="S33" s="691" t="s">
        <v>685</v>
      </c>
      <c r="T33" s="691">
        <v>38.745296519999997</v>
      </c>
      <c r="U33" s="691">
        <v>38.745296519999997</v>
      </c>
      <c r="V33" s="691">
        <v>38.745296519999997</v>
      </c>
      <c r="W33" s="691">
        <v>38.745296519999997</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1">
        <v>0</v>
      </c>
      <c r="AP33" s="691">
        <v>0</v>
      </c>
      <c r="AQ33" s="691">
        <v>0</v>
      </c>
      <c r="AR33" s="691">
        <v>0</v>
      </c>
      <c r="AS33" s="691">
        <v>0</v>
      </c>
      <c r="AT33" s="691">
        <v>0</v>
      </c>
      <c r="AU33" s="691">
        <v>0</v>
      </c>
      <c r="AV33" s="691"/>
      <c r="AW33" s="691" t="s">
        <v>685</v>
      </c>
      <c r="AX33" s="691" t="s">
        <v>685</v>
      </c>
      <c r="AY33" s="691">
        <v>69085.257180000001</v>
      </c>
      <c r="AZ33" s="691">
        <v>69085.257180000001</v>
      </c>
      <c r="BA33" s="691">
        <v>69085.257180000001</v>
      </c>
      <c r="BB33" s="691">
        <v>69085.257180000001</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1">
        <v>0</v>
      </c>
      <c r="BU33" s="691">
        <v>0</v>
      </c>
      <c r="BV33" s="691">
        <v>0</v>
      </c>
      <c r="BW33" s="691">
        <v>0</v>
      </c>
      <c r="BX33" s="691">
        <v>0</v>
      </c>
      <c r="BY33" s="691">
        <v>0</v>
      </c>
      <c r="BZ33" s="694">
        <v>0</v>
      </c>
      <c r="CA33" s="692"/>
    </row>
    <row r="34" spans="1:79" s="693" customFormat="1" ht="10.199999999999999">
      <c r="B34" s="689">
        <v>11</v>
      </c>
      <c r="C34" s="690" t="s">
        <v>210</v>
      </c>
      <c r="D34" s="690" t="s">
        <v>681</v>
      </c>
      <c r="E34" s="690" t="s">
        <v>1</v>
      </c>
      <c r="F34" s="690" t="s">
        <v>682</v>
      </c>
      <c r="G34" s="690" t="s">
        <v>29</v>
      </c>
      <c r="H34" s="690" t="s">
        <v>683</v>
      </c>
      <c r="I34" s="690">
        <v>2013</v>
      </c>
      <c r="J34" s="690" t="s">
        <v>1122</v>
      </c>
      <c r="K34" s="690"/>
      <c r="L34" s="690" t="s">
        <v>1123</v>
      </c>
      <c r="M34" s="690" t="s">
        <v>686</v>
      </c>
      <c r="N34" s="691">
        <v>830</v>
      </c>
      <c r="O34" s="691">
        <v>113.52918195100001</v>
      </c>
      <c r="P34" s="691">
        <v>752637.66926911997</v>
      </c>
      <c r="Q34" s="690"/>
      <c r="R34" s="691" t="s">
        <v>685</v>
      </c>
      <c r="S34" s="691" t="s">
        <v>685</v>
      </c>
      <c r="T34" s="691">
        <v>52.984694017999999</v>
      </c>
      <c r="U34" s="691">
        <v>52.984694017999999</v>
      </c>
      <c r="V34" s="691">
        <v>52.984694017999999</v>
      </c>
      <c r="W34" s="691">
        <v>52.041637750999996</v>
      </c>
      <c r="X34" s="691">
        <v>32.224403182000003</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1">
        <v>0</v>
      </c>
      <c r="AP34" s="691">
        <v>0</v>
      </c>
      <c r="AQ34" s="691">
        <v>0</v>
      </c>
      <c r="AR34" s="691">
        <v>0</v>
      </c>
      <c r="AS34" s="691">
        <v>0</v>
      </c>
      <c r="AT34" s="691">
        <v>0</v>
      </c>
      <c r="AU34" s="691">
        <v>0</v>
      </c>
      <c r="AV34" s="691"/>
      <c r="AW34" s="691" t="s">
        <v>685</v>
      </c>
      <c r="AX34" s="691" t="s">
        <v>685</v>
      </c>
      <c r="AY34" s="691">
        <v>354569.67499155004</v>
      </c>
      <c r="AZ34" s="691">
        <v>354569.67499155004</v>
      </c>
      <c r="BA34" s="691">
        <v>354569.67499155004</v>
      </c>
      <c r="BB34" s="691">
        <v>353646.77432655002</v>
      </c>
      <c r="BC34" s="691">
        <v>219260.163278967</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1">
        <v>0</v>
      </c>
      <c r="BU34" s="691">
        <v>0</v>
      </c>
      <c r="BV34" s="691">
        <v>0</v>
      </c>
      <c r="BW34" s="691">
        <v>0</v>
      </c>
      <c r="BX34" s="691">
        <v>0</v>
      </c>
      <c r="BY34" s="691">
        <v>0</v>
      </c>
      <c r="BZ34" s="694">
        <v>0</v>
      </c>
      <c r="CA34" s="692"/>
    </row>
    <row r="35" spans="1:79" s="693" customFormat="1" ht="10.199999999999999">
      <c r="B35" s="689">
        <v>12</v>
      </c>
      <c r="C35" s="690" t="s">
        <v>210</v>
      </c>
      <c r="D35" s="690" t="s">
        <v>681</v>
      </c>
      <c r="E35" s="690" t="s">
        <v>715</v>
      </c>
      <c r="F35" s="690" t="s">
        <v>682</v>
      </c>
      <c r="G35" s="690" t="s">
        <v>29</v>
      </c>
      <c r="H35" s="690" t="s">
        <v>683</v>
      </c>
      <c r="I35" s="690">
        <v>2013</v>
      </c>
      <c r="J35" s="690" t="s">
        <v>1122</v>
      </c>
      <c r="K35" s="690"/>
      <c r="L35" s="690" t="s">
        <v>1125</v>
      </c>
      <c r="M35" s="690" t="s">
        <v>1126</v>
      </c>
      <c r="N35" s="691">
        <v>62717.170514340003</v>
      </c>
      <c r="O35" s="691">
        <v>75.789523962999994</v>
      </c>
      <c r="P35" s="691">
        <v>1091430.9316022401</v>
      </c>
      <c r="Q35" s="690"/>
      <c r="R35" s="691">
        <v>0</v>
      </c>
      <c r="S35" s="691">
        <v>0</v>
      </c>
      <c r="T35" s="691">
        <v>78.575453259</v>
      </c>
      <c r="U35" s="691">
        <v>78.575453259</v>
      </c>
      <c r="V35" s="691">
        <v>74.261697806000001</v>
      </c>
      <c r="W35" s="691">
        <v>59.539945406000001</v>
      </c>
      <c r="X35" s="691">
        <v>59.539945406000001</v>
      </c>
      <c r="Y35" s="691">
        <v>59.539945406000001</v>
      </c>
      <c r="Z35" s="691">
        <v>59.539945406000001</v>
      </c>
      <c r="AA35" s="691">
        <v>59.427315669000002</v>
      </c>
      <c r="AB35" s="691">
        <v>51.077195955999997</v>
      </c>
      <c r="AC35" s="691">
        <v>51.077195955999997</v>
      </c>
      <c r="AD35" s="691">
        <v>37.063087046</v>
      </c>
      <c r="AE35" s="691">
        <v>23.940070177999999</v>
      </c>
      <c r="AF35" s="691">
        <v>23.940070177999999</v>
      </c>
      <c r="AG35" s="691">
        <v>23.468467752999999</v>
      </c>
      <c r="AH35" s="691">
        <v>23.468467752999999</v>
      </c>
      <c r="AI35" s="691">
        <v>23.226522867</v>
      </c>
      <c r="AJ35" s="691">
        <v>20.048391815999999</v>
      </c>
      <c r="AK35" s="691">
        <v>11.767953232</v>
      </c>
      <c r="AL35" s="691">
        <v>11.767953232</v>
      </c>
      <c r="AM35" s="691">
        <v>11.767953232</v>
      </c>
      <c r="AN35" s="691">
        <v>0</v>
      </c>
      <c r="AO35" s="691">
        <v>0</v>
      </c>
      <c r="AP35" s="691">
        <v>0</v>
      </c>
      <c r="AQ35" s="691">
        <v>0</v>
      </c>
      <c r="AR35" s="691">
        <v>0</v>
      </c>
      <c r="AS35" s="691">
        <v>0</v>
      </c>
      <c r="AT35" s="691">
        <v>0</v>
      </c>
      <c r="AU35" s="691">
        <v>0</v>
      </c>
      <c r="AV35" s="691"/>
      <c r="AW35" s="691">
        <v>0</v>
      </c>
      <c r="AX35" s="691">
        <v>0</v>
      </c>
      <c r="AY35" s="691">
        <v>1140455.87818</v>
      </c>
      <c r="AZ35" s="691">
        <v>1140455.87818</v>
      </c>
      <c r="BA35" s="691">
        <v>1071740.6655311701</v>
      </c>
      <c r="BB35" s="691">
        <v>837233.08678724302</v>
      </c>
      <c r="BC35" s="691">
        <v>837233.08678724302</v>
      </c>
      <c r="BD35" s="691">
        <v>837233.08678724302</v>
      </c>
      <c r="BE35" s="691">
        <v>837233.08678724302</v>
      </c>
      <c r="BF35" s="691">
        <v>836246.45028745604</v>
      </c>
      <c r="BG35" s="691">
        <v>703234.67948660196</v>
      </c>
      <c r="BH35" s="691">
        <v>703234.67948660196</v>
      </c>
      <c r="BI35" s="691">
        <v>611927.615241286</v>
      </c>
      <c r="BJ35" s="691">
        <v>393410.31615780701</v>
      </c>
      <c r="BK35" s="691">
        <v>393410.31615780701</v>
      </c>
      <c r="BL35" s="691">
        <v>372648.72191997099</v>
      </c>
      <c r="BM35" s="691">
        <v>372648.72191997099</v>
      </c>
      <c r="BN35" s="691">
        <v>369982.83168198698</v>
      </c>
      <c r="BO35" s="691">
        <v>319357.349232957</v>
      </c>
      <c r="BP35" s="691">
        <v>187455.551775828</v>
      </c>
      <c r="BQ35" s="691">
        <v>187455.551775828</v>
      </c>
      <c r="BR35" s="691">
        <v>187455.551775828</v>
      </c>
      <c r="BS35" s="691">
        <v>0</v>
      </c>
      <c r="BT35" s="691">
        <v>0</v>
      </c>
      <c r="BU35" s="691">
        <v>0</v>
      </c>
      <c r="BV35" s="691">
        <v>0</v>
      </c>
      <c r="BW35" s="691">
        <v>0</v>
      </c>
      <c r="BX35" s="691">
        <v>0</v>
      </c>
      <c r="BY35" s="691">
        <v>0</v>
      </c>
      <c r="BZ35" s="694">
        <v>0</v>
      </c>
      <c r="CA35" s="692"/>
    </row>
    <row r="36" spans="1:79" s="693" customFormat="1" ht="10.199999999999999">
      <c r="B36" s="689">
        <v>13</v>
      </c>
      <c r="C36" s="690" t="s">
        <v>210</v>
      </c>
      <c r="D36" s="690" t="s">
        <v>681</v>
      </c>
      <c r="E36" s="690" t="s">
        <v>14</v>
      </c>
      <c r="F36" s="690" t="s">
        <v>682</v>
      </c>
      <c r="G36" s="690" t="s">
        <v>29</v>
      </c>
      <c r="H36" s="690" t="s">
        <v>683</v>
      </c>
      <c r="I36" s="690">
        <v>2013</v>
      </c>
      <c r="J36" s="690" t="s">
        <v>1122</v>
      </c>
      <c r="K36" s="690"/>
      <c r="L36" s="690" t="s">
        <v>1123</v>
      </c>
      <c r="M36" s="690" t="s">
        <v>1128</v>
      </c>
      <c r="N36" s="691">
        <v>906</v>
      </c>
      <c r="O36" s="691">
        <v>45.477444634000001</v>
      </c>
      <c r="P36" s="691">
        <v>595251.20100710797</v>
      </c>
      <c r="Q36" s="690"/>
      <c r="R36" s="691">
        <v>0</v>
      </c>
      <c r="S36" s="691">
        <v>0</v>
      </c>
      <c r="T36" s="691">
        <v>45.477444382999998</v>
      </c>
      <c r="U36" s="691">
        <v>44.107519091</v>
      </c>
      <c r="V36" s="691">
        <v>43.978979256999999</v>
      </c>
      <c r="W36" s="691">
        <v>40.782463557</v>
      </c>
      <c r="X36" s="691">
        <v>39.400564582000001</v>
      </c>
      <c r="Y36" s="691">
        <v>38.300961559000001</v>
      </c>
      <c r="Z36" s="691">
        <v>36.989052610000002</v>
      </c>
      <c r="AA36" s="691">
        <v>36.989052610000002</v>
      </c>
      <c r="AB36" s="691">
        <v>23.334041632999998</v>
      </c>
      <c r="AC36" s="691">
        <v>23.021353759</v>
      </c>
      <c r="AD36" s="691">
        <v>18.925279838000002</v>
      </c>
      <c r="AE36" s="691">
        <v>18.925279838000002</v>
      </c>
      <c r="AF36" s="691">
        <v>15.877958905999998</v>
      </c>
      <c r="AG36" s="691">
        <v>15.877958905999998</v>
      </c>
      <c r="AH36" s="691">
        <v>6.0321964000000001</v>
      </c>
      <c r="AI36" s="691">
        <v>4.9435815810000001</v>
      </c>
      <c r="AJ36" s="691">
        <v>4.9435815810000001</v>
      </c>
      <c r="AK36" s="691">
        <v>4.9435815810000001</v>
      </c>
      <c r="AL36" s="691">
        <v>4.9435815810000001</v>
      </c>
      <c r="AM36" s="691">
        <v>4.9435815810000001</v>
      </c>
      <c r="AN36" s="691">
        <v>3.0830723940000002</v>
      </c>
      <c r="AO36" s="691">
        <v>0</v>
      </c>
      <c r="AP36" s="691">
        <v>0</v>
      </c>
      <c r="AQ36" s="691">
        <v>0</v>
      </c>
      <c r="AR36" s="691">
        <v>0</v>
      </c>
      <c r="AS36" s="691">
        <v>0</v>
      </c>
      <c r="AT36" s="691">
        <v>0</v>
      </c>
      <c r="AU36" s="691">
        <v>0</v>
      </c>
      <c r="AV36" s="691"/>
      <c r="AW36" s="691">
        <v>0</v>
      </c>
      <c r="AX36" s="691">
        <v>0</v>
      </c>
      <c r="AY36" s="691">
        <v>595251.20463562</v>
      </c>
      <c r="AZ36" s="691">
        <v>568879.24475097703</v>
      </c>
      <c r="BA36" s="691">
        <v>566404.77328872704</v>
      </c>
      <c r="BB36" s="691">
        <v>504869.75163650501</v>
      </c>
      <c r="BC36" s="691">
        <v>478089.00632095302</v>
      </c>
      <c r="BD36" s="691">
        <v>456920.92871475202</v>
      </c>
      <c r="BE36" s="691">
        <v>431665.822055817</v>
      </c>
      <c r="BF36" s="691">
        <v>422616.02008438099</v>
      </c>
      <c r="BG36" s="691">
        <v>159748.12099456799</v>
      </c>
      <c r="BH36" s="691">
        <v>159456.08974456799</v>
      </c>
      <c r="BI36" s="691">
        <v>123635.309547424</v>
      </c>
      <c r="BJ36" s="691">
        <v>123635.309547424</v>
      </c>
      <c r="BK36" s="691">
        <v>113504.01804351799</v>
      </c>
      <c r="BL36" s="691">
        <v>113504.01804351799</v>
      </c>
      <c r="BM36" s="691">
        <v>36414.73361969</v>
      </c>
      <c r="BN36" s="691">
        <v>27437.694061278999</v>
      </c>
      <c r="BO36" s="691">
        <v>27437.694061278999</v>
      </c>
      <c r="BP36" s="691">
        <v>27437.694061278999</v>
      </c>
      <c r="BQ36" s="691">
        <v>27437.694061278999</v>
      </c>
      <c r="BR36" s="691">
        <v>27437.694061278999</v>
      </c>
      <c r="BS36" s="691">
        <v>22729.557128905999</v>
      </c>
      <c r="BT36" s="691">
        <v>0</v>
      </c>
      <c r="BU36" s="691">
        <v>0</v>
      </c>
      <c r="BV36" s="691">
        <v>0</v>
      </c>
      <c r="BW36" s="691">
        <v>0</v>
      </c>
      <c r="BX36" s="691">
        <v>0</v>
      </c>
      <c r="BY36" s="691">
        <v>0</v>
      </c>
      <c r="BZ36" s="694">
        <v>0</v>
      </c>
      <c r="CA36" s="692"/>
    </row>
    <row r="37" spans="1:79" s="693" customFormat="1" ht="10.199999999999999">
      <c r="B37" s="689">
        <v>14</v>
      </c>
      <c r="C37" s="690" t="s">
        <v>210</v>
      </c>
      <c r="D37" s="690" t="s">
        <v>681</v>
      </c>
      <c r="E37" s="690" t="s">
        <v>716</v>
      </c>
      <c r="F37" s="690" t="s">
        <v>682</v>
      </c>
      <c r="G37" s="690" t="s">
        <v>29</v>
      </c>
      <c r="H37" s="690" t="s">
        <v>683</v>
      </c>
      <c r="I37" s="690">
        <v>2013</v>
      </c>
      <c r="J37" s="690" t="s">
        <v>1122</v>
      </c>
      <c r="K37" s="690"/>
      <c r="L37" s="690" t="s">
        <v>1129</v>
      </c>
      <c r="M37" s="690" t="s">
        <v>1130</v>
      </c>
      <c r="N37" s="691">
        <v>7946</v>
      </c>
      <c r="O37" s="691">
        <v>3411.559775489</v>
      </c>
      <c r="P37" s="691">
        <v>5927244.752321328</v>
      </c>
      <c r="Q37" s="690"/>
      <c r="R37" s="691" t="s">
        <v>685</v>
      </c>
      <c r="S37" s="691" t="s">
        <v>685</v>
      </c>
      <c r="T37" s="691">
        <v>1657.8296195019998</v>
      </c>
      <c r="U37" s="691">
        <v>1657.8296195019998</v>
      </c>
      <c r="V37" s="691">
        <v>1657.8296195019998</v>
      </c>
      <c r="W37" s="691">
        <v>1657.8296195019998</v>
      </c>
      <c r="X37" s="691">
        <v>1657.8296195019998</v>
      </c>
      <c r="Y37" s="691">
        <v>1657.8296195019998</v>
      </c>
      <c r="Z37" s="691">
        <v>1657.8296195019998</v>
      </c>
      <c r="AA37" s="691">
        <v>1657.8296195019998</v>
      </c>
      <c r="AB37" s="691">
        <v>1657.8296195019998</v>
      </c>
      <c r="AC37" s="691">
        <v>1657.8296195019998</v>
      </c>
      <c r="AD37" s="691">
        <v>1657.8296195019998</v>
      </c>
      <c r="AE37" s="691">
        <v>1657.8296195019998</v>
      </c>
      <c r="AF37" s="691">
        <v>1657.8296195019998</v>
      </c>
      <c r="AG37" s="691">
        <v>1657.8296195019998</v>
      </c>
      <c r="AH37" s="691">
        <v>1657.8296195019998</v>
      </c>
      <c r="AI37" s="691">
        <v>1657.8296195019998</v>
      </c>
      <c r="AJ37" s="691">
        <v>1657.8296195019998</v>
      </c>
      <c r="AK37" s="691">
        <v>1657.8296195019998</v>
      </c>
      <c r="AL37" s="691">
        <v>1286.813571167</v>
      </c>
      <c r="AM37" s="691">
        <v>0</v>
      </c>
      <c r="AN37" s="691">
        <v>0</v>
      </c>
      <c r="AO37" s="691">
        <v>0</v>
      </c>
      <c r="AP37" s="691">
        <v>0</v>
      </c>
      <c r="AQ37" s="691">
        <v>0</v>
      </c>
      <c r="AR37" s="691">
        <v>0</v>
      </c>
      <c r="AS37" s="691">
        <v>0</v>
      </c>
      <c r="AT37" s="691">
        <v>0</v>
      </c>
      <c r="AU37" s="691">
        <v>0</v>
      </c>
      <c r="AV37" s="691"/>
      <c r="AW37" s="691" t="s">
        <v>685</v>
      </c>
      <c r="AX37" s="691" t="s">
        <v>685</v>
      </c>
      <c r="AY37" s="691">
        <v>2830425.804269895</v>
      </c>
      <c r="AZ37" s="691">
        <v>2830425.804269895</v>
      </c>
      <c r="BA37" s="691">
        <v>2830425.804269895</v>
      </c>
      <c r="BB37" s="691">
        <v>2830425.804269895</v>
      </c>
      <c r="BC37" s="691">
        <v>2830425.804269895</v>
      </c>
      <c r="BD37" s="691">
        <v>2830425.804269895</v>
      </c>
      <c r="BE37" s="691">
        <v>2830425.804269895</v>
      </c>
      <c r="BF37" s="691">
        <v>2830425.804269895</v>
      </c>
      <c r="BG37" s="691">
        <v>2830425.804269895</v>
      </c>
      <c r="BH37" s="691">
        <v>2830425.804269895</v>
      </c>
      <c r="BI37" s="691">
        <v>2830425.804269895</v>
      </c>
      <c r="BJ37" s="691">
        <v>2830425.804269895</v>
      </c>
      <c r="BK37" s="691">
        <v>2830425.804269895</v>
      </c>
      <c r="BL37" s="691">
        <v>2830425.804269895</v>
      </c>
      <c r="BM37" s="691">
        <v>2830425.804269895</v>
      </c>
      <c r="BN37" s="691">
        <v>2830425.804269895</v>
      </c>
      <c r="BO37" s="691">
        <v>2830425.804269895</v>
      </c>
      <c r="BP37" s="691">
        <v>2830425.804269895</v>
      </c>
      <c r="BQ37" s="691">
        <v>2498643.0630364902</v>
      </c>
      <c r="BR37" s="691">
        <v>0</v>
      </c>
      <c r="BS37" s="691">
        <v>0</v>
      </c>
      <c r="BT37" s="691">
        <v>0</v>
      </c>
      <c r="BU37" s="691">
        <v>0</v>
      </c>
      <c r="BV37" s="691">
        <v>0</v>
      </c>
      <c r="BW37" s="691">
        <v>0</v>
      </c>
      <c r="BX37" s="691">
        <v>0</v>
      </c>
      <c r="BY37" s="691">
        <v>0</v>
      </c>
      <c r="BZ37" s="694">
        <v>0</v>
      </c>
      <c r="CA37" s="692"/>
    </row>
    <row r="38" spans="1:79" s="729" customFormat="1" ht="10.199999999999999">
      <c r="A38" s="729" t="s">
        <v>723</v>
      </c>
      <c r="B38" s="730">
        <v>15</v>
      </c>
      <c r="C38" s="731" t="s">
        <v>210</v>
      </c>
      <c r="D38" s="731" t="s">
        <v>681</v>
      </c>
      <c r="E38" s="731" t="s">
        <v>716</v>
      </c>
      <c r="F38" s="731" t="s">
        <v>682</v>
      </c>
      <c r="G38" s="731" t="s">
        <v>29</v>
      </c>
      <c r="H38" s="731" t="s">
        <v>683</v>
      </c>
      <c r="I38" s="731">
        <v>2011</v>
      </c>
      <c r="J38" s="731" t="s">
        <v>1122</v>
      </c>
      <c r="K38" s="731"/>
      <c r="L38" s="731" t="s">
        <v>1129</v>
      </c>
      <c r="M38" s="731" t="s">
        <v>1130</v>
      </c>
      <c r="N38" s="732">
        <v>5</v>
      </c>
      <c r="O38" s="732">
        <v>2.3344619959999999</v>
      </c>
      <c r="P38" s="732">
        <v>4253.7937330579998</v>
      </c>
      <c r="Q38" s="731"/>
      <c r="R38" s="732">
        <v>1.4240464559999999</v>
      </c>
      <c r="S38" s="732">
        <v>1.4240464559999999</v>
      </c>
      <c r="T38" s="732">
        <v>1.4240464559999999</v>
      </c>
      <c r="U38" s="732">
        <v>1.4240464559999999</v>
      </c>
      <c r="V38" s="732">
        <v>1.4240464559999999</v>
      </c>
      <c r="W38" s="732">
        <v>1.4240464559999999</v>
      </c>
      <c r="X38" s="732">
        <v>1.4240464559999999</v>
      </c>
      <c r="Y38" s="732">
        <v>1.4240464559999999</v>
      </c>
      <c r="Z38" s="732">
        <v>1.4240464559999999</v>
      </c>
      <c r="AA38" s="732">
        <v>1.4240464559999999</v>
      </c>
      <c r="AB38" s="732">
        <v>1.4240464559999999</v>
      </c>
      <c r="AC38" s="732">
        <v>1.4240464559999999</v>
      </c>
      <c r="AD38" s="732">
        <v>1.4240464559999999</v>
      </c>
      <c r="AE38" s="732">
        <v>1.4240464559999999</v>
      </c>
      <c r="AF38" s="732">
        <v>1.4240464559999999</v>
      </c>
      <c r="AG38" s="732">
        <v>1.4240464559999999</v>
      </c>
      <c r="AH38" s="732">
        <v>1.4240464559999999</v>
      </c>
      <c r="AI38" s="732">
        <v>1.4240464559999999</v>
      </c>
      <c r="AJ38" s="732">
        <v>1.109153404</v>
      </c>
      <c r="AK38" s="732">
        <v>0</v>
      </c>
      <c r="AL38" s="732">
        <v>0</v>
      </c>
      <c r="AM38" s="732">
        <v>0</v>
      </c>
      <c r="AN38" s="732">
        <v>0</v>
      </c>
      <c r="AO38" s="732">
        <v>0</v>
      </c>
      <c r="AP38" s="732">
        <v>0</v>
      </c>
      <c r="AQ38" s="732">
        <v>0</v>
      </c>
      <c r="AR38" s="732">
        <v>0</v>
      </c>
      <c r="AS38" s="732">
        <v>0</v>
      </c>
      <c r="AT38" s="732">
        <v>0</v>
      </c>
      <c r="AU38" s="732">
        <v>0</v>
      </c>
      <c r="AV38" s="732"/>
      <c r="AW38" s="732">
        <v>2560.177157436</v>
      </c>
      <c r="AX38" s="732">
        <v>2560.177157436</v>
      </c>
      <c r="AY38" s="732">
        <v>2560.177157436</v>
      </c>
      <c r="AZ38" s="732">
        <v>2560.177157436</v>
      </c>
      <c r="BA38" s="732">
        <v>2560.177157436</v>
      </c>
      <c r="BB38" s="732">
        <v>2560.177157436</v>
      </c>
      <c r="BC38" s="732">
        <v>2560.177157436</v>
      </c>
      <c r="BD38" s="732">
        <v>2560.177157436</v>
      </c>
      <c r="BE38" s="732">
        <v>2560.177157436</v>
      </c>
      <c r="BF38" s="732">
        <v>2560.177157436</v>
      </c>
      <c r="BG38" s="732">
        <v>2560.177157436</v>
      </c>
      <c r="BH38" s="732">
        <v>2560.177157436</v>
      </c>
      <c r="BI38" s="732">
        <v>2560.177157436</v>
      </c>
      <c r="BJ38" s="732">
        <v>2560.177157436</v>
      </c>
      <c r="BK38" s="732">
        <v>2560.177157436</v>
      </c>
      <c r="BL38" s="732">
        <v>2560.177157436</v>
      </c>
      <c r="BM38" s="732">
        <v>2560.177157436</v>
      </c>
      <c r="BN38" s="732">
        <v>2560.177157436</v>
      </c>
      <c r="BO38" s="732">
        <v>2278.5826534359999</v>
      </c>
      <c r="BP38" s="732">
        <v>0</v>
      </c>
      <c r="BQ38" s="732">
        <v>0</v>
      </c>
      <c r="BR38" s="732">
        <v>0</v>
      </c>
      <c r="BS38" s="732">
        <v>0</v>
      </c>
      <c r="BT38" s="732">
        <v>0</v>
      </c>
      <c r="BU38" s="732">
        <v>0</v>
      </c>
      <c r="BV38" s="732">
        <v>0</v>
      </c>
      <c r="BW38" s="732">
        <v>0</v>
      </c>
      <c r="BX38" s="732">
        <v>0</v>
      </c>
      <c r="BY38" s="732">
        <v>0</v>
      </c>
      <c r="BZ38" s="733">
        <v>0</v>
      </c>
      <c r="CA38" s="732"/>
    </row>
    <row r="39" spans="1:79" s="738" customFormat="1" ht="10.199999999999999">
      <c r="A39" s="738" t="s">
        <v>725</v>
      </c>
      <c r="B39" s="734">
        <v>16</v>
      </c>
      <c r="C39" s="735" t="s">
        <v>210</v>
      </c>
      <c r="D39" s="735" t="s">
        <v>681</v>
      </c>
      <c r="E39" s="735" t="s">
        <v>716</v>
      </c>
      <c r="F39" s="735" t="s">
        <v>682</v>
      </c>
      <c r="G39" s="735" t="s">
        <v>29</v>
      </c>
      <c r="H39" s="735" t="s">
        <v>683</v>
      </c>
      <c r="I39" s="735">
        <v>2012</v>
      </c>
      <c r="J39" s="735" t="s">
        <v>1122</v>
      </c>
      <c r="K39" s="735"/>
      <c r="L39" s="735" t="s">
        <v>1129</v>
      </c>
      <c r="M39" s="735" t="s">
        <v>1130</v>
      </c>
      <c r="N39" s="736">
        <v>160</v>
      </c>
      <c r="O39" s="736">
        <v>74.101972993000004</v>
      </c>
      <c r="P39" s="736">
        <v>132515.321943794</v>
      </c>
      <c r="Q39" s="735"/>
      <c r="R39" s="736" t="s">
        <v>685</v>
      </c>
      <c r="S39" s="736">
        <v>32.241277229999994</v>
      </c>
      <c r="T39" s="736">
        <v>32.241277229999994</v>
      </c>
      <c r="U39" s="736">
        <v>32.241277229999994</v>
      </c>
      <c r="V39" s="736">
        <v>32.241277229999994</v>
      </c>
      <c r="W39" s="736">
        <v>32.241277229999994</v>
      </c>
      <c r="X39" s="736">
        <v>32.241277229999994</v>
      </c>
      <c r="Y39" s="736">
        <v>32.241277229999994</v>
      </c>
      <c r="Z39" s="736">
        <v>32.241277229999994</v>
      </c>
      <c r="AA39" s="736">
        <v>32.241277229999994</v>
      </c>
      <c r="AB39" s="736">
        <v>32.241277229999994</v>
      </c>
      <c r="AC39" s="736">
        <v>32.241277229999994</v>
      </c>
      <c r="AD39" s="736">
        <v>32.241277229999994</v>
      </c>
      <c r="AE39" s="736">
        <v>32.241277229999994</v>
      </c>
      <c r="AF39" s="736">
        <v>32.241277229999994</v>
      </c>
      <c r="AG39" s="736">
        <v>32.241277229999994</v>
      </c>
      <c r="AH39" s="736">
        <v>32.241277229999994</v>
      </c>
      <c r="AI39" s="736">
        <v>32.241277229999994</v>
      </c>
      <c r="AJ39" s="736">
        <v>32.241277229999994</v>
      </c>
      <c r="AK39" s="736">
        <v>32.241277229999994</v>
      </c>
      <c r="AL39" s="736">
        <v>27.068190695999998</v>
      </c>
      <c r="AM39" s="736">
        <v>0</v>
      </c>
      <c r="AN39" s="736">
        <v>0</v>
      </c>
      <c r="AO39" s="736">
        <v>0</v>
      </c>
      <c r="AP39" s="736">
        <v>0</v>
      </c>
      <c r="AQ39" s="736">
        <v>0</v>
      </c>
      <c r="AR39" s="736">
        <v>0</v>
      </c>
      <c r="AS39" s="736">
        <v>0</v>
      </c>
      <c r="AT39" s="736">
        <v>0</v>
      </c>
      <c r="AU39" s="736">
        <v>0</v>
      </c>
      <c r="AV39" s="736"/>
      <c r="AW39" s="736" t="s">
        <v>685</v>
      </c>
      <c r="AX39" s="736">
        <v>64771.173442888001</v>
      </c>
      <c r="AY39" s="736">
        <v>64771.173442888001</v>
      </c>
      <c r="AZ39" s="736">
        <v>64771.173442888001</v>
      </c>
      <c r="BA39" s="736">
        <v>64771.173442888001</v>
      </c>
      <c r="BB39" s="736">
        <v>64771.173442888001</v>
      </c>
      <c r="BC39" s="736">
        <v>64771.173442888001</v>
      </c>
      <c r="BD39" s="736">
        <v>64771.173442888001</v>
      </c>
      <c r="BE39" s="736">
        <v>64771.173442888001</v>
      </c>
      <c r="BF39" s="736">
        <v>64771.173442888001</v>
      </c>
      <c r="BG39" s="736">
        <v>64771.173442888001</v>
      </c>
      <c r="BH39" s="736">
        <v>64771.173442888001</v>
      </c>
      <c r="BI39" s="736">
        <v>64771.173442888001</v>
      </c>
      <c r="BJ39" s="736">
        <v>64771.173442888001</v>
      </c>
      <c r="BK39" s="736">
        <v>64771.173442888001</v>
      </c>
      <c r="BL39" s="736">
        <v>64771.173442888001</v>
      </c>
      <c r="BM39" s="736">
        <v>64771.173442888001</v>
      </c>
      <c r="BN39" s="736">
        <v>64771.173442888001</v>
      </c>
      <c r="BO39" s="736">
        <v>64771.173442888001</v>
      </c>
      <c r="BP39" s="736">
        <v>59593.684450888002</v>
      </c>
      <c r="BQ39" s="736">
        <v>0</v>
      </c>
      <c r="BR39" s="736">
        <v>0</v>
      </c>
      <c r="BS39" s="736">
        <v>0</v>
      </c>
      <c r="BT39" s="736">
        <v>0</v>
      </c>
      <c r="BU39" s="736">
        <v>0</v>
      </c>
      <c r="BV39" s="736">
        <v>0</v>
      </c>
      <c r="BW39" s="736">
        <v>0</v>
      </c>
      <c r="BX39" s="736">
        <v>0</v>
      </c>
      <c r="BY39" s="736">
        <v>0</v>
      </c>
      <c r="BZ39" s="739">
        <v>0</v>
      </c>
      <c r="CA39" s="736"/>
    </row>
    <row r="40" spans="1:79" s="693" customFormat="1" ht="10.199999999999999">
      <c r="B40" s="689">
        <v>17</v>
      </c>
      <c r="C40" s="690" t="s">
        <v>210</v>
      </c>
      <c r="D40" s="690" t="s">
        <v>681</v>
      </c>
      <c r="E40" s="690" t="s">
        <v>717</v>
      </c>
      <c r="F40" s="690" t="s">
        <v>682</v>
      </c>
      <c r="G40" s="690" t="s">
        <v>29</v>
      </c>
      <c r="H40" s="690" t="s">
        <v>689</v>
      </c>
      <c r="I40" s="690">
        <v>2006</v>
      </c>
      <c r="J40" s="690" t="s">
        <v>1122</v>
      </c>
      <c r="K40" s="690"/>
      <c r="L40" s="690" t="s">
        <v>1123</v>
      </c>
      <c r="M40" s="690" t="s">
        <v>691</v>
      </c>
      <c r="N40" s="691">
        <v>48</v>
      </c>
      <c r="O40" s="691"/>
      <c r="P40" s="691"/>
      <c r="Q40" s="690"/>
      <c r="R40" s="691" t="s">
        <v>685</v>
      </c>
      <c r="S40" s="691" t="s">
        <v>685</v>
      </c>
      <c r="T40" s="691">
        <v>27.18197</v>
      </c>
      <c r="U40" s="691" t="s">
        <v>685</v>
      </c>
      <c r="V40" s="691" t="s">
        <v>685</v>
      </c>
      <c r="W40" s="691" t="s">
        <v>685</v>
      </c>
      <c r="X40" s="691" t="s">
        <v>685</v>
      </c>
      <c r="Y40" s="691" t="s">
        <v>685</v>
      </c>
      <c r="Z40" s="691" t="s">
        <v>685</v>
      </c>
      <c r="AA40" s="691" t="s">
        <v>685</v>
      </c>
      <c r="AB40" s="691" t="s">
        <v>685</v>
      </c>
      <c r="AC40" s="691" t="s">
        <v>685</v>
      </c>
      <c r="AD40" s="691" t="s">
        <v>685</v>
      </c>
      <c r="AE40" s="691" t="s">
        <v>685</v>
      </c>
      <c r="AF40" s="691" t="s">
        <v>685</v>
      </c>
      <c r="AG40" s="691" t="s">
        <v>685</v>
      </c>
      <c r="AH40" s="691" t="s">
        <v>685</v>
      </c>
      <c r="AI40" s="691" t="s">
        <v>685</v>
      </c>
      <c r="AJ40" s="691" t="s">
        <v>685</v>
      </c>
      <c r="AK40" s="691" t="s">
        <v>685</v>
      </c>
      <c r="AL40" s="691" t="s">
        <v>685</v>
      </c>
      <c r="AM40" s="691" t="s">
        <v>685</v>
      </c>
      <c r="AN40" s="691" t="s">
        <v>685</v>
      </c>
      <c r="AO40" s="691" t="s">
        <v>685</v>
      </c>
      <c r="AP40" s="691" t="s">
        <v>685</v>
      </c>
      <c r="AQ40" s="691" t="s">
        <v>685</v>
      </c>
      <c r="AR40" s="691" t="s">
        <v>685</v>
      </c>
      <c r="AS40" s="691" t="s">
        <v>685</v>
      </c>
      <c r="AT40" s="691" t="s">
        <v>685</v>
      </c>
      <c r="AU40" s="691" t="s">
        <v>685</v>
      </c>
      <c r="AV40" s="691"/>
      <c r="AW40" s="691" t="s">
        <v>685</v>
      </c>
      <c r="AX40" s="691" t="s">
        <v>685</v>
      </c>
      <c r="AY40" s="691">
        <v>61.57338</v>
      </c>
      <c r="AZ40" s="691" t="s">
        <v>685</v>
      </c>
      <c r="BA40" s="691" t="s">
        <v>685</v>
      </c>
      <c r="BB40" s="691" t="s">
        <v>685</v>
      </c>
      <c r="BC40" s="691" t="s">
        <v>685</v>
      </c>
      <c r="BD40" s="691" t="s">
        <v>685</v>
      </c>
      <c r="BE40" s="691" t="s">
        <v>685</v>
      </c>
      <c r="BF40" s="691" t="s">
        <v>685</v>
      </c>
      <c r="BG40" s="691" t="s">
        <v>685</v>
      </c>
      <c r="BH40" s="691" t="s">
        <v>685</v>
      </c>
      <c r="BI40" s="691" t="s">
        <v>685</v>
      </c>
      <c r="BJ40" s="691" t="s">
        <v>685</v>
      </c>
      <c r="BK40" s="691" t="s">
        <v>685</v>
      </c>
      <c r="BL40" s="691" t="s">
        <v>685</v>
      </c>
      <c r="BM40" s="691" t="s">
        <v>685</v>
      </c>
      <c r="BN40" s="691" t="s">
        <v>685</v>
      </c>
      <c r="BO40" s="691" t="s">
        <v>685</v>
      </c>
      <c r="BP40" s="691" t="s">
        <v>685</v>
      </c>
      <c r="BQ40" s="691" t="s">
        <v>685</v>
      </c>
      <c r="BR40" s="691" t="s">
        <v>685</v>
      </c>
      <c r="BS40" s="691" t="s">
        <v>685</v>
      </c>
      <c r="BT40" s="691" t="s">
        <v>685</v>
      </c>
      <c r="BU40" s="691" t="s">
        <v>685</v>
      </c>
      <c r="BV40" s="691" t="s">
        <v>685</v>
      </c>
      <c r="BW40" s="691" t="s">
        <v>685</v>
      </c>
      <c r="BX40" s="691" t="s">
        <v>685</v>
      </c>
      <c r="BY40" s="691" t="s">
        <v>685</v>
      </c>
      <c r="BZ40" s="694" t="s">
        <v>685</v>
      </c>
      <c r="CA40" s="692"/>
    </row>
    <row r="41" spans="1:79" s="693" customFormat="1" ht="10.199999999999999">
      <c r="B41" s="689">
        <v>18</v>
      </c>
      <c r="C41" s="690" t="s">
        <v>210</v>
      </c>
      <c r="D41" s="690" t="s">
        <v>681</v>
      </c>
      <c r="E41" s="690" t="s">
        <v>717</v>
      </c>
      <c r="F41" s="690" t="s">
        <v>682</v>
      </c>
      <c r="G41" s="690" t="s">
        <v>29</v>
      </c>
      <c r="H41" s="690" t="s">
        <v>689</v>
      </c>
      <c r="I41" s="690">
        <v>2007</v>
      </c>
      <c r="J41" s="690" t="s">
        <v>1122</v>
      </c>
      <c r="K41" s="690"/>
      <c r="L41" s="690" t="s">
        <v>1123</v>
      </c>
      <c r="M41" s="690" t="s">
        <v>691</v>
      </c>
      <c r="N41" s="691">
        <v>487</v>
      </c>
      <c r="O41" s="691"/>
      <c r="P41" s="691"/>
      <c r="Q41" s="690"/>
      <c r="R41" s="691" t="s">
        <v>685</v>
      </c>
      <c r="S41" s="691" t="s">
        <v>685</v>
      </c>
      <c r="T41" s="691">
        <v>276.0489</v>
      </c>
      <c r="U41" s="691" t="s">
        <v>685</v>
      </c>
      <c r="V41" s="691" t="s">
        <v>685</v>
      </c>
      <c r="W41" s="691" t="s">
        <v>685</v>
      </c>
      <c r="X41" s="691" t="s">
        <v>685</v>
      </c>
      <c r="Y41" s="691" t="s">
        <v>685</v>
      </c>
      <c r="Z41" s="691" t="s">
        <v>685</v>
      </c>
      <c r="AA41" s="691" t="s">
        <v>685</v>
      </c>
      <c r="AB41" s="691" t="s">
        <v>685</v>
      </c>
      <c r="AC41" s="691" t="s">
        <v>685</v>
      </c>
      <c r="AD41" s="691" t="s">
        <v>685</v>
      </c>
      <c r="AE41" s="691" t="s">
        <v>685</v>
      </c>
      <c r="AF41" s="691" t="s">
        <v>685</v>
      </c>
      <c r="AG41" s="691" t="s">
        <v>685</v>
      </c>
      <c r="AH41" s="691" t="s">
        <v>685</v>
      </c>
      <c r="AI41" s="691" t="s">
        <v>685</v>
      </c>
      <c r="AJ41" s="691" t="s">
        <v>685</v>
      </c>
      <c r="AK41" s="691" t="s">
        <v>685</v>
      </c>
      <c r="AL41" s="691" t="s">
        <v>685</v>
      </c>
      <c r="AM41" s="691" t="s">
        <v>685</v>
      </c>
      <c r="AN41" s="691" t="s">
        <v>685</v>
      </c>
      <c r="AO41" s="691" t="s">
        <v>685</v>
      </c>
      <c r="AP41" s="691" t="s">
        <v>685</v>
      </c>
      <c r="AQ41" s="691" t="s">
        <v>685</v>
      </c>
      <c r="AR41" s="691" t="s">
        <v>685</v>
      </c>
      <c r="AS41" s="691" t="s">
        <v>685</v>
      </c>
      <c r="AT41" s="691" t="s">
        <v>685</v>
      </c>
      <c r="AU41" s="691" t="s">
        <v>685</v>
      </c>
      <c r="AV41" s="691"/>
      <c r="AW41" s="691" t="s">
        <v>685</v>
      </c>
      <c r="AX41" s="691" t="s">
        <v>685</v>
      </c>
      <c r="AY41" s="691">
        <v>646.66459999999995</v>
      </c>
      <c r="AZ41" s="691" t="s">
        <v>685</v>
      </c>
      <c r="BA41" s="691" t="s">
        <v>685</v>
      </c>
      <c r="BB41" s="691" t="s">
        <v>685</v>
      </c>
      <c r="BC41" s="691" t="s">
        <v>685</v>
      </c>
      <c r="BD41" s="691" t="s">
        <v>685</v>
      </c>
      <c r="BE41" s="691" t="s">
        <v>685</v>
      </c>
      <c r="BF41" s="691" t="s">
        <v>685</v>
      </c>
      <c r="BG41" s="691" t="s">
        <v>685</v>
      </c>
      <c r="BH41" s="691" t="s">
        <v>685</v>
      </c>
      <c r="BI41" s="691" t="s">
        <v>685</v>
      </c>
      <c r="BJ41" s="691" t="s">
        <v>685</v>
      </c>
      <c r="BK41" s="691" t="s">
        <v>685</v>
      </c>
      <c r="BL41" s="691" t="s">
        <v>685</v>
      </c>
      <c r="BM41" s="691" t="s">
        <v>685</v>
      </c>
      <c r="BN41" s="691" t="s">
        <v>685</v>
      </c>
      <c r="BO41" s="691" t="s">
        <v>685</v>
      </c>
      <c r="BP41" s="691" t="s">
        <v>685</v>
      </c>
      <c r="BQ41" s="691" t="s">
        <v>685</v>
      </c>
      <c r="BR41" s="691" t="s">
        <v>685</v>
      </c>
      <c r="BS41" s="691" t="s">
        <v>685</v>
      </c>
      <c r="BT41" s="691" t="s">
        <v>685</v>
      </c>
      <c r="BU41" s="691" t="s">
        <v>685</v>
      </c>
      <c r="BV41" s="691" t="s">
        <v>685</v>
      </c>
      <c r="BW41" s="691" t="s">
        <v>685</v>
      </c>
      <c r="BX41" s="691" t="s">
        <v>685</v>
      </c>
      <c r="BY41" s="691" t="s">
        <v>685</v>
      </c>
      <c r="BZ41" s="694" t="s">
        <v>685</v>
      </c>
      <c r="CA41" s="692"/>
    </row>
    <row r="42" spans="1:79" s="693" customFormat="1" ht="10.199999999999999">
      <c r="B42" s="689">
        <v>19</v>
      </c>
      <c r="C42" s="690" t="s">
        <v>210</v>
      </c>
      <c r="D42" s="690" t="s">
        <v>681</v>
      </c>
      <c r="E42" s="690" t="s">
        <v>717</v>
      </c>
      <c r="F42" s="690" t="s">
        <v>682</v>
      </c>
      <c r="G42" s="690" t="s">
        <v>29</v>
      </c>
      <c r="H42" s="690" t="s">
        <v>689</v>
      </c>
      <c r="I42" s="690">
        <v>2008</v>
      </c>
      <c r="J42" s="690" t="s">
        <v>1122</v>
      </c>
      <c r="K42" s="690"/>
      <c r="L42" s="690" t="s">
        <v>1123</v>
      </c>
      <c r="M42" s="690" t="s">
        <v>691</v>
      </c>
      <c r="N42" s="691">
        <v>623</v>
      </c>
      <c r="O42" s="691"/>
      <c r="P42" s="691"/>
      <c r="Q42" s="690"/>
      <c r="R42" s="691" t="s">
        <v>685</v>
      </c>
      <c r="S42" s="691" t="s">
        <v>685</v>
      </c>
      <c r="T42" s="691">
        <v>353.13850000000002</v>
      </c>
      <c r="U42" s="691" t="s">
        <v>685</v>
      </c>
      <c r="V42" s="691" t="s">
        <v>685</v>
      </c>
      <c r="W42" s="691" t="s">
        <v>685</v>
      </c>
      <c r="X42" s="691" t="s">
        <v>685</v>
      </c>
      <c r="Y42" s="691" t="s">
        <v>685</v>
      </c>
      <c r="Z42" s="691" t="s">
        <v>685</v>
      </c>
      <c r="AA42" s="691" t="s">
        <v>685</v>
      </c>
      <c r="AB42" s="691" t="s">
        <v>685</v>
      </c>
      <c r="AC42" s="691" t="s">
        <v>685</v>
      </c>
      <c r="AD42" s="691" t="s">
        <v>685</v>
      </c>
      <c r="AE42" s="691" t="s">
        <v>685</v>
      </c>
      <c r="AF42" s="691" t="s">
        <v>685</v>
      </c>
      <c r="AG42" s="691" t="s">
        <v>685</v>
      </c>
      <c r="AH42" s="691" t="s">
        <v>685</v>
      </c>
      <c r="AI42" s="691" t="s">
        <v>685</v>
      </c>
      <c r="AJ42" s="691" t="s">
        <v>685</v>
      </c>
      <c r="AK42" s="691" t="s">
        <v>685</v>
      </c>
      <c r="AL42" s="691" t="s">
        <v>685</v>
      </c>
      <c r="AM42" s="691" t="s">
        <v>685</v>
      </c>
      <c r="AN42" s="691" t="s">
        <v>685</v>
      </c>
      <c r="AO42" s="691" t="s">
        <v>685</v>
      </c>
      <c r="AP42" s="691" t="s">
        <v>685</v>
      </c>
      <c r="AQ42" s="691" t="s">
        <v>685</v>
      </c>
      <c r="AR42" s="691" t="s">
        <v>685</v>
      </c>
      <c r="AS42" s="691" t="s">
        <v>685</v>
      </c>
      <c r="AT42" s="691" t="s">
        <v>685</v>
      </c>
      <c r="AU42" s="691" t="s">
        <v>685</v>
      </c>
      <c r="AV42" s="691"/>
      <c r="AW42" s="691" t="s">
        <v>685</v>
      </c>
      <c r="AX42" s="691" t="s">
        <v>685</v>
      </c>
      <c r="AY42" s="691">
        <v>806.8451</v>
      </c>
      <c r="AZ42" s="691" t="s">
        <v>685</v>
      </c>
      <c r="BA42" s="691" t="s">
        <v>685</v>
      </c>
      <c r="BB42" s="691" t="s">
        <v>685</v>
      </c>
      <c r="BC42" s="691" t="s">
        <v>685</v>
      </c>
      <c r="BD42" s="691" t="s">
        <v>685</v>
      </c>
      <c r="BE42" s="691" t="s">
        <v>685</v>
      </c>
      <c r="BF42" s="691" t="s">
        <v>685</v>
      </c>
      <c r="BG42" s="691" t="s">
        <v>685</v>
      </c>
      <c r="BH42" s="691" t="s">
        <v>685</v>
      </c>
      <c r="BI42" s="691" t="s">
        <v>685</v>
      </c>
      <c r="BJ42" s="691" t="s">
        <v>685</v>
      </c>
      <c r="BK42" s="691" t="s">
        <v>685</v>
      </c>
      <c r="BL42" s="691" t="s">
        <v>685</v>
      </c>
      <c r="BM42" s="691" t="s">
        <v>685</v>
      </c>
      <c r="BN42" s="691" t="s">
        <v>685</v>
      </c>
      <c r="BO42" s="691" t="s">
        <v>685</v>
      </c>
      <c r="BP42" s="691" t="s">
        <v>685</v>
      </c>
      <c r="BQ42" s="691" t="s">
        <v>685</v>
      </c>
      <c r="BR42" s="691" t="s">
        <v>685</v>
      </c>
      <c r="BS42" s="691" t="s">
        <v>685</v>
      </c>
      <c r="BT42" s="691" t="s">
        <v>685</v>
      </c>
      <c r="BU42" s="691" t="s">
        <v>685</v>
      </c>
      <c r="BV42" s="691" t="s">
        <v>685</v>
      </c>
      <c r="BW42" s="691" t="s">
        <v>685</v>
      </c>
      <c r="BX42" s="691" t="s">
        <v>685</v>
      </c>
      <c r="BY42" s="691" t="s">
        <v>685</v>
      </c>
      <c r="BZ42" s="694" t="s">
        <v>685</v>
      </c>
      <c r="CA42" s="692"/>
    </row>
    <row r="43" spans="1:79" s="693" customFormat="1" ht="10.199999999999999">
      <c r="B43" s="689">
        <v>20</v>
      </c>
      <c r="C43" s="690" t="s">
        <v>210</v>
      </c>
      <c r="D43" s="690" t="s">
        <v>681</v>
      </c>
      <c r="E43" s="690" t="s">
        <v>717</v>
      </c>
      <c r="F43" s="690" t="s">
        <v>682</v>
      </c>
      <c r="G43" s="690" t="s">
        <v>29</v>
      </c>
      <c r="H43" s="690" t="s">
        <v>689</v>
      </c>
      <c r="I43" s="690">
        <v>2009</v>
      </c>
      <c r="J43" s="690" t="s">
        <v>1122</v>
      </c>
      <c r="K43" s="690"/>
      <c r="L43" s="690" t="s">
        <v>1123</v>
      </c>
      <c r="M43" s="690" t="s">
        <v>691</v>
      </c>
      <c r="N43" s="691">
        <v>3537</v>
      </c>
      <c r="O43" s="691"/>
      <c r="P43" s="691"/>
      <c r="Q43" s="690"/>
      <c r="R43" s="691" t="s">
        <v>685</v>
      </c>
      <c r="S43" s="691" t="s">
        <v>685</v>
      </c>
      <c r="T43" s="691">
        <v>1987.8679999999999</v>
      </c>
      <c r="U43" s="691" t="s">
        <v>685</v>
      </c>
      <c r="V43" s="691" t="s">
        <v>685</v>
      </c>
      <c r="W43" s="691" t="s">
        <v>685</v>
      </c>
      <c r="X43" s="691" t="s">
        <v>685</v>
      </c>
      <c r="Y43" s="691" t="s">
        <v>685</v>
      </c>
      <c r="Z43" s="691" t="s">
        <v>685</v>
      </c>
      <c r="AA43" s="691" t="s">
        <v>685</v>
      </c>
      <c r="AB43" s="691" t="s">
        <v>685</v>
      </c>
      <c r="AC43" s="691" t="s">
        <v>685</v>
      </c>
      <c r="AD43" s="691" t="s">
        <v>685</v>
      </c>
      <c r="AE43" s="691" t="s">
        <v>685</v>
      </c>
      <c r="AF43" s="691" t="s">
        <v>685</v>
      </c>
      <c r="AG43" s="691" t="s">
        <v>685</v>
      </c>
      <c r="AH43" s="691" t="s">
        <v>685</v>
      </c>
      <c r="AI43" s="691" t="s">
        <v>685</v>
      </c>
      <c r="AJ43" s="691" t="s">
        <v>685</v>
      </c>
      <c r="AK43" s="691" t="s">
        <v>685</v>
      </c>
      <c r="AL43" s="691" t="s">
        <v>685</v>
      </c>
      <c r="AM43" s="691" t="s">
        <v>685</v>
      </c>
      <c r="AN43" s="691" t="s">
        <v>685</v>
      </c>
      <c r="AO43" s="691" t="s">
        <v>685</v>
      </c>
      <c r="AP43" s="691" t="s">
        <v>685</v>
      </c>
      <c r="AQ43" s="691" t="s">
        <v>685</v>
      </c>
      <c r="AR43" s="691" t="s">
        <v>685</v>
      </c>
      <c r="AS43" s="691" t="s">
        <v>685</v>
      </c>
      <c r="AT43" s="691" t="s">
        <v>685</v>
      </c>
      <c r="AU43" s="691" t="s">
        <v>685</v>
      </c>
      <c r="AV43" s="691"/>
      <c r="AW43" s="691" t="s">
        <v>685</v>
      </c>
      <c r="AX43" s="691" t="s">
        <v>685</v>
      </c>
      <c r="AY43" s="691">
        <v>5016.027</v>
      </c>
      <c r="AZ43" s="691" t="s">
        <v>685</v>
      </c>
      <c r="BA43" s="691" t="s">
        <v>685</v>
      </c>
      <c r="BB43" s="691" t="s">
        <v>685</v>
      </c>
      <c r="BC43" s="691" t="s">
        <v>685</v>
      </c>
      <c r="BD43" s="691" t="s">
        <v>685</v>
      </c>
      <c r="BE43" s="691" t="s">
        <v>685</v>
      </c>
      <c r="BF43" s="691" t="s">
        <v>685</v>
      </c>
      <c r="BG43" s="691" t="s">
        <v>685</v>
      </c>
      <c r="BH43" s="691" t="s">
        <v>685</v>
      </c>
      <c r="BI43" s="691" t="s">
        <v>685</v>
      </c>
      <c r="BJ43" s="691" t="s">
        <v>685</v>
      </c>
      <c r="BK43" s="691" t="s">
        <v>685</v>
      </c>
      <c r="BL43" s="691" t="s">
        <v>685</v>
      </c>
      <c r="BM43" s="691" t="s">
        <v>685</v>
      </c>
      <c r="BN43" s="691" t="s">
        <v>685</v>
      </c>
      <c r="BO43" s="691" t="s">
        <v>685</v>
      </c>
      <c r="BP43" s="691" t="s">
        <v>685</v>
      </c>
      <c r="BQ43" s="691" t="s">
        <v>685</v>
      </c>
      <c r="BR43" s="691" t="s">
        <v>685</v>
      </c>
      <c r="BS43" s="691" t="s">
        <v>685</v>
      </c>
      <c r="BT43" s="691" t="s">
        <v>685</v>
      </c>
      <c r="BU43" s="691" t="s">
        <v>685</v>
      </c>
      <c r="BV43" s="691" t="s">
        <v>685</v>
      </c>
      <c r="BW43" s="691" t="s">
        <v>685</v>
      </c>
      <c r="BX43" s="691" t="s">
        <v>685</v>
      </c>
      <c r="BY43" s="691" t="s">
        <v>685</v>
      </c>
      <c r="BZ43" s="694" t="s">
        <v>685</v>
      </c>
      <c r="CA43" s="692"/>
    </row>
    <row r="44" spans="1:79" s="693" customFormat="1" ht="10.199999999999999">
      <c r="B44" s="689">
        <v>21</v>
      </c>
      <c r="C44" s="690" t="s">
        <v>210</v>
      </c>
      <c r="D44" s="690" t="s">
        <v>681</v>
      </c>
      <c r="E44" s="690" t="s">
        <v>717</v>
      </c>
      <c r="F44" s="690" t="s">
        <v>682</v>
      </c>
      <c r="G44" s="690" t="s">
        <v>29</v>
      </c>
      <c r="H44" s="690" t="s">
        <v>689</v>
      </c>
      <c r="I44" s="690">
        <v>2010</v>
      </c>
      <c r="J44" s="690" t="s">
        <v>1122</v>
      </c>
      <c r="K44" s="690"/>
      <c r="L44" s="690" t="s">
        <v>1123</v>
      </c>
      <c r="M44" s="690" t="s">
        <v>691</v>
      </c>
      <c r="N44" s="691">
        <v>1418</v>
      </c>
      <c r="O44" s="691"/>
      <c r="P44" s="691"/>
      <c r="Q44" s="690"/>
      <c r="R44" s="691" t="s">
        <v>685</v>
      </c>
      <c r="S44" s="691" t="s">
        <v>685</v>
      </c>
      <c r="T44" s="691">
        <v>795.22059999999999</v>
      </c>
      <c r="U44" s="691" t="s">
        <v>685</v>
      </c>
      <c r="V44" s="691" t="s">
        <v>685</v>
      </c>
      <c r="W44" s="691" t="s">
        <v>685</v>
      </c>
      <c r="X44" s="691" t="s">
        <v>685</v>
      </c>
      <c r="Y44" s="691" t="s">
        <v>685</v>
      </c>
      <c r="Z44" s="691" t="s">
        <v>685</v>
      </c>
      <c r="AA44" s="691" t="s">
        <v>685</v>
      </c>
      <c r="AB44" s="691" t="s">
        <v>685</v>
      </c>
      <c r="AC44" s="691" t="s">
        <v>685</v>
      </c>
      <c r="AD44" s="691" t="s">
        <v>685</v>
      </c>
      <c r="AE44" s="691" t="s">
        <v>685</v>
      </c>
      <c r="AF44" s="691" t="s">
        <v>685</v>
      </c>
      <c r="AG44" s="691" t="s">
        <v>685</v>
      </c>
      <c r="AH44" s="691" t="s">
        <v>685</v>
      </c>
      <c r="AI44" s="691" t="s">
        <v>685</v>
      </c>
      <c r="AJ44" s="691" t="s">
        <v>685</v>
      </c>
      <c r="AK44" s="691" t="s">
        <v>685</v>
      </c>
      <c r="AL44" s="691" t="s">
        <v>685</v>
      </c>
      <c r="AM44" s="691" t="s">
        <v>685</v>
      </c>
      <c r="AN44" s="691" t="s">
        <v>685</v>
      </c>
      <c r="AO44" s="691" t="s">
        <v>685</v>
      </c>
      <c r="AP44" s="691" t="s">
        <v>685</v>
      </c>
      <c r="AQ44" s="691" t="s">
        <v>685</v>
      </c>
      <c r="AR44" s="691" t="s">
        <v>685</v>
      </c>
      <c r="AS44" s="691" t="s">
        <v>685</v>
      </c>
      <c r="AT44" s="691" t="s">
        <v>685</v>
      </c>
      <c r="AU44" s="691" t="s">
        <v>685</v>
      </c>
      <c r="AV44" s="691"/>
      <c r="AW44" s="691" t="s">
        <v>685</v>
      </c>
      <c r="AX44" s="691" t="s">
        <v>685</v>
      </c>
      <c r="AY44" s="691">
        <v>2113.64</v>
      </c>
      <c r="AZ44" s="691" t="s">
        <v>685</v>
      </c>
      <c r="BA44" s="691" t="s">
        <v>685</v>
      </c>
      <c r="BB44" s="691" t="s">
        <v>685</v>
      </c>
      <c r="BC44" s="691" t="s">
        <v>685</v>
      </c>
      <c r="BD44" s="691" t="s">
        <v>685</v>
      </c>
      <c r="BE44" s="691" t="s">
        <v>685</v>
      </c>
      <c r="BF44" s="691" t="s">
        <v>685</v>
      </c>
      <c r="BG44" s="691" t="s">
        <v>685</v>
      </c>
      <c r="BH44" s="691" t="s">
        <v>685</v>
      </c>
      <c r="BI44" s="691" t="s">
        <v>685</v>
      </c>
      <c r="BJ44" s="691" t="s">
        <v>685</v>
      </c>
      <c r="BK44" s="691" t="s">
        <v>685</v>
      </c>
      <c r="BL44" s="691" t="s">
        <v>685</v>
      </c>
      <c r="BM44" s="691" t="s">
        <v>685</v>
      </c>
      <c r="BN44" s="691" t="s">
        <v>685</v>
      </c>
      <c r="BO44" s="691" t="s">
        <v>685</v>
      </c>
      <c r="BP44" s="691" t="s">
        <v>685</v>
      </c>
      <c r="BQ44" s="691" t="s">
        <v>685</v>
      </c>
      <c r="BR44" s="691" t="s">
        <v>685</v>
      </c>
      <c r="BS44" s="691" t="s">
        <v>685</v>
      </c>
      <c r="BT44" s="691" t="s">
        <v>685</v>
      </c>
      <c r="BU44" s="691" t="s">
        <v>685</v>
      </c>
      <c r="BV44" s="691" t="s">
        <v>685</v>
      </c>
      <c r="BW44" s="691" t="s">
        <v>685</v>
      </c>
      <c r="BX44" s="691" t="s">
        <v>685</v>
      </c>
      <c r="BY44" s="691" t="s">
        <v>685</v>
      </c>
      <c r="BZ44" s="694" t="s">
        <v>685</v>
      </c>
      <c r="CA44" s="692"/>
    </row>
    <row r="45" spans="1:79" s="693" customFormat="1" ht="10.199999999999999">
      <c r="B45" s="689">
        <v>22</v>
      </c>
      <c r="C45" s="690" t="s">
        <v>210</v>
      </c>
      <c r="D45" s="690" t="s">
        <v>681</v>
      </c>
      <c r="E45" s="690" t="s">
        <v>717</v>
      </c>
      <c r="F45" s="690" t="s">
        <v>682</v>
      </c>
      <c r="G45" s="690" t="s">
        <v>29</v>
      </c>
      <c r="H45" s="690" t="s">
        <v>689</v>
      </c>
      <c r="I45" s="690">
        <v>2011</v>
      </c>
      <c r="J45" s="690" t="s">
        <v>1122</v>
      </c>
      <c r="K45" s="690"/>
      <c r="L45" s="690" t="s">
        <v>1123</v>
      </c>
      <c r="M45" s="690" t="s">
        <v>691</v>
      </c>
      <c r="N45" s="691">
        <v>2182</v>
      </c>
      <c r="O45" s="691"/>
      <c r="P45" s="691"/>
      <c r="Q45" s="690"/>
      <c r="R45" s="691" t="s">
        <v>685</v>
      </c>
      <c r="S45" s="691" t="s">
        <v>685</v>
      </c>
      <c r="T45" s="691">
        <v>1220.297</v>
      </c>
      <c r="U45" s="691" t="s">
        <v>685</v>
      </c>
      <c r="V45" s="691" t="s">
        <v>685</v>
      </c>
      <c r="W45" s="691" t="s">
        <v>685</v>
      </c>
      <c r="X45" s="691" t="s">
        <v>685</v>
      </c>
      <c r="Y45" s="691" t="s">
        <v>685</v>
      </c>
      <c r="Z45" s="691" t="s">
        <v>685</v>
      </c>
      <c r="AA45" s="691" t="s">
        <v>685</v>
      </c>
      <c r="AB45" s="691" t="s">
        <v>685</v>
      </c>
      <c r="AC45" s="691" t="s">
        <v>685</v>
      </c>
      <c r="AD45" s="691" t="s">
        <v>685</v>
      </c>
      <c r="AE45" s="691" t="s">
        <v>685</v>
      </c>
      <c r="AF45" s="691" t="s">
        <v>685</v>
      </c>
      <c r="AG45" s="691" t="s">
        <v>685</v>
      </c>
      <c r="AH45" s="691" t="s">
        <v>685</v>
      </c>
      <c r="AI45" s="691" t="s">
        <v>685</v>
      </c>
      <c r="AJ45" s="691" t="s">
        <v>685</v>
      </c>
      <c r="AK45" s="691" t="s">
        <v>685</v>
      </c>
      <c r="AL45" s="691" t="s">
        <v>685</v>
      </c>
      <c r="AM45" s="691" t="s">
        <v>685</v>
      </c>
      <c r="AN45" s="691" t="s">
        <v>685</v>
      </c>
      <c r="AO45" s="691" t="s">
        <v>685</v>
      </c>
      <c r="AP45" s="691" t="s">
        <v>685</v>
      </c>
      <c r="AQ45" s="691" t="s">
        <v>685</v>
      </c>
      <c r="AR45" s="691" t="s">
        <v>685</v>
      </c>
      <c r="AS45" s="691" t="s">
        <v>685</v>
      </c>
      <c r="AT45" s="691" t="s">
        <v>685</v>
      </c>
      <c r="AU45" s="691" t="s">
        <v>685</v>
      </c>
      <c r="AV45" s="691"/>
      <c r="AW45" s="691" t="s">
        <v>685</v>
      </c>
      <c r="AX45" s="691" t="s">
        <v>685</v>
      </c>
      <c r="AY45" s="691">
        <v>3120.7190000000001</v>
      </c>
      <c r="AZ45" s="691" t="s">
        <v>685</v>
      </c>
      <c r="BA45" s="691" t="s">
        <v>685</v>
      </c>
      <c r="BB45" s="691" t="s">
        <v>685</v>
      </c>
      <c r="BC45" s="691" t="s">
        <v>685</v>
      </c>
      <c r="BD45" s="691" t="s">
        <v>685</v>
      </c>
      <c r="BE45" s="691" t="s">
        <v>685</v>
      </c>
      <c r="BF45" s="691" t="s">
        <v>685</v>
      </c>
      <c r="BG45" s="691" t="s">
        <v>685</v>
      </c>
      <c r="BH45" s="691" t="s">
        <v>685</v>
      </c>
      <c r="BI45" s="691" t="s">
        <v>685</v>
      </c>
      <c r="BJ45" s="691" t="s">
        <v>685</v>
      </c>
      <c r="BK45" s="691" t="s">
        <v>685</v>
      </c>
      <c r="BL45" s="691" t="s">
        <v>685</v>
      </c>
      <c r="BM45" s="691" t="s">
        <v>685</v>
      </c>
      <c r="BN45" s="691" t="s">
        <v>685</v>
      </c>
      <c r="BO45" s="691" t="s">
        <v>685</v>
      </c>
      <c r="BP45" s="691" t="s">
        <v>685</v>
      </c>
      <c r="BQ45" s="691" t="s">
        <v>685</v>
      </c>
      <c r="BR45" s="691" t="s">
        <v>685</v>
      </c>
      <c r="BS45" s="691" t="s">
        <v>685</v>
      </c>
      <c r="BT45" s="691" t="s">
        <v>685</v>
      </c>
      <c r="BU45" s="691" t="s">
        <v>685</v>
      </c>
      <c r="BV45" s="691" t="s">
        <v>685</v>
      </c>
      <c r="BW45" s="691" t="s">
        <v>685</v>
      </c>
      <c r="BX45" s="691" t="s">
        <v>685</v>
      </c>
      <c r="BY45" s="691" t="s">
        <v>685</v>
      </c>
      <c r="BZ45" s="694" t="s">
        <v>685</v>
      </c>
      <c r="CA45" s="692"/>
    </row>
    <row r="46" spans="1:79" s="693" customFormat="1" ht="10.199999999999999">
      <c r="B46" s="689">
        <v>23</v>
      </c>
      <c r="C46" s="690" t="s">
        <v>210</v>
      </c>
      <c r="D46" s="690" t="s">
        <v>681</v>
      </c>
      <c r="E46" s="690" t="s">
        <v>717</v>
      </c>
      <c r="F46" s="690" t="s">
        <v>682</v>
      </c>
      <c r="G46" s="690" t="s">
        <v>29</v>
      </c>
      <c r="H46" s="690" t="s">
        <v>689</v>
      </c>
      <c r="I46" s="690">
        <v>2012</v>
      </c>
      <c r="J46" s="690" t="s">
        <v>1122</v>
      </c>
      <c r="K46" s="690"/>
      <c r="L46" s="690" t="s">
        <v>1123</v>
      </c>
      <c r="M46" s="690" t="s">
        <v>691</v>
      </c>
      <c r="N46" s="691">
        <v>1855</v>
      </c>
      <c r="O46" s="691"/>
      <c r="P46" s="691"/>
      <c r="Q46" s="690"/>
      <c r="R46" s="691" t="s">
        <v>685</v>
      </c>
      <c r="S46" s="691" t="s">
        <v>685</v>
      </c>
      <c r="T46" s="691">
        <v>1038.665</v>
      </c>
      <c r="U46" s="691" t="s">
        <v>685</v>
      </c>
      <c r="V46" s="691" t="s">
        <v>685</v>
      </c>
      <c r="W46" s="691" t="s">
        <v>685</v>
      </c>
      <c r="X46" s="691" t="s">
        <v>685</v>
      </c>
      <c r="Y46" s="691" t="s">
        <v>685</v>
      </c>
      <c r="Z46" s="691" t="s">
        <v>685</v>
      </c>
      <c r="AA46" s="691" t="s">
        <v>685</v>
      </c>
      <c r="AB46" s="691" t="s">
        <v>685</v>
      </c>
      <c r="AC46" s="691" t="s">
        <v>685</v>
      </c>
      <c r="AD46" s="691" t="s">
        <v>685</v>
      </c>
      <c r="AE46" s="691" t="s">
        <v>685</v>
      </c>
      <c r="AF46" s="691" t="s">
        <v>685</v>
      </c>
      <c r="AG46" s="691" t="s">
        <v>685</v>
      </c>
      <c r="AH46" s="691" t="s">
        <v>685</v>
      </c>
      <c r="AI46" s="691" t="s">
        <v>685</v>
      </c>
      <c r="AJ46" s="691" t="s">
        <v>685</v>
      </c>
      <c r="AK46" s="691" t="s">
        <v>685</v>
      </c>
      <c r="AL46" s="691" t="s">
        <v>685</v>
      </c>
      <c r="AM46" s="691" t="s">
        <v>685</v>
      </c>
      <c r="AN46" s="691" t="s">
        <v>685</v>
      </c>
      <c r="AO46" s="691" t="s">
        <v>685</v>
      </c>
      <c r="AP46" s="691" t="s">
        <v>685</v>
      </c>
      <c r="AQ46" s="691" t="s">
        <v>685</v>
      </c>
      <c r="AR46" s="691" t="s">
        <v>685</v>
      </c>
      <c r="AS46" s="691" t="s">
        <v>685</v>
      </c>
      <c r="AT46" s="691" t="s">
        <v>685</v>
      </c>
      <c r="AU46" s="691" t="s">
        <v>685</v>
      </c>
      <c r="AV46" s="691"/>
      <c r="AW46" s="691" t="s">
        <v>685</v>
      </c>
      <c r="AX46" s="691" t="s">
        <v>685</v>
      </c>
      <c r="AY46" s="691">
        <v>2639.2240000000002</v>
      </c>
      <c r="AZ46" s="691" t="s">
        <v>685</v>
      </c>
      <c r="BA46" s="691" t="s">
        <v>685</v>
      </c>
      <c r="BB46" s="691" t="s">
        <v>685</v>
      </c>
      <c r="BC46" s="691" t="s">
        <v>685</v>
      </c>
      <c r="BD46" s="691" t="s">
        <v>685</v>
      </c>
      <c r="BE46" s="691" t="s">
        <v>685</v>
      </c>
      <c r="BF46" s="691" t="s">
        <v>685</v>
      </c>
      <c r="BG46" s="691" t="s">
        <v>685</v>
      </c>
      <c r="BH46" s="691" t="s">
        <v>685</v>
      </c>
      <c r="BI46" s="691" t="s">
        <v>685</v>
      </c>
      <c r="BJ46" s="691" t="s">
        <v>685</v>
      </c>
      <c r="BK46" s="691" t="s">
        <v>685</v>
      </c>
      <c r="BL46" s="691" t="s">
        <v>685</v>
      </c>
      <c r="BM46" s="691" t="s">
        <v>685</v>
      </c>
      <c r="BN46" s="691" t="s">
        <v>685</v>
      </c>
      <c r="BO46" s="691" t="s">
        <v>685</v>
      </c>
      <c r="BP46" s="691" t="s">
        <v>685</v>
      </c>
      <c r="BQ46" s="691" t="s">
        <v>685</v>
      </c>
      <c r="BR46" s="691" t="s">
        <v>685</v>
      </c>
      <c r="BS46" s="691" t="s">
        <v>685</v>
      </c>
      <c r="BT46" s="691" t="s">
        <v>685</v>
      </c>
      <c r="BU46" s="691" t="s">
        <v>685</v>
      </c>
      <c r="BV46" s="691" t="s">
        <v>685</v>
      </c>
      <c r="BW46" s="691" t="s">
        <v>685</v>
      </c>
      <c r="BX46" s="691" t="s">
        <v>685</v>
      </c>
      <c r="BY46" s="691" t="s">
        <v>685</v>
      </c>
      <c r="BZ46" s="694" t="s">
        <v>685</v>
      </c>
      <c r="CA46" s="692"/>
    </row>
    <row r="47" spans="1:79" s="693" customFormat="1" ht="10.199999999999999">
      <c r="B47" s="689">
        <v>24</v>
      </c>
      <c r="C47" s="690" t="s">
        <v>210</v>
      </c>
      <c r="D47" s="690" t="s">
        <v>681</v>
      </c>
      <c r="E47" s="690" t="s">
        <v>717</v>
      </c>
      <c r="F47" s="690" t="s">
        <v>682</v>
      </c>
      <c r="G47" s="690" t="s">
        <v>29</v>
      </c>
      <c r="H47" s="690" t="s">
        <v>689</v>
      </c>
      <c r="I47" s="690">
        <v>2013</v>
      </c>
      <c r="J47" s="690" t="s">
        <v>1122</v>
      </c>
      <c r="K47" s="690"/>
      <c r="L47" s="690" t="s">
        <v>1123</v>
      </c>
      <c r="M47" s="690" t="s">
        <v>691</v>
      </c>
      <c r="N47" s="691">
        <v>11002</v>
      </c>
      <c r="O47" s="691"/>
      <c r="P47" s="691"/>
      <c r="Q47" s="690"/>
      <c r="R47" s="691" t="s">
        <v>685</v>
      </c>
      <c r="S47" s="691" t="s">
        <v>685</v>
      </c>
      <c r="T47" s="691">
        <v>6198.8159999999998</v>
      </c>
      <c r="U47" s="691" t="s">
        <v>685</v>
      </c>
      <c r="V47" s="691" t="s">
        <v>685</v>
      </c>
      <c r="W47" s="691" t="s">
        <v>685</v>
      </c>
      <c r="X47" s="691" t="s">
        <v>685</v>
      </c>
      <c r="Y47" s="691" t="s">
        <v>685</v>
      </c>
      <c r="Z47" s="691" t="s">
        <v>685</v>
      </c>
      <c r="AA47" s="691" t="s">
        <v>685</v>
      </c>
      <c r="AB47" s="691" t="s">
        <v>685</v>
      </c>
      <c r="AC47" s="691" t="s">
        <v>685</v>
      </c>
      <c r="AD47" s="691" t="s">
        <v>685</v>
      </c>
      <c r="AE47" s="691" t="s">
        <v>685</v>
      </c>
      <c r="AF47" s="691" t="s">
        <v>685</v>
      </c>
      <c r="AG47" s="691" t="s">
        <v>685</v>
      </c>
      <c r="AH47" s="691" t="s">
        <v>685</v>
      </c>
      <c r="AI47" s="691" t="s">
        <v>685</v>
      </c>
      <c r="AJ47" s="691" t="s">
        <v>685</v>
      </c>
      <c r="AK47" s="691" t="s">
        <v>685</v>
      </c>
      <c r="AL47" s="691" t="s">
        <v>685</v>
      </c>
      <c r="AM47" s="691" t="s">
        <v>685</v>
      </c>
      <c r="AN47" s="691" t="s">
        <v>685</v>
      </c>
      <c r="AO47" s="691" t="s">
        <v>685</v>
      </c>
      <c r="AP47" s="691" t="s">
        <v>685</v>
      </c>
      <c r="AQ47" s="691" t="s">
        <v>685</v>
      </c>
      <c r="AR47" s="691" t="s">
        <v>685</v>
      </c>
      <c r="AS47" s="691" t="s">
        <v>685</v>
      </c>
      <c r="AT47" s="691" t="s">
        <v>685</v>
      </c>
      <c r="AU47" s="691" t="s">
        <v>685</v>
      </c>
      <c r="AV47" s="691"/>
      <c r="AW47" s="691" t="s">
        <v>685</v>
      </c>
      <c r="AX47" s="691" t="s">
        <v>685</v>
      </c>
      <c r="AY47" s="691">
        <v>1843.826</v>
      </c>
      <c r="AZ47" s="691" t="s">
        <v>685</v>
      </c>
      <c r="BA47" s="691" t="s">
        <v>685</v>
      </c>
      <c r="BB47" s="691" t="s">
        <v>685</v>
      </c>
      <c r="BC47" s="691" t="s">
        <v>685</v>
      </c>
      <c r="BD47" s="691" t="s">
        <v>685</v>
      </c>
      <c r="BE47" s="691" t="s">
        <v>685</v>
      </c>
      <c r="BF47" s="691" t="s">
        <v>685</v>
      </c>
      <c r="BG47" s="691" t="s">
        <v>685</v>
      </c>
      <c r="BH47" s="691" t="s">
        <v>685</v>
      </c>
      <c r="BI47" s="691" t="s">
        <v>685</v>
      </c>
      <c r="BJ47" s="691" t="s">
        <v>685</v>
      </c>
      <c r="BK47" s="691" t="s">
        <v>685</v>
      </c>
      <c r="BL47" s="691" t="s">
        <v>685</v>
      </c>
      <c r="BM47" s="691" t="s">
        <v>685</v>
      </c>
      <c r="BN47" s="691" t="s">
        <v>685</v>
      </c>
      <c r="BO47" s="691" t="s">
        <v>685</v>
      </c>
      <c r="BP47" s="691" t="s">
        <v>685</v>
      </c>
      <c r="BQ47" s="691" t="s">
        <v>685</v>
      </c>
      <c r="BR47" s="691" t="s">
        <v>685</v>
      </c>
      <c r="BS47" s="691" t="s">
        <v>685</v>
      </c>
      <c r="BT47" s="691" t="s">
        <v>685</v>
      </c>
      <c r="BU47" s="691" t="s">
        <v>685</v>
      </c>
      <c r="BV47" s="691" t="s">
        <v>685</v>
      </c>
      <c r="BW47" s="691" t="s">
        <v>685</v>
      </c>
      <c r="BX47" s="691" t="s">
        <v>685</v>
      </c>
      <c r="BY47" s="691" t="s">
        <v>685</v>
      </c>
      <c r="BZ47" s="694" t="s">
        <v>685</v>
      </c>
      <c r="CA47" s="692"/>
    </row>
    <row r="48" spans="1:79" s="693" customFormat="1" ht="10.199999999999999">
      <c r="B48" s="689">
        <v>25</v>
      </c>
      <c r="C48" s="690" t="s">
        <v>210</v>
      </c>
      <c r="D48" s="690" t="s">
        <v>681</v>
      </c>
      <c r="E48" s="690" t="s">
        <v>718</v>
      </c>
      <c r="F48" s="690" t="s">
        <v>682</v>
      </c>
      <c r="G48" s="690" t="s">
        <v>29</v>
      </c>
      <c r="H48" s="690" t="s">
        <v>689</v>
      </c>
      <c r="I48" s="690">
        <v>2012</v>
      </c>
      <c r="J48" s="690" t="s">
        <v>1122</v>
      </c>
      <c r="K48" s="690"/>
      <c r="L48" s="690" t="s">
        <v>1123</v>
      </c>
      <c r="M48" s="690" t="s">
        <v>691</v>
      </c>
      <c r="N48" s="691">
        <v>6205</v>
      </c>
      <c r="O48" s="691"/>
      <c r="P48" s="691"/>
      <c r="Q48" s="690"/>
      <c r="R48" s="691" t="s">
        <v>685</v>
      </c>
      <c r="S48" s="691" t="s">
        <v>685</v>
      </c>
      <c r="T48" s="691">
        <v>0</v>
      </c>
      <c r="U48" s="691" t="s">
        <v>685</v>
      </c>
      <c r="V48" s="691" t="s">
        <v>685</v>
      </c>
      <c r="W48" s="691" t="s">
        <v>685</v>
      </c>
      <c r="X48" s="691" t="s">
        <v>685</v>
      </c>
      <c r="Y48" s="691" t="s">
        <v>685</v>
      </c>
      <c r="Z48" s="691" t="s">
        <v>685</v>
      </c>
      <c r="AA48" s="691" t="s">
        <v>685</v>
      </c>
      <c r="AB48" s="691" t="s">
        <v>685</v>
      </c>
      <c r="AC48" s="691" t="s">
        <v>685</v>
      </c>
      <c r="AD48" s="691" t="s">
        <v>685</v>
      </c>
      <c r="AE48" s="691" t="s">
        <v>685</v>
      </c>
      <c r="AF48" s="691" t="s">
        <v>685</v>
      </c>
      <c r="AG48" s="691" t="s">
        <v>685</v>
      </c>
      <c r="AH48" s="691" t="s">
        <v>685</v>
      </c>
      <c r="AI48" s="691" t="s">
        <v>685</v>
      </c>
      <c r="AJ48" s="691" t="s">
        <v>685</v>
      </c>
      <c r="AK48" s="691" t="s">
        <v>685</v>
      </c>
      <c r="AL48" s="691" t="s">
        <v>685</v>
      </c>
      <c r="AM48" s="691" t="s">
        <v>685</v>
      </c>
      <c r="AN48" s="691" t="s">
        <v>685</v>
      </c>
      <c r="AO48" s="691" t="s">
        <v>685</v>
      </c>
      <c r="AP48" s="691" t="s">
        <v>685</v>
      </c>
      <c r="AQ48" s="691" t="s">
        <v>685</v>
      </c>
      <c r="AR48" s="691" t="s">
        <v>685</v>
      </c>
      <c r="AS48" s="691" t="s">
        <v>685</v>
      </c>
      <c r="AT48" s="691" t="s">
        <v>685</v>
      </c>
      <c r="AU48" s="691" t="s">
        <v>685</v>
      </c>
      <c r="AV48" s="691"/>
      <c r="AW48" s="691" t="s">
        <v>685</v>
      </c>
      <c r="AX48" s="691" t="s">
        <v>685</v>
      </c>
      <c r="AY48" s="691">
        <v>0</v>
      </c>
      <c r="AZ48" s="691" t="s">
        <v>685</v>
      </c>
      <c r="BA48" s="691" t="s">
        <v>685</v>
      </c>
      <c r="BB48" s="691" t="s">
        <v>685</v>
      </c>
      <c r="BC48" s="691" t="s">
        <v>685</v>
      </c>
      <c r="BD48" s="691" t="s">
        <v>685</v>
      </c>
      <c r="BE48" s="691" t="s">
        <v>685</v>
      </c>
      <c r="BF48" s="691" t="s">
        <v>685</v>
      </c>
      <c r="BG48" s="691" t="s">
        <v>685</v>
      </c>
      <c r="BH48" s="691" t="s">
        <v>685</v>
      </c>
      <c r="BI48" s="691" t="s">
        <v>685</v>
      </c>
      <c r="BJ48" s="691" t="s">
        <v>685</v>
      </c>
      <c r="BK48" s="691" t="s">
        <v>685</v>
      </c>
      <c r="BL48" s="691" t="s">
        <v>685</v>
      </c>
      <c r="BM48" s="691" t="s">
        <v>685</v>
      </c>
      <c r="BN48" s="691" t="s">
        <v>685</v>
      </c>
      <c r="BO48" s="691" t="s">
        <v>685</v>
      </c>
      <c r="BP48" s="691" t="s">
        <v>685</v>
      </c>
      <c r="BQ48" s="691" t="s">
        <v>685</v>
      </c>
      <c r="BR48" s="691" t="s">
        <v>685</v>
      </c>
      <c r="BS48" s="691" t="s">
        <v>685</v>
      </c>
      <c r="BT48" s="691" t="s">
        <v>685</v>
      </c>
      <c r="BU48" s="691" t="s">
        <v>685</v>
      </c>
      <c r="BV48" s="691" t="s">
        <v>685</v>
      </c>
      <c r="BW48" s="691" t="s">
        <v>685</v>
      </c>
      <c r="BX48" s="691" t="s">
        <v>685</v>
      </c>
      <c r="BY48" s="691" t="s">
        <v>685</v>
      </c>
      <c r="BZ48" s="694" t="s">
        <v>685</v>
      </c>
      <c r="CA48" s="692"/>
    </row>
    <row r="49" spans="1:79" s="693" customFormat="1" ht="10.199999999999999">
      <c r="B49" s="689">
        <v>26</v>
      </c>
      <c r="C49" s="690" t="s">
        <v>210</v>
      </c>
      <c r="D49" s="690" t="s">
        <v>681</v>
      </c>
      <c r="E49" s="690" t="s">
        <v>718</v>
      </c>
      <c r="F49" s="690" t="s">
        <v>682</v>
      </c>
      <c r="G49" s="690" t="s">
        <v>29</v>
      </c>
      <c r="H49" s="690" t="s">
        <v>689</v>
      </c>
      <c r="I49" s="690">
        <v>2013</v>
      </c>
      <c r="J49" s="690" t="s">
        <v>1122</v>
      </c>
      <c r="K49" s="690"/>
      <c r="L49" s="690" t="s">
        <v>1123</v>
      </c>
      <c r="M49" s="690" t="s">
        <v>691</v>
      </c>
      <c r="N49" s="691">
        <v>13473</v>
      </c>
      <c r="O49" s="691"/>
      <c r="P49" s="691"/>
      <c r="Q49" s="690"/>
      <c r="R49" s="691" t="s">
        <v>685</v>
      </c>
      <c r="S49" s="691" t="s">
        <v>685</v>
      </c>
      <c r="T49" s="691">
        <v>0</v>
      </c>
      <c r="U49" s="691" t="s">
        <v>685</v>
      </c>
      <c r="V49" s="691" t="s">
        <v>685</v>
      </c>
      <c r="W49" s="691" t="s">
        <v>685</v>
      </c>
      <c r="X49" s="691" t="s">
        <v>685</v>
      </c>
      <c r="Y49" s="691" t="s">
        <v>685</v>
      </c>
      <c r="Z49" s="691" t="s">
        <v>685</v>
      </c>
      <c r="AA49" s="691" t="s">
        <v>685</v>
      </c>
      <c r="AB49" s="691" t="s">
        <v>685</v>
      </c>
      <c r="AC49" s="691" t="s">
        <v>685</v>
      </c>
      <c r="AD49" s="691" t="s">
        <v>685</v>
      </c>
      <c r="AE49" s="691" t="s">
        <v>685</v>
      </c>
      <c r="AF49" s="691" t="s">
        <v>685</v>
      </c>
      <c r="AG49" s="691" t="s">
        <v>685</v>
      </c>
      <c r="AH49" s="691" t="s">
        <v>685</v>
      </c>
      <c r="AI49" s="691" t="s">
        <v>685</v>
      </c>
      <c r="AJ49" s="691" t="s">
        <v>685</v>
      </c>
      <c r="AK49" s="691" t="s">
        <v>685</v>
      </c>
      <c r="AL49" s="691" t="s">
        <v>685</v>
      </c>
      <c r="AM49" s="691" t="s">
        <v>685</v>
      </c>
      <c r="AN49" s="691" t="s">
        <v>685</v>
      </c>
      <c r="AO49" s="691" t="s">
        <v>685</v>
      </c>
      <c r="AP49" s="691" t="s">
        <v>685</v>
      </c>
      <c r="AQ49" s="691" t="s">
        <v>685</v>
      </c>
      <c r="AR49" s="691" t="s">
        <v>685</v>
      </c>
      <c r="AS49" s="691" t="s">
        <v>685</v>
      </c>
      <c r="AT49" s="691" t="s">
        <v>685</v>
      </c>
      <c r="AU49" s="691" t="s">
        <v>685</v>
      </c>
      <c r="AV49" s="691"/>
      <c r="AW49" s="691" t="s">
        <v>685</v>
      </c>
      <c r="AX49" s="691" t="s">
        <v>685</v>
      </c>
      <c r="AY49" s="691">
        <v>0</v>
      </c>
      <c r="AZ49" s="691" t="s">
        <v>685</v>
      </c>
      <c r="BA49" s="691" t="s">
        <v>685</v>
      </c>
      <c r="BB49" s="691" t="s">
        <v>685</v>
      </c>
      <c r="BC49" s="691" t="s">
        <v>685</v>
      </c>
      <c r="BD49" s="691" t="s">
        <v>685</v>
      </c>
      <c r="BE49" s="691" t="s">
        <v>685</v>
      </c>
      <c r="BF49" s="691" t="s">
        <v>685</v>
      </c>
      <c r="BG49" s="691" t="s">
        <v>685</v>
      </c>
      <c r="BH49" s="691" t="s">
        <v>685</v>
      </c>
      <c r="BI49" s="691" t="s">
        <v>685</v>
      </c>
      <c r="BJ49" s="691" t="s">
        <v>685</v>
      </c>
      <c r="BK49" s="691" t="s">
        <v>685</v>
      </c>
      <c r="BL49" s="691" t="s">
        <v>685</v>
      </c>
      <c r="BM49" s="691" t="s">
        <v>685</v>
      </c>
      <c r="BN49" s="691" t="s">
        <v>685</v>
      </c>
      <c r="BO49" s="691" t="s">
        <v>685</v>
      </c>
      <c r="BP49" s="691" t="s">
        <v>685</v>
      </c>
      <c r="BQ49" s="691" t="s">
        <v>685</v>
      </c>
      <c r="BR49" s="691" t="s">
        <v>685</v>
      </c>
      <c r="BS49" s="691" t="s">
        <v>685</v>
      </c>
      <c r="BT49" s="691" t="s">
        <v>685</v>
      </c>
      <c r="BU49" s="691" t="s">
        <v>685</v>
      </c>
      <c r="BV49" s="691" t="s">
        <v>685</v>
      </c>
      <c r="BW49" s="691" t="s">
        <v>685</v>
      </c>
      <c r="BX49" s="691" t="s">
        <v>685</v>
      </c>
      <c r="BY49" s="691" t="s">
        <v>685</v>
      </c>
      <c r="BZ49" s="694" t="s">
        <v>685</v>
      </c>
      <c r="CA49" s="692"/>
    </row>
    <row r="50" spans="1:79" s="693" customFormat="1" ht="10.199999999999999">
      <c r="B50" s="689">
        <v>27</v>
      </c>
      <c r="C50" s="690" t="s">
        <v>210</v>
      </c>
      <c r="D50" s="690" t="s">
        <v>702</v>
      </c>
      <c r="E50" s="690" t="s">
        <v>712</v>
      </c>
      <c r="F50" s="690" t="s">
        <v>682</v>
      </c>
      <c r="G50" s="690" t="s">
        <v>702</v>
      </c>
      <c r="H50" s="690" t="s">
        <v>689</v>
      </c>
      <c r="I50" s="690">
        <v>2013</v>
      </c>
      <c r="J50" s="690" t="s">
        <v>1122</v>
      </c>
      <c r="K50" s="690"/>
      <c r="L50" s="690" t="s">
        <v>1123</v>
      </c>
      <c r="M50" s="690" t="s">
        <v>698</v>
      </c>
      <c r="N50" s="691">
        <v>10</v>
      </c>
      <c r="O50" s="691"/>
      <c r="P50" s="691"/>
      <c r="Q50" s="690"/>
      <c r="R50" s="691" t="s">
        <v>685</v>
      </c>
      <c r="S50" s="691" t="s">
        <v>685</v>
      </c>
      <c r="T50" s="691">
        <v>4959.4309999999996</v>
      </c>
      <c r="U50" s="691" t="s">
        <v>685</v>
      </c>
      <c r="V50" s="691" t="s">
        <v>685</v>
      </c>
      <c r="W50" s="691" t="s">
        <v>685</v>
      </c>
      <c r="X50" s="691" t="s">
        <v>685</v>
      </c>
      <c r="Y50" s="691" t="s">
        <v>685</v>
      </c>
      <c r="Z50" s="691" t="s">
        <v>685</v>
      </c>
      <c r="AA50" s="691" t="s">
        <v>685</v>
      </c>
      <c r="AB50" s="691" t="s">
        <v>685</v>
      </c>
      <c r="AC50" s="691" t="s">
        <v>685</v>
      </c>
      <c r="AD50" s="691" t="s">
        <v>685</v>
      </c>
      <c r="AE50" s="691" t="s">
        <v>685</v>
      </c>
      <c r="AF50" s="691" t="s">
        <v>685</v>
      </c>
      <c r="AG50" s="691" t="s">
        <v>685</v>
      </c>
      <c r="AH50" s="691" t="s">
        <v>685</v>
      </c>
      <c r="AI50" s="691" t="s">
        <v>685</v>
      </c>
      <c r="AJ50" s="691" t="s">
        <v>685</v>
      </c>
      <c r="AK50" s="691" t="s">
        <v>685</v>
      </c>
      <c r="AL50" s="691" t="s">
        <v>685</v>
      </c>
      <c r="AM50" s="691" t="s">
        <v>685</v>
      </c>
      <c r="AN50" s="691" t="s">
        <v>685</v>
      </c>
      <c r="AO50" s="691" t="s">
        <v>685</v>
      </c>
      <c r="AP50" s="691" t="s">
        <v>685</v>
      </c>
      <c r="AQ50" s="691" t="s">
        <v>685</v>
      </c>
      <c r="AR50" s="691" t="s">
        <v>685</v>
      </c>
      <c r="AS50" s="691" t="s">
        <v>685</v>
      </c>
      <c r="AT50" s="691" t="s">
        <v>685</v>
      </c>
      <c r="AU50" s="691" t="s">
        <v>685</v>
      </c>
      <c r="AV50" s="691"/>
      <c r="AW50" s="691" t="s">
        <v>685</v>
      </c>
      <c r="AX50" s="691" t="s">
        <v>685</v>
      </c>
      <c r="AY50" s="691">
        <v>124709.8</v>
      </c>
      <c r="AZ50" s="691" t="s">
        <v>685</v>
      </c>
      <c r="BA50" s="691" t="s">
        <v>685</v>
      </c>
      <c r="BB50" s="691" t="s">
        <v>685</v>
      </c>
      <c r="BC50" s="691" t="s">
        <v>685</v>
      </c>
      <c r="BD50" s="691" t="s">
        <v>685</v>
      </c>
      <c r="BE50" s="691" t="s">
        <v>685</v>
      </c>
      <c r="BF50" s="691" t="s">
        <v>685</v>
      </c>
      <c r="BG50" s="691" t="s">
        <v>685</v>
      </c>
      <c r="BH50" s="691" t="s">
        <v>685</v>
      </c>
      <c r="BI50" s="691" t="s">
        <v>685</v>
      </c>
      <c r="BJ50" s="691" t="s">
        <v>685</v>
      </c>
      <c r="BK50" s="691" t="s">
        <v>685</v>
      </c>
      <c r="BL50" s="691" t="s">
        <v>685</v>
      </c>
      <c r="BM50" s="691" t="s">
        <v>685</v>
      </c>
      <c r="BN50" s="691" t="s">
        <v>685</v>
      </c>
      <c r="BO50" s="691" t="s">
        <v>685</v>
      </c>
      <c r="BP50" s="691" t="s">
        <v>685</v>
      </c>
      <c r="BQ50" s="691" t="s">
        <v>685</v>
      </c>
      <c r="BR50" s="691" t="s">
        <v>685</v>
      </c>
      <c r="BS50" s="691" t="s">
        <v>685</v>
      </c>
      <c r="BT50" s="691" t="s">
        <v>685</v>
      </c>
      <c r="BU50" s="691" t="s">
        <v>685</v>
      </c>
      <c r="BV50" s="691" t="s">
        <v>685</v>
      </c>
      <c r="BW50" s="691" t="s">
        <v>685</v>
      </c>
      <c r="BX50" s="691" t="s">
        <v>685</v>
      </c>
      <c r="BY50" s="691" t="s">
        <v>685</v>
      </c>
      <c r="BZ50" s="694" t="s">
        <v>685</v>
      </c>
      <c r="CA50" s="692"/>
    </row>
    <row r="51" spans="1:79" s="693" customFormat="1" ht="10.199999999999999">
      <c r="B51" s="689">
        <v>28</v>
      </c>
      <c r="C51" s="690" t="s">
        <v>210</v>
      </c>
      <c r="D51" s="690" t="s">
        <v>702</v>
      </c>
      <c r="E51" s="690" t="s">
        <v>712</v>
      </c>
      <c r="F51" s="690" t="s">
        <v>682</v>
      </c>
      <c r="G51" s="690" t="s">
        <v>702</v>
      </c>
      <c r="H51" s="690" t="s">
        <v>689</v>
      </c>
      <c r="I51" s="690">
        <v>2013</v>
      </c>
      <c r="J51" s="690" t="s">
        <v>1122</v>
      </c>
      <c r="K51" s="690"/>
      <c r="L51" s="690" t="s">
        <v>1123</v>
      </c>
      <c r="M51" s="690" t="s">
        <v>698</v>
      </c>
      <c r="N51" s="691">
        <v>5</v>
      </c>
      <c r="O51" s="691"/>
      <c r="P51" s="691"/>
      <c r="Q51" s="690"/>
      <c r="R51" s="691" t="s">
        <v>685</v>
      </c>
      <c r="S51" s="691" t="s">
        <v>685</v>
      </c>
      <c r="T51" s="691">
        <v>1446.8689999999999</v>
      </c>
      <c r="U51" s="691" t="s">
        <v>685</v>
      </c>
      <c r="V51" s="691" t="s">
        <v>685</v>
      </c>
      <c r="W51" s="691" t="s">
        <v>685</v>
      </c>
      <c r="X51" s="691" t="s">
        <v>685</v>
      </c>
      <c r="Y51" s="691" t="s">
        <v>685</v>
      </c>
      <c r="Z51" s="691" t="s">
        <v>685</v>
      </c>
      <c r="AA51" s="691" t="s">
        <v>685</v>
      </c>
      <c r="AB51" s="691" t="s">
        <v>685</v>
      </c>
      <c r="AC51" s="691" t="s">
        <v>685</v>
      </c>
      <c r="AD51" s="691" t="s">
        <v>685</v>
      </c>
      <c r="AE51" s="691" t="s">
        <v>685</v>
      </c>
      <c r="AF51" s="691" t="s">
        <v>685</v>
      </c>
      <c r="AG51" s="691" t="s">
        <v>685</v>
      </c>
      <c r="AH51" s="691" t="s">
        <v>685</v>
      </c>
      <c r="AI51" s="691" t="s">
        <v>685</v>
      </c>
      <c r="AJ51" s="691" t="s">
        <v>685</v>
      </c>
      <c r="AK51" s="691" t="s">
        <v>685</v>
      </c>
      <c r="AL51" s="691" t="s">
        <v>685</v>
      </c>
      <c r="AM51" s="691" t="s">
        <v>685</v>
      </c>
      <c r="AN51" s="691" t="s">
        <v>685</v>
      </c>
      <c r="AO51" s="691" t="s">
        <v>685</v>
      </c>
      <c r="AP51" s="691" t="s">
        <v>685</v>
      </c>
      <c r="AQ51" s="691" t="s">
        <v>685</v>
      </c>
      <c r="AR51" s="691" t="s">
        <v>685</v>
      </c>
      <c r="AS51" s="691" t="s">
        <v>685</v>
      </c>
      <c r="AT51" s="691" t="s">
        <v>685</v>
      </c>
      <c r="AU51" s="691" t="s">
        <v>685</v>
      </c>
      <c r="AV51" s="691"/>
      <c r="AW51" s="691" t="s">
        <v>685</v>
      </c>
      <c r="AX51" s="691" t="s">
        <v>685</v>
      </c>
      <c r="AY51" s="691">
        <v>32946.1</v>
      </c>
      <c r="AZ51" s="691" t="s">
        <v>685</v>
      </c>
      <c r="BA51" s="691" t="s">
        <v>685</v>
      </c>
      <c r="BB51" s="691" t="s">
        <v>685</v>
      </c>
      <c r="BC51" s="691" t="s">
        <v>685</v>
      </c>
      <c r="BD51" s="691" t="s">
        <v>685</v>
      </c>
      <c r="BE51" s="691" t="s">
        <v>685</v>
      </c>
      <c r="BF51" s="691" t="s">
        <v>685</v>
      </c>
      <c r="BG51" s="691" t="s">
        <v>685</v>
      </c>
      <c r="BH51" s="691" t="s">
        <v>685</v>
      </c>
      <c r="BI51" s="691" t="s">
        <v>685</v>
      </c>
      <c r="BJ51" s="691" t="s">
        <v>685</v>
      </c>
      <c r="BK51" s="691" t="s">
        <v>685</v>
      </c>
      <c r="BL51" s="691" t="s">
        <v>685</v>
      </c>
      <c r="BM51" s="691" t="s">
        <v>685</v>
      </c>
      <c r="BN51" s="691" t="s">
        <v>685</v>
      </c>
      <c r="BO51" s="691" t="s">
        <v>685</v>
      </c>
      <c r="BP51" s="691" t="s">
        <v>685</v>
      </c>
      <c r="BQ51" s="691" t="s">
        <v>685</v>
      </c>
      <c r="BR51" s="691" t="s">
        <v>685</v>
      </c>
      <c r="BS51" s="691" t="s">
        <v>685</v>
      </c>
      <c r="BT51" s="691" t="s">
        <v>685</v>
      </c>
      <c r="BU51" s="691" t="s">
        <v>685</v>
      </c>
      <c r="BV51" s="691" t="s">
        <v>685</v>
      </c>
      <c r="BW51" s="691" t="s">
        <v>685</v>
      </c>
      <c r="BX51" s="691" t="s">
        <v>685</v>
      </c>
      <c r="BY51" s="691" t="s">
        <v>685</v>
      </c>
      <c r="BZ51" s="694" t="s">
        <v>685</v>
      </c>
      <c r="CA51" s="692"/>
    </row>
    <row r="52" spans="1:79" s="693" customFormat="1" ht="10.199999999999999">
      <c r="B52" s="689">
        <v>29</v>
      </c>
      <c r="C52" s="690" t="s">
        <v>210</v>
      </c>
      <c r="D52" s="690" t="s">
        <v>702</v>
      </c>
      <c r="E52" s="690" t="s">
        <v>13</v>
      </c>
      <c r="F52" s="690" t="s">
        <v>682</v>
      </c>
      <c r="G52" s="690" t="s">
        <v>702</v>
      </c>
      <c r="H52" s="690" t="s">
        <v>683</v>
      </c>
      <c r="I52" s="690">
        <v>2013</v>
      </c>
      <c r="J52" s="690" t="s">
        <v>1122</v>
      </c>
      <c r="K52" s="690"/>
      <c r="L52" s="690" t="s">
        <v>1123</v>
      </c>
      <c r="M52" s="690" t="s">
        <v>685</v>
      </c>
      <c r="N52" s="691">
        <v>40</v>
      </c>
      <c r="O52" s="691">
        <v>467.50572</v>
      </c>
      <c r="P52" s="691">
        <v>4130757.3671999997</v>
      </c>
      <c r="Q52" s="690"/>
      <c r="R52" s="691">
        <v>0</v>
      </c>
      <c r="S52" s="691">
        <v>0</v>
      </c>
      <c r="T52" s="691">
        <v>420.75514799999996</v>
      </c>
      <c r="U52" s="691">
        <v>95.6691</v>
      </c>
      <c r="V52" s="691">
        <v>95.6691</v>
      </c>
      <c r="W52" s="691">
        <v>84.734099999999998</v>
      </c>
      <c r="X52" s="691">
        <v>19.9665</v>
      </c>
      <c r="Y52" s="691">
        <v>0.72899999999999998</v>
      </c>
      <c r="Z52" s="691">
        <v>0.72899999999999998</v>
      </c>
      <c r="AA52" s="691">
        <v>0.72899999999999998</v>
      </c>
      <c r="AB52" s="691">
        <v>0</v>
      </c>
      <c r="AC52" s="691">
        <v>0</v>
      </c>
      <c r="AD52" s="691">
        <v>0</v>
      </c>
      <c r="AE52" s="691">
        <v>0</v>
      </c>
      <c r="AF52" s="691">
        <v>0</v>
      </c>
      <c r="AG52" s="691">
        <v>0</v>
      </c>
      <c r="AH52" s="691">
        <v>0</v>
      </c>
      <c r="AI52" s="691">
        <v>0</v>
      </c>
      <c r="AJ52" s="691">
        <v>0</v>
      </c>
      <c r="AK52" s="691">
        <v>0</v>
      </c>
      <c r="AL52" s="691">
        <v>0</v>
      </c>
      <c r="AM52" s="691">
        <v>0</v>
      </c>
      <c r="AN52" s="691">
        <v>0</v>
      </c>
      <c r="AO52" s="691">
        <v>0</v>
      </c>
      <c r="AP52" s="691">
        <v>0</v>
      </c>
      <c r="AQ52" s="691">
        <v>0</v>
      </c>
      <c r="AR52" s="691">
        <v>0</v>
      </c>
      <c r="AS52" s="691">
        <v>0</v>
      </c>
      <c r="AT52" s="691">
        <v>0</v>
      </c>
      <c r="AU52" s="691">
        <v>0</v>
      </c>
      <c r="AV52" s="691"/>
      <c r="AW52" s="691">
        <v>0</v>
      </c>
      <c r="AX52" s="691">
        <v>0</v>
      </c>
      <c r="AY52" s="691">
        <v>3717681.6304799998</v>
      </c>
      <c r="AZ52" s="691">
        <v>1523477.4839999999</v>
      </c>
      <c r="BA52" s="691">
        <v>1523477.4839999999</v>
      </c>
      <c r="BB52" s="691">
        <v>1356131.4839999999</v>
      </c>
      <c r="BC52" s="691">
        <v>693704.57400000002</v>
      </c>
      <c r="BD52" s="691">
        <v>510624</v>
      </c>
      <c r="BE52" s="691">
        <v>510624</v>
      </c>
      <c r="BF52" s="691">
        <v>510624</v>
      </c>
      <c r="BG52" s="691">
        <v>0</v>
      </c>
      <c r="BH52" s="691">
        <v>0</v>
      </c>
      <c r="BI52" s="691">
        <v>0</v>
      </c>
      <c r="BJ52" s="691">
        <v>0</v>
      </c>
      <c r="BK52" s="691">
        <v>0</v>
      </c>
      <c r="BL52" s="691">
        <v>0</v>
      </c>
      <c r="BM52" s="691">
        <v>0</v>
      </c>
      <c r="BN52" s="691">
        <v>0</v>
      </c>
      <c r="BO52" s="691">
        <v>0</v>
      </c>
      <c r="BP52" s="691">
        <v>0</v>
      </c>
      <c r="BQ52" s="691">
        <v>0</v>
      </c>
      <c r="BR52" s="691">
        <v>0</v>
      </c>
      <c r="BS52" s="691">
        <v>0</v>
      </c>
      <c r="BT52" s="691">
        <v>0</v>
      </c>
      <c r="BU52" s="691">
        <v>0</v>
      </c>
      <c r="BV52" s="691">
        <v>0</v>
      </c>
      <c r="BW52" s="691">
        <v>0</v>
      </c>
      <c r="BX52" s="691">
        <v>0</v>
      </c>
      <c r="BY52" s="691">
        <v>0</v>
      </c>
      <c r="BZ52" s="694">
        <v>0</v>
      </c>
      <c r="CA52" s="692"/>
    </row>
    <row r="53" spans="1:79" s="729" customFormat="1" ht="10.199999999999999">
      <c r="A53" s="729" t="s">
        <v>723</v>
      </c>
      <c r="B53" s="730">
        <v>30</v>
      </c>
      <c r="C53" s="731" t="s">
        <v>210</v>
      </c>
      <c r="D53" s="731" t="s">
        <v>504</v>
      </c>
      <c r="E53" s="731" t="s">
        <v>505</v>
      </c>
      <c r="F53" s="731" t="s">
        <v>682</v>
      </c>
      <c r="G53" s="731" t="s">
        <v>504</v>
      </c>
      <c r="H53" s="731" t="s">
        <v>683</v>
      </c>
      <c r="I53" s="731">
        <v>2011</v>
      </c>
      <c r="J53" s="731" t="s">
        <v>1122</v>
      </c>
      <c r="K53" s="731"/>
      <c r="L53" s="731" t="s">
        <v>1123</v>
      </c>
      <c r="M53" s="731" t="s">
        <v>685</v>
      </c>
      <c r="N53" s="732">
        <v>1</v>
      </c>
      <c r="O53" s="732">
        <v>3.2</v>
      </c>
      <c r="P53" s="732">
        <v>5574</v>
      </c>
      <c r="Q53" s="731"/>
      <c r="R53" s="732">
        <v>3.2</v>
      </c>
      <c r="S53" s="732">
        <v>3.2</v>
      </c>
      <c r="T53" s="732">
        <v>3.2</v>
      </c>
      <c r="U53" s="732">
        <v>3.2</v>
      </c>
      <c r="V53" s="732">
        <v>3.2</v>
      </c>
      <c r="W53" s="732">
        <v>0</v>
      </c>
      <c r="X53" s="732">
        <v>0</v>
      </c>
      <c r="Y53" s="732">
        <v>0</v>
      </c>
      <c r="Z53" s="732">
        <v>0</v>
      </c>
      <c r="AA53" s="732">
        <v>0</v>
      </c>
      <c r="AB53" s="732">
        <v>0</v>
      </c>
      <c r="AC53" s="732">
        <v>0</v>
      </c>
      <c r="AD53" s="732">
        <v>0</v>
      </c>
      <c r="AE53" s="732">
        <v>0</v>
      </c>
      <c r="AF53" s="732">
        <v>0</v>
      </c>
      <c r="AG53" s="732">
        <v>0</v>
      </c>
      <c r="AH53" s="732">
        <v>0</v>
      </c>
      <c r="AI53" s="732">
        <v>0</v>
      </c>
      <c r="AJ53" s="732">
        <v>0</v>
      </c>
      <c r="AK53" s="732">
        <v>0</v>
      </c>
      <c r="AL53" s="732">
        <v>0</v>
      </c>
      <c r="AM53" s="732">
        <v>0</v>
      </c>
      <c r="AN53" s="732">
        <v>0</v>
      </c>
      <c r="AO53" s="732">
        <v>0</v>
      </c>
      <c r="AP53" s="732">
        <v>0</v>
      </c>
      <c r="AQ53" s="732">
        <v>0</v>
      </c>
      <c r="AR53" s="732">
        <v>0</v>
      </c>
      <c r="AS53" s="732">
        <v>0</v>
      </c>
      <c r="AT53" s="732">
        <v>0</v>
      </c>
      <c r="AU53" s="732">
        <v>0</v>
      </c>
      <c r="AV53" s="732"/>
      <c r="AW53" s="732">
        <v>5574</v>
      </c>
      <c r="AX53" s="732">
        <v>5574</v>
      </c>
      <c r="AY53" s="732">
        <v>5574</v>
      </c>
      <c r="AZ53" s="732">
        <v>5574</v>
      </c>
      <c r="BA53" s="732">
        <v>5574</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3">
        <v>0</v>
      </c>
      <c r="CA53" s="732"/>
    </row>
    <row r="54" spans="1:79" s="738" customFormat="1" ht="10.199999999999999">
      <c r="A54" s="738" t="s">
        <v>725</v>
      </c>
      <c r="B54" s="734">
        <v>31</v>
      </c>
      <c r="C54" s="735" t="s">
        <v>210</v>
      </c>
      <c r="D54" s="735" t="s">
        <v>504</v>
      </c>
      <c r="E54" s="735" t="s">
        <v>505</v>
      </c>
      <c r="F54" s="735" t="s">
        <v>682</v>
      </c>
      <c r="G54" s="735" t="s">
        <v>504</v>
      </c>
      <c r="H54" s="735" t="s">
        <v>683</v>
      </c>
      <c r="I54" s="735">
        <v>2012</v>
      </c>
      <c r="J54" s="735" t="s">
        <v>1122</v>
      </c>
      <c r="K54" s="735"/>
      <c r="L54" s="735" t="s">
        <v>1123</v>
      </c>
      <c r="M54" s="735" t="s">
        <v>685</v>
      </c>
      <c r="N54" s="736">
        <v>16</v>
      </c>
      <c r="O54" s="736">
        <v>184.7</v>
      </c>
      <c r="P54" s="736">
        <v>1234217</v>
      </c>
      <c r="Q54" s="735"/>
      <c r="R54" s="736">
        <v>0</v>
      </c>
      <c r="S54" s="736">
        <v>184.7</v>
      </c>
      <c r="T54" s="736">
        <v>184.7</v>
      </c>
      <c r="U54" s="736">
        <v>184.7</v>
      </c>
      <c r="V54" s="736">
        <v>184.7</v>
      </c>
      <c r="W54" s="736">
        <v>184.7</v>
      </c>
      <c r="X54" s="736">
        <v>170</v>
      </c>
      <c r="Y54" s="736">
        <v>170</v>
      </c>
      <c r="Z54" s="736">
        <v>170</v>
      </c>
      <c r="AA54" s="736">
        <v>132</v>
      </c>
      <c r="AB54" s="736">
        <v>132</v>
      </c>
      <c r="AC54" s="736">
        <v>132</v>
      </c>
      <c r="AD54" s="736">
        <v>132</v>
      </c>
      <c r="AE54" s="736">
        <v>132</v>
      </c>
      <c r="AF54" s="736">
        <v>132</v>
      </c>
      <c r="AG54" s="736">
        <v>132</v>
      </c>
      <c r="AH54" s="736">
        <v>52</v>
      </c>
      <c r="AI54" s="736">
        <v>52</v>
      </c>
      <c r="AJ54" s="736">
        <v>52</v>
      </c>
      <c r="AK54" s="736">
        <v>52</v>
      </c>
      <c r="AL54" s="736">
        <v>52</v>
      </c>
      <c r="AM54" s="736">
        <v>0</v>
      </c>
      <c r="AN54" s="736">
        <v>0</v>
      </c>
      <c r="AO54" s="736">
        <v>0</v>
      </c>
      <c r="AP54" s="736">
        <v>0</v>
      </c>
      <c r="AQ54" s="736">
        <v>0</v>
      </c>
      <c r="AR54" s="736">
        <v>0</v>
      </c>
      <c r="AS54" s="736">
        <v>0</v>
      </c>
      <c r="AT54" s="736">
        <v>0</v>
      </c>
      <c r="AU54" s="736">
        <v>0</v>
      </c>
      <c r="AV54" s="736"/>
      <c r="AW54" s="736">
        <v>0</v>
      </c>
      <c r="AX54" s="736">
        <v>1234217</v>
      </c>
      <c r="AY54" s="736">
        <v>1234217</v>
      </c>
      <c r="AZ54" s="736">
        <v>1234217</v>
      </c>
      <c r="BA54" s="736">
        <v>1234217</v>
      </c>
      <c r="BB54" s="736">
        <v>1234217</v>
      </c>
      <c r="BC54" s="736">
        <v>1182970</v>
      </c>
      <c r="BD54" s="736">
        <v>1182970</v>
      </c>
      <c r="BE54" s="736">
        <v>1182970</v>
      </c>
      <c r="BF54" s="736">
        <v>841617</v>
      </c>
      <c r="BG54" s="736">
        <v>841617</v>
      </c>
      <c r="BH54" s="736">
        <v>841617</v>
      </c>
      <c r="BI54" s="736">
        <v>841617</v>
      </c>
      <c r="BJ54" s="736">
        <v>841617</v>
      </c>
      <c r="BK54" s="736">
        <v>841617</v>
      </c>
      <c r="BL54" s="736">
        <v>841617</v>
      </c>
      <c r="BM54" s="736">
        <v>379600</v>
      </c>
      <c r="BN54" s="736">
        <v>379600</v>
      </c>
      <c r="BO54" s="736">
        <v>379600</v>
      </c>
      <c r="BP54" s="736">
        <v>379600</v>
      </c>
      <c r="BQ54" s="736">
        <v>379600</v>
      </c>
      <c r="BR54" s="736">
        <v>0</v>
      </c>
      <c r="BS54" s="736">
        <v>0</v>
      </c>
      <c r="BT54" s="736">
        <v>0</v>
      </c>
      <c r="BU54" s="736">
        <v>0</v>
      </c>
      <c r="BV54" s="736">
        <v>0</v>
      </c>
      <c r="BW54" s="736">
        <v>0</v>
      </c>
      <c r="BX54" s="736">
        <v>0</v>
      </c>
      <c r="BY54" s="736">
        <v>0</v>
      </c>
      <c r="BZ54" s="739">
        <v>0</v>
      </c>
      <c r="CA54" s="736"/>
    </row>
    <row r="55" spans="1:79" s="693" customFormat="1" ht="10.199999999999999">
      <c r="B55" s="689">
        <v>32</v>
      </c>
      <c r="C55" s="690" t="s">
        <v>210</v>
      </c>
      <c r="D55" s="690" t="s">
        <v>504</v>
      </c>
      <c r="E55" s="690" t="s">
        <v>505</v>
      </c>
      <c r="F55" s="690" t="s">
        <v>682</v>
      </c>
      <c r="G55" s="690" t="s">
        <v>504</v>
      </c>
      <c r="H55" s="690" t="s">
        <v>683</v>
      </c>
      <c r="I55" s="690">
        <v>2013</v>
      </c>
      <c r="J55" s="690" t="s">
        <v>1122</v>
      </c>
      <c r="K55" s="690"/>
      <c r="L55" s="690" t="s">
        <v>1123</v>
      </c>
      <c r="M55" s="690" t="s">
        <v>685</v>
      </c>
      <c r="N55" s="691">
        <v>4</v>
      </c>
      <c r="O55" s="691">
        <v>5.2</v>
      </c>
      <c r="P55" s="691">
        <v>7515</v>
      </c>
      <c r="Q55" s="690"/>
      <c r="R55" s="691">
        <v>0</v>
      </c>
      <c r="S55" s="691">
        <v>0</v>
      </c>
      <c r="T55" s="691">
        <v>5.2</v>
      </c>
      <c r="U55" s="691">
        <v>5.2</v>
      </c>
      <c r="V55" s="691">
        <v>5.2</v>
      </c>
      <c r="W55" s="691">
        <v>5.2</v>
      </c>
      <c r="X55" s="691">
        <v>5.2</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1">
        <v>0</v>
      </c>
      <c r="AP55" s="691">
        <v>0</v>
      </c>
      <c r="AQ55" s="691">
        <v>0</v>
      </c>
      <c r="AR55" s="691">
        <v>0</v>
      </c>
      <c r="AS55" s="691">
        <v>0</v>
      </c>
      <c r="AT55" s="691">
        <v>0</v>
      </c>
      <c r="AU55" s="691">
        <v>0</v>
      </c>
      <c r="AV55" s="691"/>
      <c r="AW55" s="691">
        <v>0</v>
      </c>
      <c r="AX55" s="691">
        <v>0</v>
      </c>
      <c r="AY55" s="691">
        <v>7515</v>
      </c>
      <c r="AZ55" s="691">
        <v>7515</v>
      </c>
      <c r="BA55" s="691">
        <v>7515</v>
      </c>
      <c r="BB55" s="691">
        <v>7515</v>
      </c>
      <c r="BC55" s="691">
        <v>7515</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1">
        <v>0</v>
      </c>
      <c r="BU55" s="691">
        <v>0</v>
      </c>
      <c r="BV55" s="691">
        <v>0</v>
      </c>
      <c r="BW55" s="691">
        <v>0</v>
      </c>
      <c r="BX55" s="691">
        <v>0</v>
      </c>
      <c r="BY55" s="691">
        <v>0</v>
      </c>
      <c r="BZ55" s="694">
        <v>0</v>
      </c>
      <c r="CA55" s="692"/>
    </row>
    <row r="56" spans="1:79" s="693" customFormat="1" ht="10.199999999999999">
      <c r="B56" s="689">
        <v>33</v>
      </c>
      <c r="C56" s="690" t="s">
        <v>210</v>
      </c>
      <c r="D56" s="690" t="s">
        <v>719</v>
      </c>
      <c r="E56" s="690" t="s">
        <v>720</v>
      </c>
      <c r="F56" s="690" t="s">
        <v>682</v>
      </c>
      <c r="G56" s="690" t="s">
        <v>695</v>
      </c>
      <c r="H56" s="690" t="s">
        <v>683</v>
      </c>
      <c r="I56" s="690">
        <v>2013</v>
      </c>
      <c r="J56" s="690" t="s">
        <v>1122</v>
      </c>
      <c r="K56" s="690"/>
      <c r="L56" s="690" t="s">
        <v>1123</v>
      </c>
      <c r="M56" s="690" t="s">
        <v>685</v>
      </c>
      <c r="N56" s="691">
        <v>1</v>
      </c>
      <c r="O56" s="691"/>
      <c r="P56" s="691"/>
      <c r="Q56" s="690"/>
      <c r="R56" s="691" t="s">
        <v>685</v>
      </c>
      <c r="S56" s="691" t="s">
        <v>685</v>
      </c>
      <c r="T56" s="691">
        <v>82.5</v>
      </c>
      <c r="U56" s="691">
        <v>82.5</v>
      </c>
      <c r="V56" s="691">
        <v>82.5</v>
      </c>
      <c r="W56" s="691">
        <v>82.5</v>
      </c>
      <c r="X56" s="691">
        <v>82.5</v>
      </c>
      <c r="Y56" s="691">
        <v>82.5</v>
      </c>
      <c r="Z56" s="691">
        <v>82.5</v>
      </c>
      <c r="AA56" s="691">
        <v>82.5</v>
      </c>
      <c r="AB56" s="691">
        <v>82.5</v>
      </c>
      <c r="AC56" s="691">
        <v>82.5</v>
      </c>
      <c r="AD56" s="691">
        <v>82.5</v>
      </c>
      <c r="AE56" s="691">
        <v>82.5</v>
      </c>
      <c r="AF56" s="691" t="s">
        <v>685</v>
      </c>
      <c r="AG56" s="691" t="s">
        <v>685</v>
      </c>
      <c r="AH56" s="691" t="s">
        <v>685</v>
      </c>
      <c r="AI56" s="691" t="s">
        <v>685</v>
      </c>
      <c r="AJ56" s="691" t="s">
        <v>685</v>
      </c>
      <c r="AK56" s="691" t="s">
        <v>685</v>
      </c>
      <c r="AL56" s="691" t="s">
        <v>685</v>
      </c>
      <c r="AM56" s="691" t="s">
        <v>685</v>
      </c>
      <c r="AN56" s="691" t="s">
        <v>685</v>
      </c>
      <c r="AO56" s="691" t="s">
        <v>685</v>
      </c>
      <c r="AP56" s="691" t="s">
        <v>685</v>
      </c>
      <c r="AQ56" s="691" t="s">
        <v>685</v>
      </c>
      <c r="AR56" s="691" t="s">
        <v>685</v>
      </c>
      <c r="AS56" s="691" t="s">
        <v>685</v>
      </c>
      <c r="AT56" s="691" t="s">
        <v>685</v>
      </c>
      <c r="AU56" s="691" t="s">
        <v>685</v>
      </c>
      <c r="AV56" s="691"/>
      <c r="AW56" s="691" t="s">
        <v>685</v>
      </c>
      <c r="AX56" s="691" t="s">
        <v>685</v>
      </c>
      <c r="AY56" s="691">
        <v>221916</v>
      </c>
      <c r="AZ56" s="691">
        <v>221916</v>
      </c>
      <c r="BA56" s="691">
        <v>221916</v>
      </c>
      <c r="BB56" s="691">
        <v>221916</v>
      </c>
      <c r="BC56" s="691">
        <v>221916</v>
      </c>
      <c r="BD56" s="691">
        <v>221916</v>
      </c>
      <c r="BE56" s="691">
        <v>221916</v>
      </c>
      <c r="BF56" s="691">
        <v>221916</v>
      </c>
      <c r="BG56" s="691">
        <v>221916</v>
      </c>
      <c r="BH56" s="691">
        <v>221916</v>
      </c>
      <c r="BI56" s="691">
        <v>221916</v>
      </c>
      <c r="BJ56" s="691">
        <v>221916</v>
      </c>
      <c r="BK56" s="691" t="s">
        <v>685</v>
      </c>
      <c r="BL56" s="691" t="s">
        <v>685</v>
      </c>
      <c r="BM56" s="691" t="s">
        <v>685</v>
      </c>
      <c r="BN56" s="691" t="s">
        <v>685</v>
      </c>
      <c r="BO56" s="691" t="s">
        <v>685</v>
      </c>
      <c r="BP56" s="691" t="s">
        <v>685</v>
      </c>
      <c r="BQ56" s="691" t="s">
        <v>685</v>
      </c>
      <c r="BR56" s="691" t="s">
        <v>685</v>
      </c>
      <c r="BS56" s="691" t="s">
        <v>685</v>
      </c>
      <c r="BT56" s="691" t="s">
        <v>685</v>
      </c>
      <c r="BU56" s="691" t="s">
        <v>685</v>
      </c>
      <c r="BV56" s="691" t="s">
        <v>685</v>
      </c>
      <c r="BW56" s="691" t="s">
        <v>685</v>
      </c>
      <c r="BX56" s="691" t="s">
        <v>685</v>
      </c>
      <c r="BY56" s="691" t="s">
        <v>685</v>
      </c>
      <c r="BZ56" s="694" t="s">
        <v>685</v>
      </c>
      <c r="CA56" s="692"/>
    </row>
    <row r="57" spans="1:79" s="693" customFormat="1" ht="10.199999999999999">
      <c r="B57" s="689">
        <v>34</v>
      </c>
      <c r="C57" s="690" t="s">
        <v>210</v>
      </c>
      <c r="D57" s="690" t="s">
        <v>681</v>
      </c>
      <c r="E57" s="690" t="s">
        <v>1</v>
      </c>
      <c r="F57" s="690" t="s">
        <v>682</v>
      </c>
      <c r="G57" s="690" t="s">
        <v>29</v>
      </c>
      <c r="H57" s="690" t="s">
        <v>683</v>
      </c>
      <c r="I57" s="690">
        <v>2013</v>
      </c>
      <c r="J57" s="690" t="s">
        <v>1122</v>
      </c>
      <c r="K57" s="690"/>
      <c r="L57" s="690" t="s">
        <v>1123</v>
      </c>
      <c r="M57" s="690" t="s">
        <v>686</v>
      </c>
      <c r="N57" s="691">
        <v>0.92936729365961701</v>
      </c>
      <c r="O57" s="691">
        <v>0.12246375311211911</v>
      </c>
      <c r="P57" s="691">
        <v>856.48474813021119</v>
      </c>
      <c r="Q57" s="690"/>
      <c r="R57" s="691">
        <v>0</v>
      </c>
      <c r="S57" s="691">
        <v>0</v>
      </c>
      <c r="T57" s="691">
        <v>5.8010410174980209E-2</v>
      </c>
      <c r="U57" s="691">
        <v>5.8010410174980209E-2</v>
      </c>
      <c r="V57" s="691">
        <v>5.8010410174980209E-2</v>
      </c>
      <c r="W57" s="691">
        <v>5.8010410174980209E-2</v>
      </c>
      <c r="X57" s="691">
        <v>3.2228470690458297E-2</v>
      </c>
      <c r="Y57" s="691">
        <v>0</v>
      </c>
      <c r="Z57" s="691">
        <v>0</v>
      </c>
      <c r="AA57" s="691">
        <v>0</v>
      </c>
      <c r="AB57" s="691">
        <v>0</v>
      </c>
      <c r="AC57" s="691">
        <v>0</v>
      </c>
      <c r="AD57" s="691">
        <v>0</v>
      </c>
      <c r="AE57" s="691">
        <v>0</v>
      </c>
      <c r="AF57" s="691">
        <v>0</v>
      </c>
      <c r="AG57" s="691">
        <v>0</v>
      </c>
      <c r="AH57" s="691">
        <v>0</v>
      </c>
      <c r="AI57" s="691">
        <v>0</v>
      </c>
      <c r="AJ57" s="691">
        <v>0</v>
      </c>
      <c r="AK57" s="691">
        <v>0</v>
      </c>
      <c r="AL57" s="691">
        <v>0</v>
      </c>
      <c r="AM57" s="691">
        <v>0</v>
      </c>
      <c r="AN57" s="691">
        <v>0</v>
      </c>
      <c r="AO57" s="691">
        <v>0</v>
      </c>
      <c r="AP57" s="691">
        <v>0</v>
      </c>
      <c r="AQ57" s="691">
        <v>0</v>
      </c>
      <c r="AR57" s="691">
        <v>0</v>
      </c>
      <c r="AS57" s="691">
        <v>0</v>
      </c>
      <c r="AT57" s="691">
        <v>0</v>
      </c>
      <c r="AU57" s="691">
        <v>0</v>
      </c>
      <c r="AV57" s="691"/>
      <c r="AW57" s="691">
        <v>0</v>
      </c>
      <c r="AX57" s="691">
        <v>0</v>
      </c>
      <c r="AY57" s="691">
        <v>405.96373965921168</v>
      </c>
      <c r="AZ57" s="691">
        <v>405.96373965921168</v>
      </c>
      <c r="BA57" s="691">
        <v>405.96373965921168</v>
      </c>
      <c r="BB57" s="691">
        <v>405.96373965921168</v>
      </c>
      <c r="BC57" s="691">
        <v>219.287839175626</v>
      </c>
      <c r="BD57" s="691">
        <v>0</v>
      </c>
      <c r="BE57" s="691">
        <v>0</v>
      </c>
      <c r="BF57" s="691">
        <v>0</v>
      </c>
      <c r="BG57" s="691">
        <v>0</v>
      </c>
      <c r="BH57" s="691">
        <v>0</v>
      </c>
      <c r="BI57" s="691">
        <v>0</v>
      </c>
      <c r="BJ57" s="691">
        <v>0</v>
      </c>
      <c r="BK57" s="691">
        <v>0</v>
      </c>
      <c r="BL57" s="691">
        <v>0</v>
      </c>
      <c r="BM57" s="691">
        <v>0</v>
      </c>
      <c r="BN57" s="691">
        <v>0</v>
      </c>
      <c r="BO57" s="691">
        <v>0</v>
      </c>
      <c r="BP57" s="691">
        <v>0</v>
      </c>
      <c r="BQ57" s="691">
        <v>0</v>
      </c>
      <c r="BR57" s="691">
        <v>0</v>
      </c>
      <c r="BS57" s="691">
        <v>0</v>
      </c>
      <c r="BT57" s="691">
        <v>0</v>
      </c>
      <c r="BU57" s="691">
        <v>0</v>
      </c>
      <c r="BV57" s="691">
        <v>0</v>
      </c>
      <c r="BW57" s="691">
        <v>0</v>
      </c>
      <c r="BX57" s="691">
        <v>0</v>
      </c>
      <c r="BY57" s="691">
        <v>0</v>
      </c>
      <c r="BZ57" s="694">
        <v>0</v>
      </c>
      <c r="CA57" s="692"/>
    </row>
    <row r="58" spans="1:79" s="738" customFormat="1" ht="10.199999999999999">
      <c r="A58" s="738" t="s">
        <v>725</v>
      </c>
      <c r="B58" s="734">
        <v>35</v>
      </c>
      <c r="C58" s="735" t="s">
        <v>210</v>
      </c>
      <c r="D58" s="735" t="s">
        <v>681</v>
      </c>
      <c r="E58" s="735" t="s">
        <v>716</v>
      </c>
      <c r="F58" s="735" t="s">
        <v>682</v>
      </c>
      <c r="G58" s="735" t="s">
        <v>29</v>
      </c>
      <c r="H58" s="735" t="s">
        <v>683</v>
      </c>
      <c r="I58" s="735">
        <v>2012</v>
      </c>
      <c r="J58" s="735" t="s">
        <v>1122</v>
      </c>
      <c r="K58" s="735"/>
      <c r="L58" s="735" t="s">
        <v>1129</v>
      </c>
      <c r="M58" s="735" t="s">
        <v>1130</v>
      </c>
      <c r="N58" s="736">
        <v>1.3276675623708813</v>
      </c>
      <c r="O58" s="736">
        <v>0.62550195453503399</v>
      </c>
      <c r="P58" s="736">
        <v>1129.4499000921642</v>
      </c>
      <c r="Q58" s="735"/>
      <c r="R58" s="736">
        <v>0</v>
      </c>
      <c r="S58" s="736">
        <v>0.27099985353769895</v>
      </c>
      <c r="T58" s="736">
        <v>0.27099985353769895</v>
      </c>
      <c r="U58" s="736">
        <v>0.27099985353769895</v>
      </c>
      <c r="V58" s="736">
        <v>0.27099985353769895</v>
      </c>
      <c r="W58" s="736">
        <v>0.27099985353769895</v>
      </c>
      <c r="X58" s="736">
        <v>0.27099985353769895</v>
      </c>
      <c r="Y58" s="736">
        <v>0.27099985353769895</v>
      </c>
      <c r="Z58" s="736">
        <v>0.27099985353769895</v>
      </c>
      <c r="AA58" s="736">
        <v>0.27099985353769895</v>
      </c>
      <c r="AB58" s="736">
        <v>0.27099985353769895</v>
      </c>
      <c r="AC58" s="736">
        <v>0.27099985353769895</v>
      </c>
      <c r="AD58" s="736">
        <v>0.27099985353769895</v>
      </c>
      <c r="AE58" s="736">
        <v>0.27099985353769895</v>
      </c>
      <c r="AF58" s="736">
        <v>0.27099985353769895</v>
      </c>
      <c r="AG58" s="736">
        <v>0.27099985353769895</v>
      </c>
      <c r="AH58" s="736">
        <v>0.27099985353769895</v>
      </c>
      <c r="AI58" s="736">
        <v>0.27099985353769895</v>
      </c>
      <c r="AJ58" s="736">
        <v>0.27099985353769895</v>
      </c>
      <c r="AK58" s="736">
        <v>0.27099985353769895</v>
      </c>
      <c r="AL58" s="736">
        <v>0.23292862160920133</v>
      </c>
      <c r="AM58" s="736">
        <v>0</v>
      </c>
      <c r="AN58" s="736">
        <v>0</v>
      </c>
      <c r="AO58" s="736">
        <v>0</v>
      </c>
      <c r="AP58" s="736">
        <v>0</v>
      </c>
      <c r="AQ58" s="736">
        <v>0</v>
      </c>
      <c r="AR58" s="736">
        <v>0</v>
      </c>
      <c r="AS58" s="736">
        <v>0</v>
      </c>
      <c r="AT58" s="736">
        <v>0</v>
      </c>
      <c r="AU58" s="736">
        <v>0</v>
      </c>
      <c r="AV58" s="736"/>
      <c r="AW58" s="736">
        <v>0</v>
      </c>
      <c r="AX58" s="736">
        <v>550.97838691455615</v>
      </c>
      <c r="AY58" s="736">
        <v>550.97838691455615</v>
      </c>
      <c r="AZ58" s="736">
        <v>550.97838691455615</v>
      </c>
      <c r="BA58" s="736">
        <v>550.97838691455615</v>
      </c>
      <c r="BB58" s="736">
        <v>550.97838691455615</v>
      </c>
      <c r="BC58" s="736">
        <v>550.97838691455615</v>
      </c>
      <c r="BD58" s="736">
        <v>550.97838691455615</v>
      </c>
      <c r="BE58" s="736">
        <v>550.97838691455615</v>
      </c>
      <c r="BF58" s="736">
        <v>550.97838691455615</v>
      </c>
      <c r="BG58" s="736">
        <v>550.97838691455615</v>
      </c>
      <c r="BH58" s="736">
        <v>550.97838691455615</v>
      </c>
      <c r="BI58" s="736">
        <v>550.97838691455615</v>
      </c>
      <c r="BJ58" s="736">
        <v>550.97838691455615</v>
      </c>
      <c r="BK58" s="736">
        <v>550.97838691455615</v>
      </c>
      <c r="BL58" s="736">
        <v>550.97838691455615</v>
      </c>
      <c r="BM58" s="736">
        <v>550.97838691455615</v>
      </c>
      <c r="BN58" s="736">
        <v>550.97838691455615</v>
      </c>
      <c r="BO58" s="736">
        <v>550.97838691455615</v>
      </c>
      <c r="BP58" s="736">
        <v>512.81871516045965</v>
      </c>
      <c r="BQ58" s="736">
        <v>0</v>
      </c>
      <c r="BR58" s="736">
        <v>0</v>
      </c>
      <c r="BS58" s="736">
        <v>0</v>
      </c>
      <c r="BT58" s="736">
        <v>0</v>
      </c>
      <c r="BU58" s="736">
        <v>0</v>
      </c>
      <c r="BV58" s="736">
        <v>0</v>
      </c>
      <c r="BW58" s="736">
        <v>0</v>
      </c>
      <c r="BX58" s="736">
        <v>0</v>
      </c>
      <c r="BY58" s="736">
        <v>0</v>
      </c>
      <c r="BZ58" s="739">
        <v>0</v>
      </c>
      <c r="CA58" s="736"/>
    </row>
    <row r="59" spans="1:79" s="693" customFormat="1" ht="10.199999999999999">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view="pageBreakPreview" topLeftCell="A16" zoomScale="80" zoomScaleNormal="80" zoomScaleSheetLayoutView="80" workbookViewId="0">
      <pane xSplit="5" ySplit="8" topLeftCell="P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6">
      <c r="B21" s="92"/>
    </row>
    <row r="22" spans="2:79" s="686" customFormat="1" ht="40.799999999999997">
      <c r="B22" s="1233"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1233"/>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0.199999999999999">
      <c r="B24" s="689">
        <v>1</v>
      </c>
      <c r="C24" s="690"/>
      <c r="D24" s="690" t="s">
        <v>681</v>
      </c>
      <c r="E24" s="690" t="s">
        <v>1</v>
      </c>
      <c r="F24" s="690"/>
      <c r="G24" s="690"/>
      <c r="H24" s="690"/>
      <c r="I24" s="690">
        <v>2014</v>
      </c>
      <c r="J24" s="690"/>
      <c r="K24" s="690"/>
      <c r="L24" s="690"/>
      <c r="M24" s="690"/>
      <c r="N24" s="690"/>
      <c r="O24" s="690"/>
      <c r="P24" s="690"/>
      <c r="Q24" s="690"/>
      <c r="R24" s="718">
        <v>0</v>
      </c>
      <c r="S24" s="718">
        <v>0</v>
      </c>
      <c r="T24" s="718">
        <v>0</v>
      </c>
      <c r="U24" s="718">
        <v>52.050427569114994</v>
      </c>
      <c r="V24" s="718">
        <v>52.050427569114994</v>
      </c>
      <c r="W24" s="718">
        <v>52.050427569114994</v>
      </c>
      <c r="X24" s="718">
        <v>51.233147486795708</v>
      </c>
      <c r="Y24" s="718">
        <v>32.155466747035739</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718"/>
      <c r="AW24" s="719">
        <v>0</v>
      </c>
      <c r="AX24" s="719">
        <v>0</v>
      </c>
      <c r="AY24" s="719">
        <v>0</v>
      </c>
      <c r="AZ24" s="719">
        <v>347036.98416063131</v>
      </c>
      <c r="BA24" s="719">
        <v>347036.98416063131</v>
      </c>
      <c r="BB24" s="719">
        <v>347036.98416063131</v>
      </c>
      <c r="BC24" s="719">
        <v>346306.12783437769</v>
      </c>
      <c r="BD24" s="719">
        <v>218798.02783442705</v>
      </c>
      <c r="BE24" s="719">
        <v>0</v>
      </c>
      <c r="BF24" s="719">
        <v>0</v>
      </c>
      <c r="BG24" s="719">
        <v>0</v>
      </c>
      <c r="BH24" s="719">
        <v>0</v>
      </c>
      <c r="BI24" s="719">
        <v>0</v>
      </c>
      <c r="BJ24" s="719">
        <v>0</v>
      </c>
      <c r="BK24" s="719">
        <v>0</v>
      </c>
      <c r="BL24" s="719">
        <v>0</v>
      </c>
      <c r="BM24" s="719">
        <v>0</v>
      </c>
      <c r="BN24" s="719">
        <v>0</v>
      </c>
      <c r="BO24" s="719">
        <v>0</v>
      </c>
      <c r="BP24" s="719">
        <v>0</v>
      </c>
      <c r="BQ24" s="719">
        <v>0</v>
      </c>
      <c r="BR24" s="719">
        <v>0</v>
      </c>
      <c r="BS24" s="719">
        <v>0</v>
      </c>
      <c r="BT24" s="719">
        <v>0</v>
      </c>
      <c r="BU24" s="719">
        <v>0</v>
      </c>
      <c r="BV24" s="719">
        <v>0</v>
      </c>
      <c r="BW24" s="719">
        <v>0</v>
      </c>
      <c r="BX24" s="719">
        <v>0</v>
      </c>
      <c r="BY24" s="719">
        <v>0</v>
      </c>
      <c r="BZ24" s="720">
        <v>0</v>
      </c>
      <c r="CA24" s="705"/>
    </row>
    <row r="25" spans="2:79" s="693" customFormat="1" ht="10.199999999999999">
      <c r="B25" s="689">
        <v>2</v>
      </c>
      <c r="C25" s="690"/>
      <c r="D25" s="690" t="s">
        <v>681</v>
      </c>
      <c r="E25" s="690" t="s">
        <v>2</v>
      </c>
      <c r="F25" s="690"/>
      <c r="G25" s="690"/>
      <c r="H25" s="690"/>
      <c r="I25" s="690">
        <v>2014</v>
      </c>
      <c r="J25" s="690"/>
      <c r="K25" s="690"/>
      <c r="L25" s="690"/>
      <c r="M25" s="690"/>
      <c r="N25" s="690"/>
      <c r="O25" s="690"/>
      <c r="P25" s="690"/>
      <c r="Q25" s="690"/>
      <c r="R25" s="718">
        <v>0</v>
      </c>
      <c r="S25" s="718">
        <v>0</v>
      </c>
      <c r="T25" s="718">
        <v>0</v>
      </c>
      <c r="U25" s="718">
        <v>48.690613274323603</v>
      </c>
      <c r="V25" s="718">
        <v>48.690613274323603</v>
      </c>
      <c r="W25" s="718">
        <v>48.690613274323603</v>
      </c>
      <c r="X25" s="718">
        <v>48.690613274323603</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v>0</v>
      </c>
      <c r="AX25" s="718">
        <v>0</v>
      </c>
      <c r="AY25" s="718">
        <v>0</v>
      </c>
      <c r="AZ25" s="718">
        <v>86818.37132002927</v>
      </c>
      <c r="BA25" s="718">
        <v>86818.37132002927</v>
      </c>
      <c r="BB25" s="718">
        <v>86818.37132002927</v>
      </c>
      <c r="BC25" s="718">
        <v>86818.37132002927</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21">
        <v>0</v>
      </c>
      <c r="CA25" s="705"/>
    </row>
    <row r="26" spans="2:79" s="693" customFormat="1" ht="10.199999999999999">
      <c r="B26" s="689">
        <v>3</v>
      </c>
      <c r="C26" s="690"/>
      <c r="D26" s="690" t="s">
        <v>681</v>
      </c>
      <c r="E26" s="690" t="s">
        <v>716</v>
      </c>
      <c r="F26" s="690"/>
      <c r="G26" s="690"/>
      <c r="H26" s="690"/>
      <c r="I26" s="690">
        <v>2014</v>
      </c>
      <c r="J26" s="690"/>
      <c r="K26" s="690"/>
      <c r="L26" s="690"/>
      <c r="M26" s="690"/>
      <c r="N26" s="690"/>
      <c r="O26" s="690"/>
      <c r="P26" s="690"/>
      <c r="Q26" s="690"/>
      <c r="R26" s="718">
        <v>0</v>
      </c>
      <c r="S26" s="718">
        <v>0</v>
      </c>
      <c r="T26" s="718">
        <v>0</v>
      </c>
      <c r="U26" s="718">
        <v>2097.4796886556105</v>
      </c>
      <c r="V26" s="718">
        <v>2097.4796886556105</v>
      </c>
      <c r="W26" s="718">
        <v>2097.4796886556105</v>
      </c>
      <c r="X26" s="718">
        <v>2097.4796886556105</v>
      </c>
      <c r="Y26" s="718">
        <v>2097.4796886556105</v>
      </c>
      <c r="Z26" s="718">
        <v>2097.4796886556105</v>
      </c>
      <c r="AA26" s="718">
        <v>2097.4796886556105</v>
      </c>
      <c r="AB26" s="718">
        <v>2097.4796886556105</v>
      </c>
      <c r="AC26" s="718">
        <v>2097.4796886556105</v>
      </c>
      <c r="AD26" s="718">
        <v>2097.4796886556105</v>
      </c>
      <c r="AE26" s="718">
        <v>2097.4796886556105</v>
      </c>
      <c r="AF26" s="718">
        <v>2097.4796886556105</v>
      </c>
      <c r="AG26" s="718">
        <v>2097.4796886556105</v>
      </c>
      <c r="AH26" s="718">
        <v>2097.4796886556105</v>
      </c>
      <c r="AI26" s="718">
        <v>2097.4796886556105</v>
      </c>
      <c r="AJ26" s="718">
        <v>2097.4796886556105</v>
      </c>
      <c r="AK26" s="718">
        <v>2097.4796886556105</v>
      </c>
      <c r="AL26" s="718">
        <v>2097.4796886556105</v>
      </c>
      <c r="AM26" s="718">
        <v>1886.9114459728273</v>
      </c>
      <c r="AN26" s="718">
        <v>0</v>
      </c>
      <c r="AO26" s="718">
        <v>0</v>
      </c>
      <c r="AP26" s="718">
        <v>0</v>
      </c>
      <c r="AQ26" s="718">
        <v>0</v>
      </c>
      <c r="AR26" s="718">
        <v>0</v>
      </c>
      <c r="AS26" s="718">
        <v>0</v>
      </c>
      <c r="AT26" s="718">
        <v>0</v>
      </c>
      <c r="AU26" s="718">
        <v>0</v>
      </c>
      <c r="AV26" s="718"/>
      <c r="AW26" s="718">
        <v>0</v>
      </c>
      <c r="AX26" s="718">
        <v>0</v>
      </c>
      <c r="AY26" s="718">
        <v>0</v>
      </c>
      <c r="AZ26" s="718">
        <v>3877284.5183491469</v>
      </c>
      <c r="BA26" s="718">
        <v>3877284.5183491469</v>
      </c>
      <c r="BB26" s="718">
        <v>3877284.5183491469</v>
      </c>
      <c r="BC26" s="718">
        <v>3877284.5183491469</v>
      </c>
      <c r="BD26" s="718">
        <v>3877284.5183491469</v>
      </c>
      <c r="BE26" s="718">
        <v>3877284.5183491469</v>
      </c>
      <c r="BF26" s="718">
        <v>3877284.5183491469</v>
      </c>
      <c r="BG26" s="718">
        <v>3877284.5183491469</v>
      </c>
      <c r="BH26" s="718">
        <v>3877284.5183491469</v>
      </c>
      <c r="BI26" s="718">
        <v>3877284.5183491469</v>
      </c>
      <c r="BJ26" s="718">
        <v>3877284.5183491469</v>
      </c>
      <c r="BK26" s="718">
        <v>3877284.5183491469</v>
      </c>
      <c r="BL26" s="718">
        <v>3877284.5183491469</v>
      </c>
      <c r="BM26" s="718">
        <v>3877284.5183491469</v>
      </c>
      <c r="BN26" s="718">
        <v>3877284.5183491469</v>
      </c>
      <c r="BO26" s="718">
        <v>3877284.5183491469</v>
      </c>
      <c r="BP26" s="718">
        <v>3877284.5183491469</v>
      </c>
      <c r="BQ26" s="718">
        <v>3877284.5183491469</v>
      </c>
      <c r="BR26" s="718">
        <v>3688982.9365505558</v>
      </c>
      <c r="BS26" s="718">
        <v>0</v>
      </c>
      <c r="BT26" s="718">
        <v>0</v>
      </c>
      <c r="BU26" s="718">
        <v>0</v>
      </c>
      <c r="BV26" s="718">
        <v>0</v>
      </c>
      <c r="BW26" s="718">
        <v>0</v>
      </c>
      <c r="BX26" s="718">
        <v>0</v>
      </c>
      <c r="BY26" s="718">
        <v>0</v>
      </c>
      <c r="BZ26" s="721">
        <v>1</v>
      </c>
      <c r="CA26" s="705"/>
    </row>
    <row r="27" spans="2:79" s="693" customFormat="1" ht="10.199999999999999">
      <c r="B27" s="689">
        <v>4</v>
      </c>
      <c r="C27" s="690"/>
      <c r="D27" s="690" t="s">
        <v>681</v>
      </c>
      <c r="E27" s="690" t="s">
        <v>1114</v>
      </c>
      <c r="F27" s="690"/>
      <c r="G27" s="690"/>
      <c r="H27" s="690"/>
      <c r="I27" s="690">
        <v>2014</v>
      </c>
      <c r="J27" s="690"/>
      <c r="K27" s="690"/>
      <c r="L27" s="690"/>
      <c r="M27" s="690"/>
      <c r="N27" s="690"/>
      <c r="O27" s="690"/>
      <c r="P27" s="690"/>
      <c r="Q27" s="690"/>
      <c r="R27" s="718">
        <v>0</v>
      </c>
      <c r="S27" s="718">
        <v>0</v>
      </c>
      <c r="T27" s="718">
        <v>0</v>
      </c>
      <c r="U27" s="718">
        <v>149.7830492247783</v>
      </c>
      <c r="V27" s="718">
        <v>140.77093270471693</v>
      </c>
      <c r="W27" s="718">
        <v>135.9621745599155</v>
      </c>
      <c r="X27" s="718">
        <v>135.9621745599155</v>
      </c>
      <c r="Y27" s="718">
        <v>135.9621745599155</v>
      </c>
      <c r="Z27" s="718">
        <v>135.9621745599155</v>
      </c>
      <c r="AA27" s="718">
        <v>135.9621745599155</v>
      </c>
      <c r="AB27" s="718">
        <v>135.58971427937635</v>
      </c>
      <c r="AC27" s="718">
        <v>135.58971427937635</v>
      </c>
      <c r="AD27" s="718">
        <v>120.29612663130045</v>
      </c>
      <c r="AE27" s="718">
        <v>84.788403617359748</v>
      </c>
      <c r="AF27" s="718">
        <v>84.786386722190343</v>
      </c>
      <c r="AG27" s="718">
        <v>84.786386722190343</v>
      </c>
      <c r="AH27" s="718">
        <v>84.62462440933713</v>
      </c>
      <c r="AI27" s="718">
        <v>84.62462440933713</v>
      </c>
      <c r="AJ27" s="718">
        <v>84.389397186506116</v>
      </c>
      <c r="AK27" s="718">
        <v>36.977901768201441</v>
      </c>
      <c r="AL27" s="718">
        <v>36.977901768201441</v>
      </c>
      <c r="AM27" s="718">
        <v>36.977901768201441</v>
      </c>
      <c r="AN27" s="718">
        <v>36.977901768201441</v>
      </c>
      <c r="AO27" s="718">
        <v>0</v>
      </c>
      <c r="AP27" s="718">
        <v>0</v>
      </c>
      <c r="AQ27" s="718">
        <v>0</v>
      </c>
      <c r="AR27" s="718">
        <v>0</v>
      </c>
      <c r="AS27" s="718">
        <v>0</v>
      </c>
      <c r="AT27" s="718">
        <v>0</v>
      </c>
      <c r="AU27" s="718">
        <v>0</v>
      </c>
      <c r="AV27" s="718"/>
      <c r="AW27" s="718">
        <v>0</v>
      </c>
      <c r="AX27" s="718">
        <v>0</v>
      </c>
      <c r="AY27" s="718">
        <v>0</v>
      </c>
      <c r="AZ27" s="718">
        <v>2017781.4560231124</v>
      </c>
      <c r="BA27" s="718">
        <v>1874706.7758238369</v>
      </c>
      <c r="BB27" s="718">
        <v>1798258.7173874534</v>
      </c>
      <c r="BC27" s="718">
        <v>1798258.7173874534</v>
      </c>
      <c r="BD27" s="718">
        <v>1798258.7173874534</v>
      </c>
      <c r="BE27" s="718">
        <v>1798258.7173874534</v>
      </c>
      <c r="BF27" s="718">
        <v>1798258.7173874534</v>
      </c>
      <c r="BG27" s="718">
        <v>1794995.9653299307</v>
      </c>
      <c r="BH27" s="718">
        <v>1794995.9653299307</v>
      </c>
      <c r="BI27" s="718">
        <v>1549058.2306648239</v>
      </c>
      <c r="BJ27" s="718">
        <v>1369921.197770305</v>
      </c>
      <c r="BK27" s="718">
        <v>1353299.674318528</v>
      </c>
      <c r="BL27" s="718">
        <v>1353299.674318528</v>
      </c>
      <c r="BM27" s="718">
        <v>1345466.0606745514</v>
      </c>
      <c r="BN27" s="718">
        <v>1345466.0606745514</v>
      </c>
      <c r="BO27" s="718">
        <v>1342411.1274906546</v>
      </c>
      <c r="BP27" s="718">
        <v>586129.57895674626</v>
      </c>
      <c r="BQ27" s="718">
        <v>586129.57895674626</v>
      </c>
      <c r="BR27" s="718">
        <v>586129.57895674626</v>
      </c>
      <c r="BS27" s="718">
        <v>586129.57895674626</v>
      </c>
      <c r="BT27" s="718">
        <v>0</v>
      </c>
      <c r="BU27" s="718">
        <v>0</v>
      </c>
      <c r="BV27" s="718">
        <v>0</v>
      </c>
      <c r="BW27" s="718">
        <v>0</v>
      </c>
      <c r="BX27" s="718">
        <v>0</v>
      </c>
      <c r="BY27" s="718">
        <v>0</v>
      </c>
      <c r="BZ27" s="721">
        <v>0</v>
      </c>
      <c r="CA27" s="705"/>
    </row>
    <row r="28" spans="2:79" s="693" customFormat="1" ht="10.199999999999999">
      <c r="B28" s="689">
        <v>5</v>
      </c>
      <c r="C28" s="690"/>
      <c r="D28" s="690"/>
      <c r="E28" s="690"/>
      <c r="F28" s="690"/>
      <c r="G28" s="690"/>
      <c r="H28" s="690"/>
      <c r="I28" s="690">
        <v>2014</v>
      </c>
      <c r="J28" s="690"/>
      <c r="K28" s="690"/>
      <c r="L28" s="690"/>
      <c r="M28" s="690"/>
      <c r="N28" s="690"/>
      <c r="O28" s="690"/>
      <c r="P28" s="690"/>
      <c r="Q28" s="690"/>
      <c r="R28" s="718">
        <v>0</v>
      </c>
      <c r="S28" s="718">
        <v>0</v>
      </c>
      <c r="T28" s="718">
        <v>0</v>
      </c>
      <c r="U28" s="718">
        <v>533.9485917836131</v>
      </c>
      <c r="V28" s="718">
        <v>466.07917083269678</v>
      </c>
      <c r="W28" s="718">
        <v>430.70938656125151</v>
      </c>
      <c r="X28" s="718">
        <v>430.70938656125151</v>
      </c>
      <c r="Y28" s="718">
        <v>430.70938656125151</v>
      </c>
      <c r="Z28" s="718">
        <v>430.70938656125151</v>
      </c>
      <c r="AA28" s="718">
        <v>430.70938656125151</v>
      </c>
      <c r="AB28" s="718">
        <v>430.38725875105553</v>
      </c>
      <c r="AC28" s="718">
        <v>430.38725875105553</v>
      </c>
      <c r="AD28" s="718">
        <v>401.79642822388683</v>
      </c>
      <c r="AE28" s="718">
        <v>365.65942461186955</v>
      </c>
      <c r="AF28" s="718">
        <v>309.74724769080609</v>
      </c>
      <c r="AG28" s="718">
        <v>309.74724769080609</v>
      </c>
      <c r="AH28" s="718">
        <v>308.25675043896433</v>
      </c>
      <c r="AI28" s="718">
        <v>308.25675043896433</v>
      </c>
      <c r="AJ28" s="718">
        <v>307.62711466806206</v>
      </c>
      <c r="AK28" s="718">
        <v>250.08063363056041</v>
      </c>
      <c r="AL28" s="718">
        <v>250.08063363056041</v>
      </c>
      <c r="AM28" s="718">
        <v>250.08063363056041</v>
      </c>
      <c r="AN28" s="718">
        <v>250.08063363056041</v>
      </c>
      <c r="AO28" s="718">
        <v>0</v>
      </c>
      <c r="AP28" s="718">
        <v>0</v>
      </c>
      <c r="AQ28" s="718">
        <v>0</v>
      </c>
      <c r="AR28" s="718">
        <v>0</v>
      </c>
      <c r="AS28" s="718">
        <v>0</v>
      </c>
      <c r="AT28" s="718">
        <v>0</v>
      </c>
      <c r="AU28" s="718">
        <v>0</v>
      </c>
      <c r="AV28" s="718"/>
      <c r="AW28" s="718">
        <v>0</v>
      </c>
      <c r="AX28" s="718">
        <v>0</v>
      </c>
      <c r="AY28" s="718">
        <v>0</v>
      </c>
      <c r="AZ28" s="718">
        <v>8158700.9921404924</v>
      </c>
      <c r="BA28" s="718">
        <v>7077586.9273347491</v>
      </c>
      <c r="BB28" s="718">
        <v>6514170.1380172307</v>
      </c>
      <c r="BC28" s="718">
        <v>6514170.1380172307</v>
      </c>
      <c r="BD28" s="718">
        <v>6514170.1380172307</v>
      </c>
      <c r="BE28" s="718">
        <v>6514170.1380172307</v>
      </c>
      <c r="BF28" s="718">
        <v>6514170.1380172307</v>
      </c>
      <c r="BG28" s="718">
        <v>6511348.2983999141</v>
      </c>
      <c r="BH28" s="718">
        <v>6511348.2983999141</v>
      </c>
      <c r="BI28" s="718">
        <v>6055915.6665265122</v>
      </c>
      <c r="BJ28" s="718">
        <v>5887503.2754604323</v>
      </c>
      <c r="BK28" s="718">
        <v>4978521.9942844938</v>
      </c>
      <c r="BL28" s="718">
        <v>4978521.9942844938</v>
      </c>
      <c r="BM28" s="718">
        <v>4907229.9876466012</v>
      </c>
      <c r="BN28" s="718">
        <v>4907229.9876466012</v>
      </c>
      <c r="BO28" s="718">
        <v>4900292.2925153011</v>
      </c>
      <c r="BP28" s="718">
        <v>3983615.6926852535</v>
      </c>
      <c r="BQ28" s="718">
        <v>3983615.6926852535</v>
      </c>
      <c r="BR28" s="718">
        <v>3983615.6926852535</v>
      </c>
      <c r="BS28" s="718">
        <v>3983615.6926852535</v>
      </c>
      <c r="BT28" s="718">
        <v>0</v>
      </c>
      <c r="BU28" s="718">
        <v>0</v>
      </c>
      <c r="BV28" s="718">
        <v>0</v>
      </c>
      <c r="BW28" s="718">
        <v>0</v>
      </c>
      <c r="BX28" s="718">
        <v>0</v>
      </c>
      <c r="BY28" s="718">
        <v>0</v>
      </c>
      <c r="BZ28" s="721">
        <v>0</v>
      </c>
      <c r="CA28" s="705"/>
    </row>
    <row r="29" spans="2:79" s="693" customFormat="1" ht="10.199999999999999">
      <c r="B29" s="689">
        <v>6</v>
      </c>
      <c r="C29" s="690"/>
      <c r="D29" s="690" t="s">
        <v>681</v>
      </c>
      <c r="E29" s="690" t="s">
        <v>24</v>
      </c>
      <c r="F29" s="690"/>
      <c r="G29" s="690"/>
      <c r="H29" s="690"/>
      <c r="I29" s="690">
        <v>2014</v>
      </c>
      <c r="J29" s="690"/>
      <c r="K29" s="690"/>
      <c r="L29" s="690"/>
      <c r="M29" s="690"/>
      <c r="N29" s="690"/>
      <c r="O29" s="690"/>
      <c r="P29" s="690"/>
      <c r="Q29" s="690"/>
      <c r="R29" s="718">
        <v>0</v>
      </c>
      <c r="S29" s="718">
        <v>0</v>
      </c>
      <c r="T29" s="718">
        <v>0</v>
      </c>
      <c r="U29" s="718">
        <v>9.4345505785720594</v>
      </c>
      <c r="V29" s="718">
        <v>9.4345505785720594</v>
      </c>
      <c r="W29" s="718">
        <v>9.4345505785720594</v>
      </c>
      <c r="X29" s="718">
        <v>9.4345505785720594</v>
      </c>
      <c r="Y29" s="718">
        <v>9.4345505785720594</v>
      </c>
      <c r="Z29" s="718">
        <v>9.4345505785720594</v>
      </c>
      <c r="AA29" s="718">
        <v>9.4345505785720594</v>
      </c>
      <c r="AB29" s="718">
        <v>9.4345505785720594</v>
      </c>
      <c r="AC29" s="718">
        <v>9.4345505785720594</v>
      </c>
      <c r="AD29" s="718">
        <v>9.4345505785720594</v>
      </c>
      <c r="AE29" s="718">
        <v>9.4345505785720594</v>
      </c>
      <c r="AF29" s="718">
        <v>9.4345505785720594</v>
      </c>
      <c r="AG29" s="718">
        <v>6.8785057720133009</v>
      </c>
      <c r="AH29" s="718">
        <v>6.8785057720133009</v>
      </c>
      <c r="AI29" s="718">
        <v>6.8785057720133009</v>
      </c>
      <c r="AJ29" s="718">
        <v>6.8785057720133009</v>
      </c>
      <c r="AK29" s="718">
        <v>6.8785057720133009</v>
      </c>
      <c r="AL29" s="718">
        <v>6.8785057720133009</v>
      </c>
      <c r="AM29" s="718">
        <v>6.8785057720133009</v>
      </c>
      <c r="AN29" s="718">
        <v>6.8785057720133009</v>
      </c>
      <c r="AO29" s="718">
        <v>6.8785057720133009</v>
      </c>
      <c r="AP29" s="718">
        <v>6.8785057720133009</v>
      </c>
      <c r="AQ29" s="718">
        <v>6.8785057720133009</v>
      </c>
      <c r="AR29" s="718">
        <v>6.8785057720133009</v>
      </c>
      <c r="AS29" s="718">
        <v>6.8785057720133009</v>
      </c>
      <c r="AT29" s="718">
        <v>6.8785057720133009</v>
      </c>
      <c r="AU29" s="718">
        <v>6.8785057720133009</v>
      </c>
      <c r="AV29" s="718"/>
      <c r="AW29" s="718">
        <v>0</v>
      </c>
      <c r="AX29" s="718">
        <v>0</v>
      </c>
      <c r="AY29" s="718">
        <v>0</v>
      </c>
      <c r="AZ29" s="718">
        <v>150061.05603907959</v>
      </c>
      <c r="BA29" s="718">
        <v>150061.05603907959</v>
      </c>
      <c r="BB29" s="718">
        <v>150061.05603907959</v>
      </c>
      <c r="BC29" s="718">
        <v>150061.05603907959</v>
      </c>
      <c r="BD29" s="718">
        <v>150061.05603907959</v>
      </c>
      <c r="BE29" s="718">
        <v>150061.05603907959</v>
      </c>
      <c r="BF29" s="718">
        <v>150061.05603907959</v>
      </c>
      <c r="BG29" s="718">
        <v>150061.05603907959</v>
      </c>
      <c r="BH29" s="718">
        <v>150061.05603907959</v>
      </c>
      <c r="BI29" s="718">
        <v>150061.05603907959</v>
      </c>
      <c r="BJ29" s="718">
        <v>150061.05603907959</v>
      </c>
      <c r="BK29" s="718">
        <v>150061.05603907959</v>
      </c>
      <c r="BL29" s="718">
        <v>107285.26801953977</v>
      </c>
      <c r="BM29" s="718">
        <v>107285.26801953977</v>
      </c>
      <c r="BN29" s="718">
        <v>107285.26801953977</v>
      </c>
      <c r="BO29" s="718">
        <v>107285.26801953977</v>
      </c>
      <c r="BP29" s="718">
        <v>107285.26801953977</v>
      </c>
      <c r="BQ29" s="718">
        <v>107285.26801953977</v>
      </c>
      <c r="BR29" s="718">
        <v>107285.26801953977</v>
      </c>
      <c r="BS29" s="718">
        <v>107285.26801953977</v>
      </c>
      <c r="BT29" s="718">
        <v>107285.26801953977</v>
      </c>
      <c r="BU29" s="718">
        <v>107285.26801953977</v>
      </c>
      <c r="BV29" s="718">
        <v>107285.26801953977</v>
      </c>
      <c r="BW29" s="718">
        <v>107285.26801953977</v>
      </c>
      <c r="BX29" s="718">
        <v>107285.26801953977</v>
      </c>
      <c r="BY29" s="718">
        <v>107285.26801953977</v>
      </c>
      <c r="BZ29" s="721">
        <v>107285.26801953977</v>
      </c>
      <c r="CA29" s="705"/>
    </row>
    <row r="30" spans="2:79" s="693" customFormat="1" ht="10.199999999999999">
      <c r="B30" s="689">
        <v>7</v>
      </c>
      <c r="C30" s="690"/>
      <c r="D30" s="690" t="s">
        <v>693</v>
      </c>
      <c r="E30" s="690" t="s">
        <v>22</v>
      </c>
      <c r="F30" s="690"/>
      <c r="G30" s="690"/>
      <c r="H30" s="690"/>
      <c r="I30" s="690">
        <v>2014</v>
      </c>
      <c r="J30" s="690"/>
      <c r="K30" s="690"/>
      <c r="L30" s="690"/>
      <c r="M30" s="690"/>
      <c r="N30" s="690"/>
      <c r="O30" s="690"/>
      <c r="P30" s="690"/>
      <c r="Q30" s="690"/>
      <c r="R30" s="718">
        <v>0</v>
      </c>
      <c r="S30" s="718">
        <v>0</v>
      </c>
      <c r="T30" s="718">
        <v>0</v>
      </c>
      <c r="U30" s="718">
        <v>6546.0030061795987</v>
      </c>
      <c r="V30" s="718">
        <v>6545.2415869042288</v>
      </c>
      <c r="W30" s="718">
        <v>6545.2415869042288</v>
      </c>
      <c r="X30" s="718">
        <v>6433.7638180459526</v>
      </c>
      <c r="Y30" s="718">
        <v>6433.7638180459526</v>
      </c>
      <c r="Z30" s="718">
        <v>6433.7638180459526</v>
      </c>
      <c r="AA30" s="718">
        <v>6190.1881759207909</v>
      </c>
      <c r="AB30" s="718">
        <v>6190.1881759207909</v>
      </c>
      <c r="AC30" s="718">
        <v>5880.4653932920355</v>
      </c>
      <c r="AD30" s="718">
        <v>4848.5606842145971</v>
      </c>
      <c r="AE30" s="718">
        <v>3758.5976328130096</v>
      </c>
      <c r="AF30" s="718">
        <v>3664.2450177404103</v>
      </c>
      <c r="AG30" s="718">
        <v>2210.7586405524848</v>
      </c>
      <c r="AH30" s="718">
        <v>2207.3230251502346</v>
      </c>
      <c r="AI30" s="718">
        <v>2207.3230251502346</v>
      </c>
      <c r="AJ30" s="718">
        <v>1778.0051232522765</v>
      </c>
      <c r="AK30" s="718">
        <v>464.66419803043567</v>
      </c>
      <c r="AL30" s="718">
        <v>464.66419803043567</v>
      </c>
      <c r="AM30" s="718">
        <v>464.66419803043567</v>
      </c>
      <c r="AN30" s="718">
        <v>464.66419803043567</v>
      </c>
      <c r="AO30" s="718">
        <v>0</v>
      </c>
      <c r="AP30" s="718">
        <v>0</v>
      </c>
      <c r="AQ30" s="718">
        <v>0</v>
      </c>
      <c r="AR30" s="718">
        <v>0</v>
      </c>
      <c r="AS30" s="718">
        <v>0</v>
      </c>
      <c r="AT30" s="718">
        <v>0</v>
      </c>
      <c r="AU30" s="718">
        <v>0</v>
      </c>
      <c r="AV30" s="718"/>
      <c r="AW30" s="718">
        <v>0</v>
      </c>
      <c r="AX30" s="718">
        <v>0</v>
      </c>
      <c r="AY30" s="718">
        <v>0</v>
      </c>
      <c r="AZ30" s="718">
        <v>43902734.594283737</v>
      </c>
      <c r="BA30" s="718">
        <v>43900082.198972739</v>
      </c>
      <c r="BB30" s="718">
        <v>43900082.198972739</v>
      </c>
      <c r="BC30" s="718">
        <v>43507635.427374281</v>
      </c>
      <c r="BD30" s="718">
        <v>43507635.427374281</v>
      </c>
      <c r="BE30" s="718">
        <v>43507635.427374281</v>
      </c>
      <c r="BF30" s="718">
        <v>41962233.701938249</v>
      </c>
      <c r="BG30" s="718">
        <v>41962233.701938249</v>
      </c>
      <c r="BH30" s="718">
        <v>40321102.050443739</v>
      </c>
      <c r="BI30" s="718">
        <v>33509881.417418275</v>
      </c>
      <c r="BJ30" s="718">
        <v>26297459.884957258</v>
      </c>
      <c r="BK30" s="718">
        <v>25370301.778938841</v>
      </c>
      <c r="BL30" s="718">
        <v>15675912.814891469</v>
      </c>
      <c r="BM30" s="718">
        <v>15663944.888049973</v>
      </c>
      <c r="BN30" s="718">
        <v>15663944.888049973</v>
      </c>
      <c r="BO30" s="718">
        <v>12405526.52132548</v>
      </c>
      <c r="BP30" s="718">
        <v>1075927.5912082589</v>
      </c>
      <c r="BQ30" s="718">
        <v>1075927.5912082589</v>
      </c>
      <c r="BR30" s="718">
        <v>1075927.5912082589</v>
      </c>
      <c r="BS30" s="718">
        <v>1075927.5912082589</v>
      </c>
      <c r="BT30" s="718">
        <v>0</v>
      </c>
      <c r="BU30" s="718">
        <v>0</v>
      </c>
      <c r="BV30" s="718">
        <v>0</v>
      </c>
      <c r="BW30" s="718">
        <v>0</v>
      </c>
      <c r="BX30" s="718">
        <v>0</v>
      </c>
      <c r="BY30" s="718">
        <v>0</v>
      </c>
      <c r="BZ30" s="721">
        <v>0</v>
      </c>
      <c r="CA30" s="705"/>
    </row>
    <row r="31" spans="2:79" s="693" customFormat="1" ht="10.199999999999999">
      <c r="B31" s="689">
        <v>8</v>
      </c>
      <c r="C31" s="690"/>
      <c r="D31" s="690" t="s">
        <v>693</v>
      </c>
      <c r="E31" s="690" t="s">
        <v>1115</v>
      </c>
      <c r="F31" s="690"/>
      <c r="G31" s="690"/>
      <c r="H31" s="690"/>
      <c r="I31" s="690">
        <v>2014</v>
      </c>
      <c r="J31" s="690"/>
      <c r="K31" s="690"/>
      <c r="L31" s="690"/>
      <c r="M31" s="690"/>
      <c r="N31" s="690"/>
      <c r="O31" s="690"/>
      <c r="P31" s="690"/>
      <c r="Q31" s="690"/>
      <c r="R31" s="718">
        <v>0</v>
      </c>
      <c r="S31" s="718">
        <v>0</v>
      </c>
      <c r="T31" s="718">
        <v>0</v>
      </c>
      <c r="U31" s="718">
        <v>2609.2714792499332</v>
      </c>
      <c r="V31" s="718">
        <v>2556.333917970142</v>
      </c>
      <c r="W31" s="718">
        <v>2429.3302230663262</v>
      </c>
      <c r="X31" s="718">
        <v>1560.5574203414417</v>
      </c>
      <c r="Y31" s="718">
        <v>1560.5574203414417</v>
      </c>
      <c r="Z31" s="718">
        <v>1560.5574203414417</v>
      </c>
      <c r="AA31" s="718">
        <v>1560.5574203414417</v>
      </c>
      <c r="AB31" s="718">
        <v>1559.9869160952985</v>
      </c>
      <c r="AC31" s="718">
        <v>1559.9869160952985</v>
      </c>
      <c r="AD31" s="718">
        <v>1559.9869160952985</v>
      </c>
      <c r="AE31" s="718">
        <v>1535.6044599287534</v>
      </c>
      <c r="AF31" s="718">
        <v>455.21126475494623</v>
      </c>
      <c r="AG31" s="718">
        <v>9.6343432295724742</v>
      </c>
      <c r="AH31" s="718">
        <v>9.6343432295724742</v>
      </c>
      <c r="AI31" s="718">
        <v>9.6343432295724742</v>
      </c>
      <c r="AJ31" s="718">
        <v>0</v>
      </c>
      <c r="AK31" s="718">
        <v>0</v>
      </c>
      <c r="AL31" s="718">
        <v>0</v>
      </c>
      <c r="AM31" s="718">
        <v>0</v>
      </c>
      <c r="AN31" s="718">
        <v>0</v>
      </c>
      <c r="AO31" s="718">
        <v>0</v>
      </c>
      <c r="AP31" s="718">
        <v>0</v>
      </c>
      <c r="AQ31" s="718">
        <v>0</v>
      </c>
      <c r="AR31" s="718">
        <v>0</v>
      </c>
      <c r="AS31" s="718">
        <v>0</v>
      </c>
      <c r="AT31" s="718">
        <v>0</v>
      </c>
      <c r="AU31" s="718">
        <v>0</v>
      </c>
      <c r="AV31" s="718"/>
      <c r="AW31" s="718">
        <v>0</v>
      </c>
      <c r="AX31" s="718">
        <v>0</v>
      </c>
      <c r="AY31" s="718">
        <v>0</v>
      </c>
      <c r="AZ31" s="718">
        <v>9552857.3392674215</v>
      </c>
      <c r="BA31" s="718">
        <v>9343642.7932204176</v>
      </c>
      <c r="BB31" s="718">
        <v>8837067.000298975</v>
      </c>
      <c r="BC31" s="718">
        <v>5978873.4096308798</v>
      </c>
      <c r="BD31" s="718">
        <v>5978873.4096308798</v>
      </c>
      <c r="BE31" s="718">
        <v>5978873.4096308798</v>
      </c>
      <c r="BF31" s="718">
        <v>5978873.4096308798</v>
      </c>
      <c r="BG31" s="718">
        <v>5978303.3119615503</v>
      </c>
      <c r="BH31" s="718">
        <v>5978303.3119615503</v>
      </c>
      <c r="BI31" s="718">
        <v>5978303.3119615503</v>
      </c>
      <c r="BJ31" s="718">
        <v>5753471.8956081187</v>
      </c>
      <c r="BK31" s="718">
        <v>1486042.7711443591</v>
      </c>
      <c r="BL31" s="718">
        <v>9627.477197288923</v>
      </c>
      <c r="BM31" s="718">
        <v>9627.477197288923</v>
      </c>
      <c r="BN31" s="718">
        <v>9627.477197288923</v>
      </c>
      <c r="BO31" s="718">
        <v>0</v>
      </c>
      <c r="BP31" s="718">
        <v>0</v>
      </c>
      <c r="BQ31" s="718">
        <v>0</v>
      </c>
      <c r="BR31" s="718">
        <v>0</v>
      </c>
      <c r="BS31" s="718">
        <v>0</v>
      </c>
      <c r="BT31" s="718">
        <v>0</v>
      </c>
      <c r="BU31" s="718">
        <v>0</v>
      </c>
      <c r="BV31" s="718">
        <v>0</v>
      </c>
      <c r="BW31" s="718">
        <v>0</v>
      </c>
      <c r="BX31" s="718">
        <v>0</v>
      </c>
      <c r="BY31" s="718">
        <v>0</v>
      </c>
      <c r="BZ31" s="721">
        <v>0</v>
      </c>
      <c r="CA31" s="705"/>
    </row>
    <row r="32" spans="2:79" s="693" customFormat="1" ht="10.199999999999999">
      <c r="B32" s="689">
        <v>9</v>
      </c>
      <c r="C32" s="690"/>
      <c r="D32" s="690" t="s">
        <v>693</v>
      </c>
      <c r="E32" s="690" t="s">
        <v>1116</v>
      </c>
      <c r="F32" s="690"/>
      <c r="G32" s="690"/>
      <c r="H32" s="690"/>
      <c r="I32" s="690">
        <v>2014</v>
      </c>
      <c r="J32" s="690"/>
      <c r="K32" s="690"/>
      <c r="L32" s="690"/>
      <c r="M32" s="690"/>
      <c r="N32" s="690"/>
      <c r="O32" s="690"/>
      <c r="P32" s="690"/>
      <c r="Q32" s="690"/>
      <c r="R32" s="718">
        <v>0</v>
      </c>
      <c r="S32" s="718">
        <v>0</v>
      </c>
      <c r="T32" s="718">
        <v>0</v>
      </c>
      <c r="U32" s="718">
        <v>57.587547169811316</v>
      </c>
      <c r="V32" s="718">
        <v>57.587547169811316</v>
      </c>
      <c r="W32" s="718">
        <v>57.587547169811316</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718"/>
      <c r="AW32" s="718">
        <v>0</v>
      </c>
      <c r="AX32" s="718">
        <v>0</v>
      </c>
      <c r="AY32" s="718">
        <v>0</v>
      </c>
      <c r="AZ32" s="718">
        <v>109536.53913711356</v>
      </c>
      <c r="BA32" s="718">
        <v>109536.53913711356</v>
      </c>
      <c r="BB32" s="718">
        <v>109536.53913711356</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21">
        <v>0</v>
      </c>
      <c r="CA32" s="705"/>
    </row>
    <row r="33" spans="2:79" s="693" customFormat="1" ht="10.199999999999999">
      <c r="B33" s="689">
        <v>10</v>
      </c>
      <c r="C33" s="690"/>
      <c r="D33" s="690" t="s">
        <v>693</v>
      </c>
      <c r="E33" s="690" t="s">
        <v>24</v>
      </c>
      <c r="F33" s="690"/>
      <c r="G33" s="690"/>
      <c r="H33" s="690"/>
      <c r="I33" s="690">
        <v>2014</v>
      </c>
      <c r="J33" s="690"/>
      <c r="K33" s="690"/>
      <c r="L33" s="690"/>
      <c r="M33" s="690"/>
      <c r="N33" s="690"/>
      <c r="O33" s="690"/>
      <c r="P33" s="690"/>
      <c r="Q33" s="690"/>
      <c r="R33" s="718">
        <v>0</v>
      </c>
      <c r="S33" s="718">
        <v>0</v>
      </c>
      <c r="T33" s="718">
        <v>0</v>
      </c>
      <c r="U33" s="718">
        <v>2554.5116966428336</v>
      </c>
      <c r="V33" s="718">
        <v>2554.5116966428336</v>
      </c>
      <c r="W33" s="718">
        <v>2554.5116966428336</v>
      </c>
      <c r="X33" s="718">
        <v>2554.5116966428336</v>
      </c>
      <c r="Y33" s="718">
        <v>2554.5116966428336</v>
      </c>
      <c r="Z33" s="718">
        <v>2554.5116966428336</v>
      </c>
      <c r="AA33" s="718">
        <v>2554.5116966428336</v>
      </c>
      <c r="AB33" s="718">
        <v>2554.5116966428336</v>
      </c>
      <c r="AC33" s="718">
        <v>2554.5116966428336</v>
      </c>
      <c r="AD33" s="718">
        <v>2554.5116966428336</v>
      </c>
      <c r="AE33" s="718">
        <v>2554.5116966428336</v>
      </c>
      <c r="AF33" s="718">
        <v>2543.6785847073793</v>
      </c>
      <c r="AG33" s="718">
        <v>2542.371309507379</v>
      </c>
      <c r="AH33" s="718">
        <v>2542.371309507379</v>
      </c>
      <c r="AI33" s="718">
        <v>2516.7741052379974</v>
      </c>
      <c r="AJ33" s="718">
        <v>11.020737654545455</v>
      </c>
      <c r="AK33" s="718">
        <v>11.020737654545455</v>
      </c>
      <c r="AL33" s="718">
        <v>0</v>
      </c>
      <c r="AM33" s="718">
        <v>0</v>
      </c>
      <c r="AN33" s="718">
        <v>0</v>
      </c>
      <c r="AO33" s="718">
        <v>0</v>
      </c>
      <c r="AP33" s="718">
        <v>0</v>
      </c>
      <c r="AQ33" s="718">
        <v>0</v>
      </c>
      <c r="AR33" s="718">
        <v>0</v>
      </c>
      <c r="AS33" s="718">
        <v>0</v>
      </c>
      <c r="AT33" s="718">
        <v>0</v>
      </c>
      <c r="AU33" s="718">
        <v>0</v>
      </c>
      <c r="AV33" s="718"/>
      <c r="AW33" s="718">
        <v>0</v>
      </c>
      <c r="AX33" s="718">
        <v>0</v>
      </c>
      <c r="AY33" s="718">
        <v>0</v>
      </c>
      <c r="AZ33" s="718">
        <v>7971153.7155833421</v>
      </c>
      <c r="BA33" s="718">
        <v>7971153.7155833421</v>
      </c>
      <c r="BB33" s="718">
        <v>7971153.7155833421</v>
      </c>
      <c r="BC33" s="718">
        <v>7971153.7155833421</v>
      </c>
      <c r="BD33" s="718">
        <v>7971153.7155833421</v>
      </c>
      <c r="BE33" s="718">
        <v>7971153.7155833421</v>
      </c>
      <c r="BF33" s="718">
        <v>7971153.7155833421</v>
      </c>
      <c r="BG33" s="718">
        <v>7971153.7155833421</v>
      </c>
      <c r="BH33" s="718">
        <v>7971153.7155833421</v>
      </c>
      <c r="BI33" s="718">
        <v>7971153.7155833421</v>
      </c>
      <c r="BJ33" s="718">
        <v>7971153.7155833421</v>
      </c>
      <c r="BK33" s="718">
        <v>7952310.9555833405</v>
      </c>
      <c r="BL33" s="718">
        <v>7947990.1563833421</v>
      </c>
      <c r="BM33" s="718">
        <v>7947990.1563833421</v>
      </c>
      <c r="BN33" s="718">
        <v>7736654.7195833409</v>
      </c>
      <c r="BO33" s="718">
        <v>83791.799999999988</v>
      </c>
      <c r="BP33" s="718">
        <v>83791.799999999988</v>
      </c>
      <c r="BQ33" s="718">
        <v>0</v>
      </c>
      <c r="BR33" s="718">
        <v>0</v>
      </c>
      <c r="BS33" s="718">
        <v>0</v>
      </c>
      <c r="BT33" s="718">
        <v>0</v>
      </c>
      <c r="BU33" s="718">
        <v>0</v>
      </c>
      <c r="BV33" s="718">
        <v>0</v>
      </c>
      <c r="BW33" s="718">
        <v>0</v>
      </c>
      <c r="BX33" s="718">
        <v>0</v>
      </c>
      <c r="BY33" s="718">
        <v>0</v>
      </c>
      <c r="BZ33" s="721">
        <v>0</v>
      </c>
      <c r="CA33" s="705"/>
    </row>
    <row r="34" spans="2:79" s="693" customFormat="1" ht="10.199999999999999">
      <c r="B34" s="689">
        <v>11</v>
      </c>
      <c r="C34" s="690"/>
      <c r="D34" s="690" t="s">
        <v>693</v>
      </c>
      <c r="E34" s="690" t="s">
        <v>1117</v>
      </c>
      <c r="F34" s="690"/>
      <c r="G34" s="690"/>
      <c r="H34" s="690"/>
      <c r="I34" s="690">
        <v>2014</v>
      </c>
      <c r="J34" s="690"/>
      <c r="K34" s="690"/>
      <c r="L34" s="690"/>
      <c r="M34" s="690"/>
      <c r="N34" s="690"/>
      <c r="O34" s="690"/>
      <c r="P34" s="690"/>
      <c r="Q34" s="690"/>
      <c r="R34" s="718">
        <v>0</v>
      </c>
      <c r="S34" s="718">
        <v>0</v>
      </c>
      <c r="T34" s="718">
        <v>0</v>
      </c>
      <c r="U34" s="718">
        <v>401.00791547459272</v>
      </c>
      <c r="V34" s="718">
        <v>401.00791547459272</v>
      </c>
      <c r="W34" s="718">
        <v>401.00791547459272</v>
      </c>
      <c r="X34" s="718">
        <v>401.00791547459272</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718"/>
      <c r="AW34" s="718">
        <v>0</v>
      </c>
      <c r="AX34" s="718">
        <v>0</v>
      </c>
      <c r="AY34" s="718">
        <v>0</v>
      </c>
      <c r="AZ34" s="718">
        <v>1958207.1016667034</v>
      </c>
      <c r="BA34" s="718">
        <v>1958207.1016667034</v>
      </c>
      <c r="BB34" s="718">
        <v>1958207.1016667034</v>
      </c>
      <c r="BC34" s="718">
        <v>1958207.1016667034</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21">
        <v>0</v>
      </c>
      <c r="CA34" s="705"/>
    </row>
    <row r="35" spans="2:79" s="693" customFormat="1" ht="10.199999999999999">
      <c r="B35" s="689">
        <v>12</v>
      </c>
      <c r="C35" s="690"/>
      <c r="D35" s="690" t="s">
        <v>702</v>
      </c>
      <c r="E35" s="690" t="s">
        <v>1118</v>
      </c>
      <c r="F35" s="690"/>
      <c r="G35" s="690"/>
      <c r="H35" s="690"/>
      <c r="I35" s="690">
        <v>2014</v>
      </c>
      <c r="J35" s="690"/>
      <c r="K35" s="690"/>
      <c r="L35" s="690"/>
      <c r="M35" s="690"/>
      <c r="N35" s="690"/>
      <c r="O35" s="690"/>
      <c r="P35" s="690"/>
      <c r="Q35" s="690"/>
      <c r="R35" s="718">
        <v>0</v>
      </c>
      <c r="S35" s="718">
        <v>0</v>
      </c>
      <c r="T35" s="718">
        <v>0</v>
      </c>
      <c r="U35" s="718">
        <v>221.0560443</v>
      </c>
      <c r="V35" s="718">
        <v>204.6760443</v>
      </c>
      <c r="W35" s="718">
        <v>204.6760443</v>
      </c>
      <c r="X35" s="718">
        <v>204.6760443</v>
      </c>
      <c r="Y35" s="718">
        <v>204.6760443</v>
      </c>
      <c r="Z35" s="718">
        <v>204.6760443</v>
      </c>
      <c r="AA35" s="718">
        <v>204.6760443</v>
      </c>
      <c r="AB35" s="718">
        <v>204.6760443</v>
      </c>
      <c r="AC35" s="718">
        <v>204.6760443</v>
      </c>
      <c r="AD35" s="718">
        <v>204.6760443</v>
      </c>
      <c r="AE35" s="718">
        <v>130.35998430000001</v>
      </c>
      <c r="AF35" s="718">
        <v>66.764798100000007</v>
      </c>
      <c r="AG35" s="718">
        <v>65.06127810000001</v>
      </c>
      <c r="AH35" s="718">
        <v>65.06127810000001</v>
      </c>
      <c r="AI35" s="718">
        <v>59.328278100000006</v>
      </c>
      <c r="AJ35" s="718">
        <v>47.968830000000004</v>
      </c>
      <c r="AK35" s="718">
        <v>47.968830000000004</v>
      </c>
      <c r="AL35" s="718">
        <v>47.968830000000004</v>
      </c>
      <c r="AM35" s="718">
        <v>47.968830000000004</v>
      </c>
      <c r="AN35" s="718">
        <v>47.968830000000004</v>
      </c>
      <c r="AO35" s="718">
        <v>0</v>
      </c>
      <c r="AP35" s="718">
        <v>0</v>
      </c>
      <c r="AQ35" s="718">
        <v>0</v>
      </c>
      <c r="AR35" s="718">
        <v>0</v>
      </c>
      <c r="AS35" s="718">
        <v>0</v>
      </c>
      <c r="AT35" s="718">
        <v>0</v>
      </c>
      <c r="AU35" s="718">
        <v>0</v>
      </c>
      <c r="AV35" s="718"/>
      <c r="AW35" s="718">
        <v>0</v>
      </c>
      <c r="AX35" s="718">
        <v>0</v>
      </c>
      <c r="AY35" s="718">
        <v>0</v>
      </c>
      <c r="AZ35" s="718">
        <v>1183172.15808</v>
      </c>
      <c r="BA35" s="718">
        <v>1183172.15808</v>
      </c>
      <c r="BB35" s="718">
        <v>1183172.15808</v>
      </c>
      <c r="BC35" s="718">
        <v>1183172.15808</v>
      </c>
      <c r="BD35" s="718">
        <v>1183172.15808</v>
      </c>
      <c r="BE35" s="718">
        <v>1183172.15808</v>
      </c>
      <c r="BF35" s="718">
        <v>1183172.15808</v>
      </c>
      <c r="BG35" s="718">
        <v>1183172.15808</v>
      </c>
      <c r="BH35" s="718">
        <v>1183172.15808</v>
      </c>
      <c r="BI35" s="718">
        <v>1183172.15808</v>
      </c>
      <c r="BJ35" s="718">
        <v>814238.97407999996</v>
      </c>
      <c r="BK35" s="718">
        <v>391376.44799999997</v>
      </c>
      <c r="BL35" s="718">
        <v>322485.40799999994</v>
      </c>
      <c r="BM35" s="718">
        <v>322485.40799999994</v>
      </c>
      <c r="BN35" s="718">
        <v>309525.40799999994</v>
      </c>
      <c r="BO35" s="718">
        <v>295779.16799999995</v>
      </c>
      <c r="BP35" s="718">
        <v>295779.16799999995</v>
      </c>
      <c r="BQ35" s="718">
        <v>295779.16799999995</v>
      </c>
      <c r="BR35" s="718">
        <v>295779.16799999995</v>
      </c>
      <c r="BS35" s="718">
        <v>295779.16799999995</v>
      </c>
      <c r="BT35" s="718">
        <v>0</v>
      </c>
      <c r="BU35" s="718">
        <v>0</v>
      </c>
      <c r="BV35" s="718">
        <v>0</v>
      </c>
      <c r="BW35" s="718">
        <v>0</v>
      </c>
      <c r="BX35" s="718">
        <v>0</v>
      </c>
      <c r="BY35" s="718">
        <v>0</v>
      </c>
      <c r="BZ35" s="721">
        <v>0</v>
      </c>
      <c r="CA35" s="705"/>
    </row>
    <row r="36" spans="2:79" s="693" customFormat="1" ht="10.199999999999999">
      <c r="B36" s="689">
        <v>13</v>
      </c>
      <c r="C36" s="690"/>
      <c r="D36" s="690" t="s">
        <v>702</v>
      </c>
      <c r="E36" s="690" t="s">
        <v>1119</v>
      </c>
      <c r="F36" s="690"/>
      <c r="G36" s="690"/>
      <c r="H36" s="690"/>
      <c r="I36" s="690">
        <v>2014</v>
      </c>
      <c r="J36" s="690"/>
      <c r="K36" s="690"/>
      <c r="L36" s="690"/>
      <c r="M36" s="690"/>
      <c r="N36" s="690"/>
      <c r="O36" s="690"/>
      <c r="P36" s="690"/>
      <c r="Q36" s="690"/>
      <c r="R36" s="718">
        <v>0</v>
      </c>
      <c r="S36" s="718">
        <v>0</v>
      </c>
      <c r="T36" s="718">
        <v>0</v>
      </c>
      <c r="U36" s="718">
        <v>0.40131</v>
      </c>
      <c r="V36" s="718">
        <v>0.40131</v>
      </c>
      <c r="W36" s="718">
        <v>0.40131</v>
      </c>
      <c r="X36" s="718">
        <v>0.40131</v>
      </c>
      <c r="Y36" s="718">
        <v>0.40131</v>
      </c>
      <c r="Z36" s="718">
        <v>0.40131</v>
      </c>
      <c r="AA36" s="718">
        <v>0.40131</v>
      </c>
      <c r="AB36" s="718">
        <v>0.40131</v>
      </c>
      <c r="AC36" s="718">
        <v>0.40131</v>
      </c>
      <c r="AD36" s="718">
        <v>0.40131</v>
      </c>
      <c r="AE36" s="718">
        <v>0.40131</v>
      </c>
      <c r="AF36" s="718">
        <v>0.40131</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718"/>
      <c r="AW36" s="718">
        <v>0</v>
      </c>
      <c r="AX36" s="718">
        <v>0</v>
      </c>
      <c r="AY36" s="718">
        <v>0</v>
      </c>
      <c r="AZ36" s="718">
        <v>2008.8</v>
      </c>
      <c r="BA36" s="718">
        <v>2008.8</v>
      </c>
      <c r="BB36" s="718">
        <v>2008.8</v>
      </c>
      <c r="BC36" s="718">
        <v>2008.8</v>
      </c>
      <c r="BD36" s="718">
        <v>2008.8</v>
      </c>
      <c r="BE36" s="718">
        <v>2008.8</v>
      </c>
      <c r="BF36" s="718">
        <v>2008.8</v>
      </c>
      <c r="BG36" s="718">
        <v>2008.8</v>
      </c>
      <c r="BH36" s="718">
        <v>2008.8</v>
      </c>
      <c r="BI36" s="718">
        <v>2008.8</v>
      </c>
      <c r="BJ36" s="718">
        <v>2008.8</v>
      </c>
      <c r="BK36" s="718">
        <v>2008.8</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21">
        <v>0</v>
      </c>
      <c r="CA36" s="705"/>
    </row>
    <row r="37" spans="2:79" s="693" customFormat="1" ht="10.199999999999999">
      <c r="B37" s="689">
        <v>14</v>
      </c>
      <c r="C37" s="690"/>
      <c r="D37" s="690" t="s">
        <v>1120</v>
      </c>
      <c r="E37" s="690" t="s">
        <v>1121</v>
      </c>
      <c r="F37" s="690"/>
      <c r="G37" s="690"/>
      <c r="H37" s="690"/>
      <c r="I37" s="690">
        <v>2014</v>
      </c>
      <c r="J37" s="690"/>
      <c r="K37" s="690"/>
      <c r="L37" s="690"/>
      <c r="M37" s="690"/>
      <c r="N37" s="690"/>
      <c r="O37" s="690"/>
      <c r="P37" s="690"/>
      <c r="Q37" s="690"/>
      <c r="R37" s="718">
        <v>0</v>
      </c>
      <c r="S37" s="718">
        <v>0</v>
      </c>
      <c r="T37" s="718">
        <v>0</v>
      </c>
      <c r="U37" s="718">
        <v>34.3447679085657</v>
      </c>
      <c r="V37" s="718">
        <v>34.278555250028148</v>
      </c>
      <c r="W37" s="718">
        <v>31.873392577748746</v>
      </c>
      <c r="X37" s="718">
        <v>30.935661838622764</v>
      </c>
      <c r="Y37" s="718">
        <v>29.942977347411215</v>
      </c>
      <c r="Z37" s="718">
        <v>29.942977347411215</v>
      </c>
      <c r="AA37" s="718">
        <v>29.483831593766809</v>
      </c>
      <c r="AB37" s="718">
        <v>29.483831593766809</v>
      </c>
      <c r="AC37" s="718">
        <v>19.230608698911965</v>
      </c>
      <c r="AD37" s="718">
        <v>18.804508683271706</v>
      </c>
      <c r="AE37" s="718">
        <v>17.354482571128756</v>
      </c>
      <c r="AF37" s="718">
        <v>17.354482571128756</v>
      </c>
      <c r="AG37" s="718">
        <v>14.711531619075686</v>
      </c>
      <c r="AH37" s="718">
        <v>14.711531619075686</v>
      </c>
      <c r="AI37" s="718">
        <v>3.8327319868840277</v>
      </c>
      <c r="AJ37" s="718">
        <v>3.6813632398843765</v>
      </c>
      <c r="AK37" s="718">
        <v>3.6813632398843765</v>
      </c>
      <c r="AL37" s="718">
        <v>3.6813632398843765</v>
      </c>
      <c r="AM37" s="718">
        <v>3.6813632398843765</v>
      </c>
      <c r="AN37" s="718">
        <v>3.6813632398843765</v>
      </c>
      <c r="AO37" s="718">
        <v>2.0616000294685364</v>
      </c>
      <c r="AP37" s="718">
        <v>0</v>
      </c>
      <c r="AQ37" s="718">
        <v>0</v>
      </c>
      <c r="AR37" s="718">
        <v>0</v>
      </c>
      <c r="AS37" s="718">
        <v>0</v>
      </c>
      <c r="AT37" s="718">
        <v>0</v>
      </c>
      <c r="AU37" s="718">
        <v>0</v>
      </c>
      <c r="AV37" s="718"/>
      <c r="AW37" s="718">
        <v>0</v>
      </c>
      <c r="AX37" s="718">
        <v>0</v>
      </c>
      <c r="AY37" s="718">
        <v>0</v>
      </c>
      <c r="AZ37" s="718">
        <v>433704.48943328857</v>
      </c>
      <c r="BA37" s="718">
        <v>432415.08488082886</v>
      </c>
      <c r="BB37" s="718">
        <v>386153.50380516052</v>
      </c>
      <c r="BC37" s="718">
        <v>368180.33403015137</v>
      </c>
      <c r="BD37" s="718">
        <v>343591.57210159302</v>
      </c>
      <c r="BE37" s="718">
        <v>343591.57210159302</v>
      </c>
      <c r="BF37" s="718">
        <v>334783.46976089478</v>
      </c>
      <c r="BG37" s="718">
        <v>329674.17865753174</v>
      </c>
      <c r="BH37" s="718">
        <v>132538.97710418701</v>
      </c>
      <c r="BI37" s="718">
        <v>132140.97710418701</v>
      </c>
      <c r="BJ37" s="718">
        <v>118773.95974731445</v>
      </c>
      <c r="BK37" s="718">
        <v>118773.95974731445</v>
      </c>
      <c r="BL37" s="718">
        <v>109986.35150146484</v>
      </c>
      <c r="BM37" s="718">
        <v>109986.35150146484</v>
      </c>
      <c r="BN37" s="718">
        <v>20541.351501464844</v>
      </c>
      <c r="BO37" s="718">
        <v>19290.914001464844</v>
      </c>
      <c r="BP37" s="718">
        <v>19290.914001464844</v>
      </c>
      <c r="BQ37" s="718">
        <v>19290.914001464844</v>
      </c>
      <c r="BR37" s="718">
        <v>19290.914001464844</v>
      </c>
      <c r="BS37" s="718">
        <v>19290.914001464844</v>
      </c>
      <c r="BT37" s="718">
        <v>15192</v>
      </c>
      <c r="BU37" s="718">
        <v>0</v>
      </c>
      <c r="BV37" s="718">
        <v>0</v>
      </c>
      <c r="BW37" s="718">
        <v>0</v>
      </c>
      <c r="BX37" s="718">
        <v>0</v>
      </c>
      <c r="BY37" s="718">
        <v>0</v>
      </c>
      <c r="BZ37" s="721">
        <v>0</v>
      </c>
      <c r="CA37" s="705"/>
    </row>
    <row r="38" spans="2:79" s="693" customFormat="1" ht="10.199999999999999">
      <c r="B38" s="689">
        <v>15</v>
      </c>
      <c r="C38" s="690"/>
      <c r="D38" s="690" t="s">
        <v>693</v>
      </c>
      <c r="E38" s="690" t="s">
        <v>110</v>
      </c>
      <c r="F38" s="690"/>
      <c r="G38" s="690"/>
      <c r="H38" s="690"/>
      <c r="I38" s="690">
        <v>2014</v>
      </c>
      <c r="J38" s="690"/>
      <c r="K38" s="690"/>
      <c r="L38" s="690"/>
      <c r="M38" s="690"/>
      <c r="N38" s="690"/>
      <c r="O38" s="690"/>
      <c r="P38" s="690"/>
      <c r="Q38" s="690"/>
      <c r="R38" s="718">
        <v>0</v>
      </c>
      <c r="S38" s="718">
        <v>0</v>
      </c>
      <c r="T38" s="718">
        <v>0</v>
      </c>
      <c r="U38" s="718">
        <v>0</v>
      </c>
      <c r="V38" s="718">
        <v>0</v>
      </c>
      <c r="W38" s="718">
        <v>0</v>
      </c>
      <c r="X38" s="718">
        <v>0</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718"/>
      <c r="AW38" s="718">
        <v>0</v>
      </c>
      <c r="AX38" s="718">
        <v>0</v>
      </c>
      <c r="AY38" s="718">
        <v>0</v>
      </c>
      <c r="AZ38" s="718">
        <v>0</v>
      </c>
      <c r="BA38" s="718">
        <v>0</v>
      </c>
      <c r="BB38" s="718">
        <v>0</v>
      </c>
      <c r="BC38" s="718">
        <v>0</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21">
        <v>0</v>
      </c>
      <c r="CA38" s="705"/>
    </row>
    <row r="39" spans="2:79" s="693" customFormat="1" ht="10.199999999999999">
      <c r="B39" s="689">
        <v>16</v>
      </c>
      <c r="C39" s="690"/>
      <c r="D39" s="690" t="s">
        <v>505</v>
      </c>
      <c r="E39" s="690" t="s">
        <v>505</v>
      </c>
      <c r="F39" s="690"/>
      <c r="G39" s="690"/>
      <c r="H39" s="690"/>
      <c r="I39" s="690"/>
      <c r="J39" s="690"/>
      <c r="K39" s="690"/>
      <c r="L39" s="690"/>
      <c r="M39" s="690"/>
      <c r="N39" s="690"/>
      <c r="O39" s="690"/>
      <c r="P39" s="690"/>
      <c r="Q39" s="690"/>
      <c r="R39" s="718">
        <v>0</v>
      </c>
      <c r="S39" s="718">
        <v>0</v>
      </c>
      <c r="T39" s="718">
        <v>0</v>
      </c>
      <c r="U39" s="718">
        <v>217.48500000000001</v>
      </c>
      <c r="V39" s="718">
        <v>217.48500000000001</v>
      </c>
      <c r="W39" s="718">
        <v>217.48500000000001</v>
      </c>
      <c r="X39" s="718">
        <v>217.48500000000001</v>
      </c>
      <c r="Y39" s="718">
        <v>217.48500000000001</v>
      </c>
      <c r="Z39" s="718">
        <v>12.231</v>
      </c>
      <c r="AA39" s="718">
        <v>12.231</v>
      </c>
      <c r="AB39" s="718">
        <v>12.231</v>
      </c>
      <c r="AC39" s="718">
        <v>12.231</v>
      </c>
      <c r="AD39" s="718">
        <v>12.231</v>
      </c>
      <c r="AE39" s="718">
        <v>12.231</v>
      </c>
      <c r="AF39" s="718">
        <v>12.231</v>
      </c>
      <c r="AG39" s="718">
        <v>12.231</v>
      </c>
      <c r="AH39" s="718">
        <v>12.231</v>
      </c>
      <c r="AI39" s="718">
        <v>12.231</v>
      </c>
      <c r="AJ39" s="718">
        <v>0</v>
      </c>
      <c r="AK39" s="718">
        <v>0</v>
      </c>
      <c r="AL39" s="718">
        <v>0</v>
      </c>
      <c r="AM39" s="718">
        <v>0</v>
      </c>
      <c r="AN39" s="718">
        <v>0</v>
      </c>
      <c r="AO39" s="718">
        <v>0</v>
      </c>
      <c r="AP39" s="718">
        <v>0</v>
      </c>
      <c r="AQ39" s="718">
        <v>0</v>
      </c>
      <c r="AR39" s="718">
        <v>0</v>
      </c>
      <c r="AS39" s="718">
        <v>0</v>
      </c>
      <c r="AT39" s="718">
        <v>0</v>
      </c>
      <c r="AU39" s="718">
        <v>0</v>
      </c>
      <c r="AV39" s="718"/>
      <c r="AW39" s="718">
        <v>0</v>
      </c>
      <c r="AX39" s="718">
        <v>0</v>
      </c>
      <c r="AY39" s="718">
        <v>0</v>
      </c>
      <c r="AZ39" s="718">
        <v>1291513.0563999999</v>
      </c>
      <c r="BA39" s="718">
        <v>1291513.0563999999</v>
      </c>
      <c r="BB39" s="718">
        <v>1291513.0563999999</v>
      </c>
      <c r="BC39" s="718">
        <v>1291513.0563999999</v>
      </c>
      <c r="BD39" s="718">
        <v>1291513.0563999999</v>
      </c>
      <c r="BE39" s="718">
        <v>112075.82399999998</v>
      </c>
      <c r="BF39" s="718">
        <v>112075.82399999998</v>
      </c>
      <c r="BG39" s="718">
        <v>112075.82399999998</v>
      </c>
      <c r="BH39" s="718">
        <v>112075.82399999998</v>
      </c>
      <c r="BI39" s="718">
        <v>112075.82399999998</v>
      </c>
      <c r="BJ39" s="718">
        <v>112075.82399999998</v>
      </c>
      <c r="BK39" s="718">
        <v>112075.82399999998</v>
      </c>
      <c r="BL39" s="718">
        <v>112075.82399999998</v>
      </c>
      <c r="BM39" s="718">
        <v>112075.82399999998</v>
      </c>
      <c r="BN39" s="718">
        <v>112075.82399999998</v>
      </c>
      <c r="BO39" s="718">
        <v>0</v>
      </c>
      <c r="BP39" s="718">
        <v>0</v>
      </c>
      <c r="BQ39" s="718">
        <v>0</v>
      </c>
      <c r="BR39" s="718">
        <v>0</v>
      </c>
      <c r="BS39" s="718">
        <v>0</v>
      </c>
      <c r="BT39" s="718">
        <v>0</v>
      </c>
      <c r="BU39" s="718">
        <v>0</v>
      </c>
      <c r="BV39" s="718">
        <v>0</v>
      </c>
      <c r="BW39" s="718">
        <v>0</v>
      </c>
      <c r="BX39" s="718">
        <v>0</v>
      </c>
      <c r="BY39" s="718">
        <v>0</v>
      </c>
      <c r="BZ39" s="721">
        <v>0</v>
      </c>
      <c r="CA39" s="705"/>
    </row>
    <row r="40" spans="2:79" s="693" customFormat="1" ht="10.199999999999999">
      <c r="B40" s="689">
        <v>17</v>
      </c>
      <c r="C40" s="690"/>
      <c r="D40" s="690"/>
      <c r="E40" s="690"/>
      <c r="F40" s="690"/>
      <c r="G40" s="690"/>
      <c r="H40" s="690"/>
      <c r="I40" s="690"/>
      <c r="J40" s="690"/>
      <c r="K40" s="690"/>
      <c r="L40" s="690"/>
      <c r="M40" s="690"/>
      <c r="N40" s="690"/>
      <c r="O40" s="690"/>
      <c r="P40" s="690"/>
      <c r="Q40" s="690"/>
      <c r="R40" s="718">
        <v>0</v>
      </c>
      <c r="S40" s="718">
        <v>0</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718"/>
      <c r="AW40" s="718">
        <v>0</v>
      </c>
      <c r="AX40" s="718">
        <v>0</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21">
        <v>0</v>
      </c>
      <c r="CA40" s="705"/>
    </row>
    <row r="41" spans="2:79" s="693" customFormat="1" ht="10.199999999999999">
      <c r="B41" s="689">
        <v>18</v>
      </c>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706"/>
      <c r="CA41" s="705"/>
    </row>
    <row r="42" spans="2:79" s="693" customFormat="1" ht="10.199999999999999">
      <c r="B42" s="689">
        <v>19</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706"/>
      <c r="CA42" s="705"/>
    </row>
    <row r="43" spans="2:79" s="693" customFormat="1" ht="10.199999999999999">
      <c r="B43" s="689">
        <v>20</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706"/>
      <c r="CA43" s="705"/>
    </row>
    <row r="44" spans="2:79" s="693" customFormat="1" ht="10.199999999999999">
      <c r="B44" s="689">
        <v>21</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22</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23</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707" t="s">
        <v>494</v>
      </c>
      <c r="C49" s="708"/>
      <c r="D49" s="697"/>
      <c r="E49" s="697"/>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c r="CA49" s="705"/>
    </row>
  </sheetData>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topLeftCell="A19" zoomScale="80" zoomScaleNormal="80" workbookViewId="0">
      <pane xSplit="4" ySplit="5" topLeftCell="AT24" activePane="bottomRight" state="frozen"/>
      <selection activeCell="C28" sqref="C28"/>
      <selection pane="topRight" activeCell="C28" sqref="C28"/>
      <selection pane="bottomLeft" activeCell="C28" sqref="C28"/>
      <selection pane="bottomRight" activeCell="BB27" sqref="BB27"/>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0.799999999999997">
      <c r="B22" s="1233"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1233"/>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8" customFormat="1" ht="10.199999999999999">
      <c r="B24" s="725">
        <v>1</v>
      </c>
      <c r="C24" s="715"/>
      <c r="D24" s="715" t="s">
        <v>95</v>
      </c>
      <c r="E24" s="715"/>
      <c r="F24" s="715"/>
      <c r="G24" s="715"/>
      <c r="H24" s="715"/>
      <c r="I24" s="715"/>
      <c r="J24" s="715"/>
      <c r="K24" s="715"/>
      <c r="L24" s="715"/>
      <c r="M24" s="715"/>
      <c r="N24" s="715"/>
      <c r="O24" s="715"/>
      <c r="P24" s="715"/>
      <c r="Q24" s="715"/>
      <c r="R24" s="715"/>
      <c r="S24" s="715"/>
      <c r="T24" s="715"/>
      <c r="U24" s="715"/>
      <c r="V24" s="782">
        <v>69</v>
      </c>
      <c r="W24" s="782">
        <v>69</v>
      </c>
      <c r="X24" s="782">
        <v>69</v>
      </c>
      <c r="Y24" s="782">
        <v>69</v>
      </c>
      <c r="Z24" s="782">
        <v>69</v>
      </c>
      <c r="AA24" s="782">
        <v>69</v>
      </c>
      <c r="AB24" s="782">
        <v>69</v>
      </c>
      <c r="AC24" s="782">
        <v>69</v>
      </c>
      <c r="AD24" s="782">
        <v>69</v>
      </c>
      <c r="AE24" s="782">
        <v>69</v>
      </c>
      <c r="AF24" s="782">
        <v>56</v>
      </c>
      <c r="AG24" s="782">
        <v>56</v>
      </c>
      <c r="AH24" s="782">
        <v>56</v>
      </c>
      <c r="AI24" s="782">
        <v>56</v>
      </c>
      <c r="AJ24" s="782">
        <v>56</v>
      </c>
      <c r="AK24" s="782">
        <v>56</v>
      </c>
      <c r="AL24" s="782">
        <v>22</v>
      </c>
      <c r="AM24" s="782">
        <v>22</v>
      </c>
      <c r="AN24" s="782">
        <v>22</v>
      </c>
      <c r="AO24" s="782">
        <v>22</v>
      </c>
      <c r="AP24" s="782">
        <v>0</v>
      </c>
      <c r="AQ24" s="782">
        <v>0</v>
      </c>
      <c r="AR24" s="782">
        <v>0</v>
      </c>
      <c r="AS24" s="782">
        <v>0</v>
      </c>
      <c r="AT24" s="782">
        <v>0</v>
      </c>
      <c r="AU24" s="782">
        <v>0</v>
      </c>
      <c r="AV24" s="715"/>
      <c r="AW24" s="715"/>
      <c r="AX24" s="715"/>
      <c r="AY24" s="715"/>
      <c r="AZ24" s="715"/>
      <c r="BA24" s="726">
        <v>1027535</v>
      </c>
      <c r="BB24" s="726">
        <v>1018620</v>
      </c>
      <c r="BC24" s="726">
        <v>1018620</v>
      </c>
      <c r="BD24" s="726">
        <v>1018620</v>
      </c>
      <c r="BE24" s="726">
        <v>1018620</v>
      </c>
      <c r="BF24" s="726">
        <v>1018620</v>
      </c>
      <c r="BG24" s="726">
        <v>1018620</v>
      </c>
      <c r="BH24" s="726">
        <v>1018276</v>
      </c>
      <c r="BI24" s="726">
        <v>1018276</v>
      </c>
      <c r="BJ24" s="726">
        <v>1018276</v>
      </c>
      <c r="BK24" s="726">
        <v>897223</v>
      </c>
      <c r="BL24" s="726">
        <v>892900</v>
      </c>
      <c r="BM24" s="726">
        <v>892900</v>
      </c>
      <c r="BN24" s="726">
        <v>891106</v>
      </c>
      <c r="BO24" s="726">
        <v>891106</v>
      </c>
      <c r="BP24" s="726">
        <v>890669</v>
      </c>
      <c r="BQ24" s="726">
        <v>346273</v>
      </c>
      <c r="BR24" s="726">
        <v>346273</v>
      </c>
      <c r="BS24" s="726">
        <v>346273</v>
      </c>
      <c r="BT24" s="726">
        <v>346273</v>
      </c>
      <c r="BU24" s="726">
        <v>0</v>
      </c>
      <c r="BV24" s="726">
        <v>0</v>
      </c>
      <c r="BW24" s="726">
        <v>0</v>
      </c>
      <c r="BX24" s="726">
        <v>0</v>
      </c>
      <c r="BY24" s="726">
        <v>0</v>
      </c>
      <c r="BZ24" s="726">
        <v>0</v>
      </c>
      <c r="CA24" s="727"/>
    </row>
    <row r="25" spans="2:79" s="728" customFormat="1" ht="10.199999999999999">
      <c r="B25" s="725">
        <v>2</v>
      </c>
      <c r="C25" s="715"/>
      <c r="D25" s="715" t="s">
        <v>96</v>
      </c>
      <c r="E25" s="715"/>
      <c r="F25" s="715"/>
      <c r="G25" s="715"/>
      <c r="H25" s="715"/>
      <c r="I25" s="715"/>
      <c r="J25" s="715"/>
      <c r="K25" s="715"/>
      <c r="L25" s="715"/>
      <c r="M25" s="715"/>
      <c r="N25" s="715"/>
      <c r="O25" s="715"/>
      <c r="P25" s="715"/>
      <c r="Q25" s="715"/>
      <c r="R25" s="715"/>
      <c r="S25" s="715"/>
      <c r="T25" s="715"/>
      <c r="U25" s="715"/>
      <c r="V25" s="726">
        <v>163</v>
      </c>
      <c r="W25" s="726">
        <v>158</v>
      </c>
      <c r="X25" s="726">
        <v>158</v>
      </c>
      <c r="Y25" s="726">
        <v>158</v>
      </c>
      <c r="Z25" s="726">
        <v>158</v>
      </c>
      <c r="AA25" s="726">
        <v>158</v>
      </c>
      <c r="AB25" s="726">
        <v>158</v>
      </c>
      <c r="AC25" s="726">
        <v>158</v>
      </c>
      <c r="AD25" s="726">
        <v>158</v>
      </c>
      <c r="AE25" s="726">
        <v>158</v>
      </c>
      <c r="AF25" s="726">
        <v>118</v>
      </c>
      <c r="AG25" s="726">
        <v>102</v>
      </c>
      <c r="AH25" s="726">
        <v>102</v>
      </c>
      <c r="AI25" s="726">
        <v>102</v>
      </c>
      <c r="AJ25" s="726">
        <v>102</v>
      </c>
      <c r="AK25" s="726">
        <v>102</v>
      </c>
      <c r="AL25" s="726">
        <v>69</v>
      </c>
      <c r="AM25" s="726">
        <v>69</v>
      </c>
      <c r="AN25" s="726">
        <v>69</v>
      </c>
      <c r="AO25" s="726">
        <v>69</v>
      </c>
      <c r="AP25" s="726">
        <v>0</v>
      </c>
      <c r="AQ25" s="726">
        <v>0</v>
      </c>
      <c r="AR25" s="726">
        <v>0</v>
      </c>
      <c r="AS25" s="726">
        <v>0</v>
      </c>
      <c r="AT25" s="726">
        <v>0</v>
      </c>
      <c r="AU25" s="726">
        <v>0</v>
      </c>
      <c r="AV25" s="715"/>
      <c r="AW25" s="715"/>
      <c r="AX25" s="715"/>
      <c r="AY25" s="715"/>
      <c r="AZ25" s="715"/>
      <c r="BA25" s="726">
        <v>2194924</v>
      </c>
      <c r="BB25" s="726">
        <v>2119365</v>
      </c>
      <c r="BC25" s="726">
        <v>2119365</v>
      </c>
      <c r="BD25" s="726">
        <v>2119365</v>
      </c>
      <c r="BE25" s="726">
        <v>2119365</v>
      </c>
      <c r="BF25" s="726">
        <v>2119365</v>
      </c>
      <c r="BG25" s="726">
        <v>2119365</v>
      </c>
      <c r="BH25" s="726">
        <v>2119365</v>
      </c>
      <c r="BI25" s="726">
        <v>2119365</v>
      </c>
      <c r="BJ25" s="726">
        <v>2119365</v>
      </c>
      <c r="BK25" s="726">
        <v>1879773</v>
      </c>
      <c r="BL25" s="726">
        <v>1625033</v>
      </c>
      <c r="BM25" s="726">
        <v>1625033</v>
      </c>
      <c r="BN25" s="726">
        <v>1625033</v>
      </c>
      <c r="BO25" s="726">
        <v>1625033</v>
      </c>
      <c r="BP25" s="726">
        <v>1625033</v>
      </c>
      <c r="BQ25" s="726">
        <v>1094648</v>
      </c>
      <c r="BR25" s="726">
        <v>1094648</v>
      </c>
      <c r="BS25" s="726">
        <v>1094648</v>
      </c>
      <c r="BT25" s="726">
        <v>1094648</v>
      </c>
      <c r="BU25" s="726">
        <v>0</v>
      </c>
      <c r="BV25" s="726">
        <v>0</v>
      </c>
      <c r="BW25" s="726">
        <v>0</v>
      </c>
      <c r="BX25" s="726">
        <v>0</v>
      </c>
      <c r="BY25" s="726">
        <v>0</v>
      </c>
      <c r="BZ25" s="726">
        <v>0</v>
      </c>
      <c r="CA25" s="727"/>
    </row>
    <row r="26" spans="2:79" s="728" customFormat="1" ht="10.199999999999999">
      <c r="B26" s="725">
        <v>3</v>
      </c>
      <c r="C26" s="715"/>
      <c r="D26" s="715" t="s">
        <v>97</v>
      </c>
      <c r="E26" s="715"/>
      <c r="F26" s="715"/>
      <c r="G26" s="715"/>
      <c r="H26" s="715"/>
      <c r="I26" s="715"/>
      <c r="J26" s="715"/>
      <c r="K26" s="715"/>
      <c r="L26" s="715"/>
      <c r="M26" s="715"/>
      <c r="N26" s="715"/>
      <c r="O26" s="715"/>
      <c r="P26" s="715"/>
      <c r="Q26" s="715"/>
      <c r="R26" s="715"/>
      <c r="S26" s="715"/>
      <c r="T26" s="715"/>
      <c r="U26" s="715"/>
      <c r="V26" s="726">
        <v>23</v>
      </c>
      <c r="W26" s="726">
        <v>23</v>
      </c>
      <c r="X26" s="726">
        <v>23</v>
      </c>
      <c r="Y26" s="726">
        <v>22</v>
      </c>
      <c r="Z26" s="726">
        <v>14</v>
      </c>
      <c r="AA26" s="726">
        <v>0</v>
      </c>
      <c r="AB26" s="726">
        <v>0</v>
      </c>
      <c r="AC26" s="726">
        <v>0</v>
      </c>
      <c r="AD26" s="726">
        <v>0</v>
      </c>
      <c r="AE26" s="726">
        <v>0</v>
      </c>
      <c r="AF26" s="726">
        <v>0</v>
      </c>
      <c r="AG26" s="726">
        <v>0</v>
      </c>
      <c r="AH26" s="726">
        <v>0</v>
      </c>
      <c r="AI26" s="726">
        <v>0</v>
      </c>
      <c r="AJ26" s="726">
        <v>0</v>
      </c>
      <c r="AK26" s="726">
        <v>0</v>
      </c>
      <c r="AL26" s="726">
        <v>0</v>
      </c>
      <c r="AM26" s="726">
        <v>0</v>
      </c>
      <c r="AN26" s="726">
        <v>0</v>
      </c>
      <c r="AO26" s="726">
        <v>0</v>
      </c>
      <c r="AP26" s="726">
        <v>0</v>
      </c>
      <c r="AQ26" s="726">
        <v>0</v>
      </c>
      <c r="AR26" s="726">
        <v>0</v>
      </c>
      <c r="AS26" s="726">
        <v>0</v>
      </c>
      <c r="AT26" s="726">
        <v>0</v>
      </c>
      <c r="AU26" s="726">
        <v>0</v>
      </c>
      <c r="AV26" s="715"/>
      <c r="AW26" s="715"/>
      <c r="AX26" s="715"/>
      <c r="AY26" s="715"/>
      <c r="AZ26" s="715"/>
      <c r="BA26" s="726">
        <v>155424</v>
      </c>
      <c r="BB26" s="726">
        <v>155424</v>
      </c>
      <c r="BC26" s="726">
        <v>155424</v>
      </c>
      <c r="BD26" s="726">
        <v>154902</v>
      </c>
      <c r="BE26" s="726">
        <v>94825</v>
      </c>
      <c r="BF26" s="726">
        <v>0</v>
      </c>
      <c r="BG26" s="726">
        <v>0</v>
      </c>
      <c r="BH26" s="726">
        <v>0</v>
      </c>
      <c r="BI26" s="726">
        <v>0</v>
      </c>
      <c r="BJ26" s="726">
        <v>0</v>
      </c>
      <c r="BK26" s="726">
        <v>0</v>
      </c>
      <c r="BL26" s="726">
        <v>0</v>
      </c>
      <c r="BM26" s="726">
        <v>0</v>
      </c>
      <c r="BN26" s="726">
        <v>0</v>
      </c>
      <c r="BO26" s="726">
        <v>0</v>
      </c>
      <c r="BP26" s="726">
        <v>0</v>
      </c>
      <c r="BQ26" s="726">
        <v>0</v>
      </c>
      <c r="BR26" s="726">
        <v>0</v>
      </c>
      <c r="BS26" s="726">
        <v>0</v>
      </c>
      <c r="BT26" s="726">
        <v>0</v>
      </c>
      <c r="BU26" s="726">
        <v>0</v>
      </c>
      <c r="BV26" s="726">
        <v>0</v>
      </c>
      <c r="BW26" s="726">
        <v>0</v>
      </c>
      <c r="BX26" s="726">
        <v>0</v>
      </c>
      <c r="BY26" s="726">
        <v>0</v>
      </c>
      <c r="BZ26" s="726">
        <v>0</v>
      </c>
      <c r="CA26" s="727"/>
    </row>
    <row r="27" spans="2:79" s="728" customFormat="1" ht="10.199999999999999">
      <c r="B27" s="725">
        <v>4</v>
      </c>
      <c r="C27" s="715"/>
      <c r="D27" s="715" t="s">
        <v>721</v>
      </c>
      <c r="E27" s="747"/>
      <c r="F27" s="715"/>
      <c r="G27" s="715"/>
      <c r="H27" s="715"/>
      <c r="I27" s="715"/>
      <c r="J27" s="715"/>
      <c r="K27" s="715"/>
      <c r="L27" s="715"/>
      <c r="M27" s="715"/>
      <c r="N27" s="715"/>
      <c r="O27" s="715"/>
      <c r="P27" s="715"/>
      <c r="Q27" s="715"/>
      <c r="R27" s="715"/>
      <c r="S27" s="715"/>
      <c r="T27" s="715"/>
      <c r="U27" s="715"/>
      <c r="V27" s="726">
        <v>1685</v>
      </c>
      <c r="W27" s="726">
        <v>1685</v>
      </c>
      <c r="X27" s="726">
        <v>1685</v>
      </c>
      <c r="Y27" s="726">
        <v>1685</v>
      </c>
      <c r="Z27" s="726">
        <v>1685</v>
      </c>
      <c r="AA27" s="726">
        <v>1685</v>
      </c>
      <c r="AB27" s="726">
        <v>1685</v>
      </c>
      <c r="AC27" s="726">
        <v>1685</v>
      </c>
      <c r="AD27" s="726">
        <v>1685</v>
      </c>
      <c r="AE27" s="726">
        <v>1685</v>
      </c>
      <c r="AF27" s="726">
        <v>1685</v>
      </c>
      <c r="AG27" s="726">
        <v>1685</v>
      </c>
      <c r="AH27" s="726">
        <v>1685</v>
      </c>
      <c r="AI27" s="726">
        <v>1685</v>
      </c>
      <c r="AJ27" s="726">
        <v>1685</v>
      </c>
      <c r="AK27" s="726">
        <v>1685</v>
      </c>
      <c r="AL27" s="726">
        <v>1685</v>
      </c>
      <c r="AM27" s="726">
        <v>1685</v>
      </c>
      <c r="AN27" s="726">
        <v>1495</v>
      </c>
      <c r="AO27" s="726">
        <v>0</v>
      </c>
      <c r="AP27" s="726">
        <v>0</v>
      </c>
      <c r="AQ27" s="726">
        <v>0</v>
      </c>
      <c r="AR27" s="726">
        <v>0</v>
      </c>
      <c r="AS27" s="726">
        <v>0</v>
      </c>
      <c r="AT27" s="726">
        <v>0</v>
      </c>
      <c r="AU27" s="726">
        <v>0</v>
      </c>
      <c r="AV27" s="715"/>
      <c r="AW27" s="715"/>
      <c r="AX27" s="715"/>
      <c r="AY27" s="715"/>
      <c r="AZ27" s="715"/>
      <c r="BA27" s="726">
        <v>3175791</v>
      </c>
      <c r="BB27" s="726">
        <v>3175791</v>
      </c>
      <c r="BC27" s="726">
        <v>3175791</v>
      </c>
      <c r="BD27" s="726">
        <v>3175791</v>
      </c>
      <c r="BE27" s="726">
        <v>3175791</v>
      </c>
      <c r="BF27" s="726">
        <v>3175791</v>
      </c>
      <c r="BG27" s="726">
        <v>3175791</v>
      </c>
      <c r="BH27" s="726">
        <v>3175791</v>
      </c>
      <c r="BI27" s="726">
        <v>3175791</v>
      </c>
      <c r="BJ27" s="726">
        <v>3175791</v>
      </c>
      <c r="BK27" s="726">
        <v>3175791</v>
      </c>
      <c r="BL27" s="726">
        <v>3175791</v>
      </c>
      <c r="BM27" s="726">
        <v>3175791</v>
      </c>
      <c r="BN27" s="726">
        <v>3175791</v>
      </c>
      <c r="BO27" s="726">
        <v>3175791</v>
      </c>
      <c r="BP27" s="726">
        <v>3175791</v>
      </c>
      <c r="BQ27" s="726">
        <v>3175791</v>
      </c>
      <c r="BR27" s="726">
        <v>3175791</v>
      </c>
      <c r="BS27" s="726">
        <v>3006226</v>
      </c>
      <c r="BT27" s="726">
        <v>0</v>
      </c>
      <c r="BU27" s="726">
        <v>0</v>
      </c>
      <c r="BV27" s="726">
        <v>0</v>
      </c>
      <c r="BW27" s="726">
        <v>0</v>
      </c>
      <c r="BX27" s="726">
        <v>0</v>
      </c>
      <c r="BY27" s="726">
        <v>0</v>
      </c>
      <c r="BZ27" s="726">
        <v>0</v>
      </c>
      <c r="CA27" s="727"/>
    </row>
    <row r="28" spans="2:79" s="728" customFormat="1" ht="10.199999999999999">
      <c r="B28" s="725">
        <v>5</v>
      </c>
      <c r="C28" s="715"/>
      <c r="D28" s="715"/>
      <c r="E28" s="715"/>
      <c r="F28" s="715"/>
      <c r="G28" s="715"/>
      <c r="H28" s="715"/>
      <c r="I28" s="715"/>
      <c r="J28" s="715"/>
      <c r="K28" s="715"/>
      <c r="L28" s="715"/>
      <c r="M28" s="715"/>
      <c r="N28" s="715"/>
      <c r="O28" s="715"/>
      <c r="P28" s="715"/>
      <c r="Q28" s="715"/>
      <c r="R28" s="715"/>
      <c r="S28" s="715"/>
      <c r="T28" s="715"/>
      <c r="U28" s="715"/>
      <c r="V28" s="726">
        <v>21</v>
      </c>
      <c r="W28" s="726">
        <v>21</v>
      </c>
      <c r="X28" s="726">
        <v>21</v>
      </c>
      <c r="Y28" s="726">
        <v>21</v>
      </c>
      <c r="Z28" s="726">
        <v>21</v>
      </c>
      <c r="AA28" s="726">
        <v>21</v>
      </c>
      <c r="AB28" s="726">
        <v>21</v>
      </c>
      <c r="AC28" s="726">
        <v>21</v>
      </c>
      <c r="AD28" s="726">
        <v>21</v>
      </c>
      <c r="AE28" s="726">
        <v>21</v>
      </c>
      <c r="AF28" s="726">
        <v>21</v>
      </c>
      <c r="AG28" s="726">
        <v>21</v>
      </c>
      <c r="AH28" s="726">
        <v>21</v>
      </c>
      <c r="AI28" s="726">
        <v>21</v>
      </c>
      <c r="AJ28" s="726">
        <v>21</v>
      </c>
      <c r="AK28" s="726">
        <v>21</v>
      </c>
      <c r="AL28" s="726">
        <v>21</v>
      </c>
      <c r="AM28" s="726">
        <v>21</v>
      </c>
      <c r="AN28" s="726">
        <v>21</v>
      </c>
      <c r="AO28" s="726">
        <v>21</v>
      </c>
      <c r="AP28" s="726">
        <v>21</v>
      </c>
      <c r="AQ28" s="726">
        <v>21</v>
      </c>
      <c r="AR28" s="726">
        <v>21</v>
      </c>
      <c r="AS28" s="726">
        <v>0</v>
      </c>
      <c r="AT28" s="726">
        <v>0</v>
      </c>
      <c r="AU28" s="726">
        <v>0</v>
      </c>
      <c r="AV28" s="715"/>
      <c r="AW28" s="715"/>
      <c r="AX28" s="715"/>
      <c r="AY28" s="715"/>
      <c r="AZ28" s="715"/>
      <c r="BA28" s="726">
        <v>58971</v>
      </c>
      <c r="BB28" s="726">
        <v>58971</v>
      </c>
      <c r="BC28" s="726">
        <v>58971</v>
      </c>
      <c r="BD28" s="726">
        <v>58971</v>
      </c>
      <c r="BE28" s="726">
        <v>58971</v>
      </c>
      <c r="BF28" s="726">
        <v>58971</v>
      </c>
      <c r="BG28" s="726">
        <v>58971</v>
      </c>
      <c r="BH28" s="726">
        <v>58971</v>
      </c>
      <c r="BI28" s="726">
        <v>58971</v>
      </c>
      <c r="BJ28" s="726">
        <v>58971</v>
      </c>
      <c r="BK28" s="726">
        <v>58971</v>
      </c>
      <c r="BL28" s="726">
        <v>58971</v>
      </c>
      <c r="BM28" s="726">
        <v>58971</v>
      </c>
      <c r="BN28" s="726">
        <v>58971</v>
      </c>
      <c r="BO28" s="726">
        <v>58971</v>
      </c>
      <c r="BP28" s="726">
        <v>58971</v>
      </c>
      <c r="BQ28" s="726">
        <v>58971</v>
      </c>
      <c r="BR28" s="726">
        <v>58971</v>
      </c>
      <c r="BS28" s="726">
        <v>58971</v>
      </c>
      <c r="BT28" s="726">
        <v>58971</v>
      </c>
      <c r="BU28" s="726">
        <v>51586</v>
      </c>
      <c r="BV28" s="726">
        <v>51586</v>
      </c>
      <c r="BW28" s="726">
        <v>51586</v>
      </c>
      <c r="BX28" s="726">
        <v>0</v>
      </c>
      <c r="BY28" s="726">
        <v>0</v>
      </c>
      <c r="BZ28" s="726">
        <v>0</v>
      </c>
      <c r="CA28" s="727"/>
    </row>
    <row r="29" spans="2:79" s="728" customFormat="1" ht="10.199999999999999">
      <c r="B29" s="725">
        <v>6</v>
      </c>
      <c r="C29" s="715"/>
      <c r="D29" s="715" t="s">
        <v>100</v>
      </c>
      <c r="E29" s="715"/>
      <c r="F29" s="715"/>
      <c r="G29" s="715"/>
      <c r="H29" s="715"/>
      <c r="I29" s="715"/>
      <c r="J29" s="715"/>
      <c r="K29" s="715"/>
      <c r="L29" s="715"/>
      <c r="M29" s="715"/>
      <c r="N29" s="715"/>
      <c r="O29" s="715"/>
      <c r="P29" s="715"/>
      <c r="Q29" s="715"/>
      <c r="R29" s="715"/>
      <c r="S29" s="715"/>
      <c r="T29" s="715"/>
      <c r="U29" s="715"/>
      <c r="V29" s="726">
        <v>187</v>
      </c>
      <c r="W29" s="726">
        <v>187</v>
      </c>
      <c r="X29" s="726">
        <v>187</v>
      </c>
      <c r="Y29" s="726">
        <v>187</v>
      </c>
      <c r="Z29" s="726">
        <v>0</v>
      </c>
      <c r="AA29" s="726">
        <v>0</v>
      </c>
      <c r="AB29" s="726">
        <v>0</v>
      </c>
      <c r="AC29" s="726">
        <v>0</v>
      </c>
      <c r="AD29" s="726">
        <v>0</v>
      </c>
      <c r="AE29" s="726">
        <v>0</v>
      </c>
      <c r="AF29" s="726">
        <v>0</v>
      </c>
      <c r="AG29" s="726">
        <v>0</v>
      </c>
      <c r="AH29" s="726">
        <v>0</v>
      </c>
      <c r="AI29" s="726">
        <v>0</v>
      </c>
      <c r="AJ29" s="726">
        <v>0</v>
      </c>
      <c r="AK29" s="726">
        <v>0</v>
      </c>
      <c r="AL29" s="726">
        <v>0</v>
      </c>
      <c r="AM29" s="726">
        <v>0</v>
      </c>
      <c r="AN29" s="726">
        <v>0</v>
      </c>
      <c r="AO29" s="726">
        <v>0</v>
      </c>
      <c r="AP29" s="726">
        <v>0</v>
      </c>
      <c r="AQ29" s="726">
        <v>0</v>
      </c>
      <c r="AR29" s="726">
        <v>0</v>
      </c>
      <c r="AS29" s="726">
        <v>0</v>
      </c>
      <c r="AT29" s="726">
        <v>0</v>
      </c>
      <c r="AU29" s="726">
        <v>0</v>
      </c>
      <c r="AV29" s="715"/>
      <c r="AW29" s="715"/>
      <c r="AX29" s="715"/>
      <c r="AY29" s="715"/>
      <c r="AZ29" s="715"/>
      <c r="BA29" s="726">
        <v>875115</v>
      </c>
      <c r="BB29" s="726">
        <v>875115</v>
      </c>
      <c r="BC29" s="726">
        <v>875115</v>
      </c>
      <c r="BD29" s="726">
        <v>875115</v>
      </c>
      <c r="BE29" s="726">
        <v>0</v>
      </c>
      <c r="BF29" s="726">
        <v>0</v>
      </c>
      <c r="BG29" s="726">
        <v>0</v>
      </c>
      <c r="BH29" s="726">
        <v>0</v>
      </c>
      <c r="BI29" s="726">
        <v>0</v>
      </c>
      <c r="BJ29" s="726">
        <v>0</v>
      </c>
      <c r="BK29" s="726">
        <v>0</v>
      </c>
      <c r="BL29" s="726">
        <v>0</v>
      </c>
      <c r="BM29" s="726">
        <v>0</v>
      </c>
      <c r="BN29" s="726">
        <v>0</v>
      </c>
      <c r="BO29" s="726">
        <v>0</v>
      </c>
      <c r="BP29" s="726">
        <v>0</v>
      </c>
      <c r="BQ29" s="726">
        <v>0</v>
      </c>
      <c r="BR29" s="726">
        <v>0</v>
      </c>
      <c r="BS29" s="726">
        <v>0</v>
      </c>
      <c r="BT29" s="726">
        <v>0</v>
      </c>
      <c r="BU29" s="726">
        <v>0</v>
      </c>
      <c r="BV29" s="726">
        <v>0</v>
      </c>
      <c r="BW29" s="726">
        <v>0</v>
      </c>
      <c r="BX29" s="726">
        <v>0</v>
      </c>
      <c r="BY29" s="726">
        <v>0</v>
      </c>
      <c r="BZ29" s="726">
        <v>0</v>
      </c>
      <c r="CA29" s="727"/>
    </row>
    <row r="30" spans="2:79" s="728" customFormat="1" ht="10.199999999999999">
      <c r="B30" s="725">
        <v>7</v>
      </c>
      <c r="C30" s="715"/>
      <c r="D30" s="715" t="s">
        <v>101</v>
      </c>
      <c r="E30" s="715"/>
      <c r="F30" s="715"/>
      <c r="G30" s="715"/>
      <c r="H30" s="715"/>
      <c r="I30" s="715"/>
      <c r="J30" s="715"/>
      <c r="K30" s="715"/>
      <c r="L30" s="715"/>
      <c r="M30" s="715"/>
      <c r="N30" s="715"/>
      <c r="O30" s="715"/>
      <c r="P30" s="715"/>
      <c r="Q30" s="715"/>
      <c r="R30" s="715"/>
      <c r="S30" s="715"/>
      <c r="T30" s="715"/>
      <c r="U30" s="715"/>
      <c r="V30" s="726">
        <v>6257</v>
      </c>
      <c r="W30" s="726">
        <v>6257</v>
      </c>
      <c r="X30" s="726">
        <v>6218</v>
      </c>
      <c r="Y30" s="726">
        <v>6218</v>
      </c>
      <c r="Z30" s="726">
        <v>6218</v>
      </c>
      <c r="AA30" s="726">
        <v>6218</v>
      </c>
      <c r="AB30" s="726">
        <v>6047</v>
      </c>
      <c r="AC30" s="726">
        <v>6047</v>
      </c>
      <c r="AD30" s="726">
        <v>5859</v>
      </c>
      <c r="AE30" s="726">
        <v>5299</v>
      </c>
      <c r="AF30" s="726">
        <v>3809</v>
      </c>
      <c r="AG30" s="726">
        <v>3726</v>
      </c>
      <c r="AH30" s="726">
        <v>2621</v>
      </c>
      <c r="AI30" s="726">
        <v>2603</v>
      </c>
      <c r="AJ30" s="726">
        <v>2603</v>
      </c>
      <c r="AK30" s="726">
        <v>1866</v>
      </c>
      <c r="AL30" s="726">
        <v>308</v>
      </c>
      <c r="AM30" s="726">
        <v>308</v>
      </c>
      <c r="AN30" s="726">
        <v>308</v>
      </c>
      <c r="AO30" s="726">
        <v>308</v>
      </c>
      <c r="AP30" s="726">
        <v>0</v>
      </c>
      <c r="AQ30" s="726">
        <v>0</v>
      </c>
      <c r="AR30" s="726">
        <v>0</v>
      </c>
      <c r="AS30" s="726">
        <v>0</v>
      </c>
      <c r="AT30" s="726">
        <v>0</v>
      </c>
      <c r="AU30" s="726">
        <v>0</v>
      </c>
      <c r="AV30" s="715"/>
      <c r="AW30" s="715"/>
      <c r="AX30" s="715"/>
      <c r="AY30" s="715"/>
      <c r="AZ30" s="715"/>
      <c r="BA30" s="726">
        <v>51722543</v>
      </c>
      <c r="BB30" s="726">
        <v>51722543</v>
      </c>
      <c r="BC30" s="726">
        <v>51599822</v>
      </c>
      <c r="BD30" s="726">
        <v>51599822</v>
      </c>
      <c r="BE30" s="726">
        <v>51599822</v>
      </c>
      <c r="BF30" s="726">
        <v>51599822</v>
      </c>
      <c r="BG30" s="726">
        <v>50635032</v>
      </c>
      <c r="BH30" s="726">
        <v>50635032</v>
      </c>
      <c r="BI30" s="726">
        <v>49277020</v>
      </c>
      <c r="BJ30" s="726">
        <v>45797398</v>
      </c>
      <c r="BK30" s="726">
        <v>34800889</v>
      </c>
      <c r="BL30" s="726">
        <v>32466175</v>
      </c>
      <c r="BM30" s="726">
        <v>17844990</v>
      </c>
      <c r="BN30" s="726">
        <v>17789612</v>
      </c>
      <c r="BO30" s="726">
        <v>17789612</v>
      </c>
      <c r="BP30" s="726">
        <v>12430736</v>
      </c>
      <c r="BQ30" s="726">
        <v>808201</v>
      </c>
      <c r="BR30" s="726">
        <v>808201</v>
      </c>
      <c r="BS30" s="726">
        <v>808201</v>
      </c>
      <c r="BT30" s="726">
        <v>808201</v>
      </c>
      <c r="BU30" s="726">
        <v>0</v>
      </c>
      <c r="BV30" s="726">
        <v>0</v>
      </c>
      <c r="BW30" s="726">
        <v>0</v>
      </c>
      <c r="BX30" s="726">
        <v>0</v>
      </c>
      <c r="BY30" s="726">
        <v>0</v>
      </c>
      <c r="BZ30" s="726">
        <v>0</v>
      </c>
      <c r="CA30" s="727"/>
    </row>
    <row r="31" spans="2:79" s="728" customFormat="1" ht="10.199999999999999">
      <c r="B31" s="725">
        <v>8</v>
      </c>
      <c r="C31" s="715"/>
      <c r="D31" s="715" t="s">
        <v>102</v>
      </c>
      <c r="E31" s="715"/>
      <c r="F31" s="715"/>
      <c r="G31" s="715"/>
      <c r="H31" s="715"/>
      <c r="I31" s="715"/>
      <c r="J31" s="715"/>
      <c r="K31" s="715"/>
      <c r="L31" s="715"/>
      <c r="M31" s="715"/>
      <c r="N31" s="715"/>
      <c r="O31" s="715"/>
      <c r="P31" s="715"/>
      <c r="Q31" s="715"/>
      <c r="R31" s="715"/>
      <c r="S31" s="715"/>
      <c r="T31" s="715"/>
      <c r="U31" s="715"/>
      <c r="V31" s="726">
        <v>487</v>
      </c>
      <c r="W31" s="726">
        <v>465</v>
      </c>
      <c r="X31" s="726">
        <v>311</v>
      </c>
      <c r="Y31" s="726">
        <v>311</v>
      </c>
      <c r="Z31" s="726">
        <v>311</v>
      </c>
      <c r="AA31" s="726">
        <v>311</v>
      </c>
      <c r="AB31" s="726">
        <v>311</v>
      </c>
      <c r="AC31" s="726">
        <v>311</v>
      </c>
      <c r="AD31" s="726">
        <v>311</v>
      </c>
      <c r="AE31" s="726">
        <v>311</v>
      </c>
      <c r="AF31" s="726">
        <v>306</v>
      </c>
      <c r="AG31" s="726">
        <v>132</v>
      </c>
      <c r="AH31" s="726">
        <v>0</v>
      </c>
      <c r="AI31" s="726">
        <v>0</v>
      </c>
      <c r="AJ31" s="726">
        <v>0</v>
      </c>
      <c r="AK31" s="726">
        <v>0</v>
      </c>
      <c r="AL31" s="726">
        <v>0</v>
      </c>
      <c r="AM31" s="726">
        <v>0</v>
      </c>
      <c r="AN31" s="726">
        <v>0</v>
      </c>
      <c r="AO31" s="726">
        <v>0</v>
      </c>
      <c r="AP31" s="726">
        <v>0</v>
      </c>
      <c r="AQ31" s="726">
        <v>0</v>
      </c>
      <c r="AR31" s="726">
        <v>0</v>
      </c>
      <c r="AS31" s="726">
        <v>0</v>
      </c>
      <c r="AT31" s="726">
        <v>0</v>
      </c>
      <c r="AU31" s="726">
        <v>0</v>
      </c>
      <c r="AV31" s="715"/>
      <c r="AW31" s="715"/>
      <c r="AX31" s="715"/>
      <c r="AY31" s="715"/>
      <c r="AZ31" s="715"/>
      <c r="BA31" s="726">
        <v>2024454</v>
      </c>
      <c r="BB31" s="726">
        <v>1931260</v>
      </c>
      <c r="BC31" s="726">
        <v>1339668</v>
      </c>
      <c r="BD31" s="726">
        <v>1339668</v>
      </c>
      <c r="BE31" s="726">
        <v>1339668</v>
      </c>
      <c r="BF31" s="726">
        <v>1339668</v>
      </c>
      <c r="BG31" s="726">
        <v>1339668</v>
      </c>
      <c r="BH31" s="726">
        <v>1339668</v>
      </c>
      <c r="BI31" s="726">
        <v>1339668</v>
      </c>
      <c r="BJ31" s="726">
        <v>1339668</v>
      </c>
      <c r="BK31" s="726">
        <v>1288435</v>
      </c>
      <c r="BL31" s="726">
        <v>512252</v>
      </c>
      <c r="BM31" s="726">
        <v>0</v>
      </c>
      <c r="BN31" s="726">
        <v>0</v>
      </c>
      <c r="BO31" s="726">
        <v>0</v>
      </c>
      <c r="BP31" s="726">
        <v>0</v>
      </c>
      <c r="BQ31" s="726">
        <v>0</v>
      </c>
      <c r="BR31" s="726">
        <v>0</v>
      </c>
      <c r="BS31" s="726">
        <v>0</v>
      </c>
      <c r="BT31" s="726">
        <v>0</v>
      </c>
      <c r="BU31" s="726">
        <v>0</v>
      </c>
      <c r="BV31" s="726">
        <v>0</v>
      </c>
      <c r="BW31" s="726">
        <v>0</v>
      </c>
      <c r="BX31" s="726">
        <v>0</v>
      </c>
      <c r="BY31" s="726">
        <v>0</v>
      </c>
      <c r="BZ31" s="726">
        <v>0</v>
      </c>
      <c r="CA31" s="727"/>
    </row>
    <row r="32" spans="2:79" s="728" customFormat="1" ht="10.199999999999999">
      <c r="B32" s="725">
        <v>9</v>
      </c>
      <c r="C32" s="715"/>
      <c r="D32" s="715" t="s">
        <v>103</v>
      </c>
      <c r="E32" s="715"/>
      <c r="F32" s="715"/>
      <c r="G32" s="715"/>
      <c r="H32" s="715"/>
      <c r="I32" s="715"/>
      <c r="J32" s="715"/>
      <c r="K32" s="715"/>
      <c r="L32" s="715"/>
      <c r="M32" s="715"/>
      <c r="N32" s="715"/>
      <c r="O32" s="715"/>
      <c r="P32" s="715"/>
      <c r="Q32" s="715"/>
      <c r="R32" s="715"/>
      <c r="S32" s="715"/>
      <c r="T32" s="715"/>
      <c r="U32" s="715"/>
      <c r="V32" s="726">
        <v>316</v>
      </c>
      <c r="W32" s="726">
        <v>316</v>
      </c>
      <c r="X32" s="726">
        <v>316</v>
      </c>
      <c r="Y32" s="726">
        <v>316</v>
      </c>
      <c r="Z32" s="726">
        <v>316</v>
      </c>
      <c r="AA32" s="726">
        <v>316</v>
      </c>
      <c r="AB32" s="726">
        <v>316</v>
      </c>
      <c r="AC32" s="726">
        <v>316</v>
      </c>
      <c r="AD32" s="726">
        <v>315</v>
      </c>
      <c r="AE32" s="726">
        <v>315</v>
      </c>
      <c r="AF32" s="726">
        <v>315</v>
      </c>
      <c r="AG32" s="726">
        <v>315</v>
      </c>
      <c r="AH32" s="726">
        <v>314</v>
      </c>
      <c r="AI32" s="726">
        <v>314</v>
      </c>
      <c r="AJ32" s="726">
        <v>276</v>
      </c>
      <c r="AK32" s="726">
        <v>0</v>
      </c>
      <c r="AL32" s="726">
        <v>0</v>
      </c>
      <c r="AM32" s="726">
        <v>0</v>
      </c>
      <c r="AN32" s="726">
        <v>0</v>
      </c>
      <c r="AO32" s="726">
        <v>0</v>
      </c>
      <c r="AP32" s="726">
        <v>0</v>
      </c>
      <c r="AQ32" s="726">
        <v>0</v>
      </c>
      <c r="AR32" s="726">
        <v>0</v>
      </c>
      <c r="AS32" s="726">
        <v>0</v>
      </c>
      <c r="AT32" s="726">
        <v>0</v>
      </c>
      <c r="AU32" s="726">
        <v>0</v>
      </c>
      <c r="AV32" s="715"/>
      <c r="AW32" s="715"/>
      <c r="AX32" s="715"/>
      <c r="AY32" s="715"/>
      <c r="AZ32" s="715"/>
      <c r="BA32" s="726">
        <v>1437827</v>
      </c>
      <c r="BB32" s="726">
        <v>1437827</v>
      </c>
      <c r="BC32" s="726">
        <v>1437827</v>
      </c>
      <c r="BD32" s="726">
        <v>1437827</v>
      </c>
      <c r="BE32" s="726">
        <v>1437827</v>
      </c>
      <c r="BF32" s="726">
        <v>1437827</v>
      </c>
      <c r="BG32" s="726">
        <v>1437827</v>
      </c>
      <c r="BH32" s="726">
        <v>1437827</v>
      </c>
      <c r="BI32" s="726">
        <v>1434849</v>
      </c>
      <c r="BJ32" s="726">
        <v>1434849</v>
      </c>
      <c r="BK32" s="726">
        <v>1434849</v>
      </c>
      <c r="BL32" s="726">
        <v>1434849</v>
      </c>
      <c r="BM32" s="726">
        <v>1426262</v>
      </c>
      <c r="BN32" s="726">
        <v>1426262</v>
      </c>
      <c r="BO32" s="726">
        <v>1330511</v>
      </c>
      <c r="BP32" s="726">
        <v>0</v>
      </c>
      <c r="BQ32" s="726">
        <v>0</v>
      </c>
      <c r="BR32" s="726">
        <v>0</v>
      </c>
      <c r="BS32" s="726">
        <v>0</v>
      </c>
      <c r="BT32" s="726">
        <v>0</v>
      </c>
      <c r="BU32" s="726">
        <v>0</v>
      </c>
      <c r="BV32" s="726">
        <v>0</v>
      </c>
      <c r="BW32" s="726">
        <v>0</v>
      </c>
      <c r="BX32" s="726">
        <v>0</v>
      </c>
      <c r="BY32" s="726">
        <v>0</v>
      </c>
      <c r="BZ32" s="726">
        <v>0</v>
      </c>
      <c r="CA32" s="727"/>
    </row>
    <row r="33" spans="1:79" s="728" customFormat="1" ht="10.199999999999999">
      <c r="B33" s="725">
        <v>10</v>
      </c>
      <c r="C33" s="715"/>
      <c r="D33" s="715" t="s">
        <v>104</v>
      </c>
      <c r="E33" s="715"/>
      <c r="F33" s="715"/>
      <c r="G33" s="715"/>
      <c r="H33" s="715"/>
      <c r="I33" s="715"/>
      <c r="J33" s="715"/>
      <c r="K33" s="715"/>
      <c r="L33" s="715"/>
      <c r="M33" s="715"/>
      <c r="N33" s="715"/>
      <c r="O33" s="715"/>
      <c r="P33" s="715"/>
      <c r="Q33" s="715"/>
      <c r="R33" s="715"/>
      <c r="S33" s="715"/>
      <c r="T33" s="715"/>
      <c r="U33" s="715"/>
      <c r="V33" s="726">
        <v>0</v>
      </c>
      <c r="W33" s="726">
        <v>0</v>
      </c>
      <c r="X33" s="726">
        <v>0</v>
      </c>
      <c r="Y33" s="726">
        <v>0</v>
      </c>
      <c r="Z33" s="726">
        <v>0</v>
      </c>
      <c r="AA33" s="726">
        <v>0</v>
      </c>
      <c r="AB33" s="726">
        <v>0</v>
      </c>
      <c r="AC33" s="726">
        <v>0</v>
      </c>
      <c r="AD33" s="726">
        <v>0</v>
      </c>
      <c r="AE33" s="726">
        <v>0</v>
      </c>
      <c r="AF33" s="726">
        <v>0</v>
      </c>
      <c r="AG33" s="726">
        <v>0</v>
      </c>
      <c r="AH33" s="726">
        <v>0</v>
      </c>
      <c r="AI33" s="726">
        <v>0</v>
      </c>
      <c r="AJ33" s="726">
        <v>0</v>
      </c>
      <c r="AK33" s="726">
        <v>0</v>
      </c>
      <c r="AL33" s="726">
        <v>0</v>
      </c>
      <c r="AM33" s="726">
        <v>0</v>
      </c>
      <c r="AN33" s="726">
        <v>0</v>
      </c>
      <c r="AO33" s="726">
        <v>0</v>
      </c>
      <c r="AP33" s="726">
        <v>0</v>
      </c>
      <c r="AQ33" s="726">
        <v>0</v>
      </c>
      <c r="AR33" s="726">
        <v>0</v>
      </c>
      <c r="AS33" s="726">
        <v>0</v>
      </c>
      <c r="AT33" s="726">
        <v>0</v>
      </c>
      <c r="AU33" s="726">
        <v>0</v>
      </c>
      <c r="AV33" s="715"/>
      <c r="AW33" s="715"/>
      <c r="AX33" s="715"/>
      <c r="AY33" s="715"/>
      <c r="AZ33" s="715"/>
      <c r="BA33" s="726">
        <v>0</v>
      </c>
      <c r="BB33" s="726">
        <v>0</v>
      </c>
      <c r="BC33" s="726">
        <v>0</v>
      </c>
      <c r="BD33" s="726">
        <v>0</v>
      </c>
      <c r="BE33" s="726">
        <v>0</v>
      </c>
      <c r="BF33" s="726">
        <v>0</v>
      </c>
      <c r="BG33" s="726">
        <v>0</v>
      </c>
      <c r="BH33" s="726">
        <v>0</v>
      </c>
      <c r="BI33" s="726">
        <v>0</v>
      </c>
      <c r="BJ33" s="726">
        <v>0</v>
      </c>
      <c r="BK33" s="726">
        <v>0</v>
      </c>
      <c r="BL33" s="726">
        <v>0</v>
      </c>
      <c r="BM33" s="726">
        <v>0</v>
      </c>
      <c r="BN33" s="726">
        <v>0</v>
      </c>
      <c r="BO33" s="726">
        <v>0</v>
      </c>
      <c r="BP33" s="726">
        <v>0</v>
      </c>
      <c r="BQ33" s="726">
        <v>0</v>
      </c>
      <c r="BR33" s="726">
        <v>0</v>
      </c>
      <c r="BS33" s="726">
        <v>0</v>
      </c>
      <c r="BT33" s="726">
        <v>0</v>
      </c>
      <c r="BU33" s="726">
        <v>0</v>
      </c>
      <c r="BV33" s="726">
        <v>0</v>
      </c>
      <c r="BW33" s="726">
        <v>0</v>
      </c>
      <c r="BX33" s="726">
        <v>0</v>
      </c>
      <c r="BY33" s="726">
        <v>0</v>
      </c>
      <c r="BZ33" s="726">
        <v>0</v>
      </c>
      <c r="CA33" s="727"/>
    </row>
    <row r="34" spans="1:79" s="728" customFormat="1" ht="10.199999999999999">
      <c r="B34" s="725">
        <v>11</v>
      </c>
      <c r="C34" s="715"/>
      <c r="D34" s="715" t="s">
        <v>105</v>
      </c>
      <c r="E34" s="715"/>
      <c r="F34" s="715"/>
      <c r="G34" s="715"/>
      <c r="H34" s="715"/>
      <c r="I34" s="715"/>
      <c r="J34" s="715"/>
      <c r="K34" s="715"/>
      <c r="L34" s="715"/>
      <c r="M34" s="715"/>
      <c r="N34" s="715"/>
      <c r="O34" s="715"/>
      <c r="P34" s="715"/>
      <c r="Q34" s="715"/>
      <c r="R34" s="715"/>
      <c r="S34" s="715"/>
      <c r="T34" s="715"/>
      <c r="U34" s="715"/>
      <c r="V34" s="726">
        <v>0</v>
      </c>
      <c r="W34" s="726">
        <v>0</v>
      </c>
      <c r="X34" s="726">
        <v>0</v>
      </c>
      <c r="Y34" s="726">
        <v>0</v>
      </c>
      <c r="Z34" s="726">
        <v>0</v>
      </c>
      <c r="AA34" s="726">
        <v>0</v>
      </c>
      <c r="AB34" s="726">
        <v>0</v>
      </c>
      <c r="AC34" s="726">
        <v>0</v>
      </c>
      <c r="AD34" s="726">
        <v>0</v>
      </c>
      <c r="AE34" s="726">
        <v>0</v>
      </c>
      <c r="AF34" s="726">
        <v>0</v>
      </c>
      <c r="AG34" s="726">
        <v>0</v>
      </c>
      <c r="AH34" s="726">
        <v>0</v>
      </c>
      <c r="AI34" s="726">
        <v>0</v>
      </c>
      <c r="AJ34" s="726">
        <v>0</v>
      </c>
      <c r="AK34" s="726">
        <v>0</v>
      </c>
      <c r="AL34" s="726">
        <v>0</v>
      </c>
      <c r="AM34" s="726">
        <v>0</v>
      </c>
      <c r="AN34" s="726">
        <v>0</v>
      </c>
      <c r="AO34" s="726">
        <v>0</v>
      </c>
      <c r="AP34" s="726">
        <v>0</v>
      </c>
      <c r="AQ34" s="726">
        <v>0</v>
      </c>
      <c r="AR34" s="726">
        <v>0</v>
      </c>
      <c r="AS34" s="726">
        <v>0</v>
      </c>
      <c r="AT34" s="726">
        <v>0</v>
      </c>
      <c r="AU34" s="726">
        <v>0</v>
      </c>
      <c r="AV34" s="715"/>
      <c r="AW34" s="715"/>
      <c r="AX34" s="715"/>
      <c r="AY34" s="715"/>
      <c r="AZ34" s="715"/>
      <c r="BA34" s="726">
        <v>0</v>
      </c>
      <c r="BB34" s="726">
        <v>0</v>
      </c>
      <c r="BC34" s="726">
        <v>0</v>
      </c>
      <c r="BD34" s="726">
        <v>0</v>
      </c>
      <c r="BE34" s="726">
        <v>0</v>
      </c>
      <c r="BF34" s="726">
        <v>0</v>
      </c>
      <c r="BG34" s="726">
        <v>0</v>
      </c>
      <c r="BH34" s="726">
        <v>0</v>
      </c>
      <c r="BI34" s="726">
        <v>0</v>
      </c>
      <c r="BJ34" s="726">
        <v>0</v>
      </c>
      <c r="BK34" s="726">
        <v>0</v>
      </c>
      <c r="BL34" s="726">
        <v>0</v>
      </c>
      <c r="BM34" s="726">
        <v>0</v>
      </c>
      <c r="BN34" s="726">
        <v>0</v>
      </c>
      <c r="BO34" s="726">
        <v>0</v>
      </c>
      <c r="BP34" s="726">
        <v>0</v>
      </c>
      <c r="BQ34" s="726">
        <v>0</v>
      </c>
      <c r="BR34" s="726">
        <v>0</v>
      </c>
      <c r="BS34" s="726">
        <v>0</v>
      </c>
      <c r="BT34" s="726">
        <v>0</v>
      </c>
      <c r="BU34" s="726">
        <v>0</v>
      </c>
      <c r="BV34" s="726">
        <v>0</v>
      </c>
      <c r="BW34" s="726">
        <v>0</v>
      </c>
      <c r="BX34" s="726">
        <v>0</v>
      </c>
      <c r="BY34" s="726">
        <v>0</v>
      </c>
      <c r="BZ34" s="726">
        <v>0</v>
      </c>
      <c r="CA34" s="727"/>
    </row>
    <row r="35" spans="1:79" s="728" customFormat="1" ht="10.199999999999999">
      <c r="B35" s="725">
        <v>12</v>
      </c>
      <c r="C35" s="715"/>
      <c r="D35" s="715" t="s">
        <v>107</v>
      </c>
      <c r="E35" s="715"/>
      <c r="F35" s="715"/>
      <c r="G35" s="715"/>
      <c r="H35" s="715"/>
      <c r="I35" s="715"/>
      <c r="J35" s="715"/>
      <c r="K35" s="715"/>
      <c r="L35" s="715"/>
      <c r="M35" s="715"/>
      <c r="N35" s="715"/>
      <c r="O35" s="715"/>
      <c r="P35" s="715"/>
      <c r="Q35" s="715"/>
      <c r="R35" s="715"/>
      <c r="S35" s="715"/>
      <c r="T35" s="715"/>
      <c r="U35" s="715"/>
      <c r="V35" s="726">
        <v>274</v>
      </c>
      <c r="W35" s="726">
        <v>220</v>
      </c>
      <c r="X35" s="726">
        <v>200</v>
      </c>
      <c r="Y35" s="726">
        <v>200</v>
      </c>
      <c r="Z35" s="726">
        <v>196</v>
      </c>
      <c r="AA35" s="726">
        <v>175</v>
      </c>
      <c r="AB35" s="726">
        <v>158</v>
      </c>
      <c r="AC35" s="726">
        <v>150</v>
      </c>
      <c r="AD35" s="726">
        <v>138</v>
      </c>
      <c r="AE35" s="726">
        <v>123</v>
      </c>
      <c r="AF35" s="726">
        <v>45</v>
      </c>
      <c r="AG35" s="726">
        <v>21</v>
      </c>
      <c r="AH35" s="726">
        <v>21</v>
      </c>
      <c r="AI35" s="726">
        <v>21</v>
      </c>
      <c r="AJ35" s="726">
        <v>0</v>
      </c>
      <c r="AK35" s="726">
        <v>0</v>
      </c>
      <c r="AL35" s="726">
        <v>0</v>
      </c>
      <c r="AM35" s="726">
        <v>0</v>
      </c>
      <c r="AN35" s="726">
        <v>0</v>
      </c>
      <c r="AO35" s="726">
        <v>0</v>
      </c>
      <c r="AP35" s="726">
        <v>0</v>
      </c>
      <c r="AQ35" s="726">
        <v>0</v>
      </c>
      <c r="AR35" s="726">
        <v>0</v>
      </c>
      <c r="AS35" s="726">
        <v>0</v>
      </c>
      <c r="AT35" s="726">
        <v>0</v>
      </c>
      <c r="AU35" s="726">
        <v>0</v>
      </c>
      <c r="AV35" s="715"/>
      <c r="AW35" s="715"/>
      <c r="AX35" s="715"/>
      <c r="AY35" s="715"/>
      <c r="AZ35" s="715"/>
      <c r="BA35" s="726">
        <v>1293617</v>
      </c>
      <c r="BB35" s="726">
        <v>949437</v>
      </c>
      <c r="BC35" s="726">
        <v>808737</v>
      </c>
      <c r="BD35" s="726">
        <v>808737</v>
      </c>
      <c r="BE35" s="726">
        <v>793295</v>
      </c>
      <c r="BF35" s="726">
        <v>752682</v>
      </c>
      <c r="BG35" s="726">
        <v>643670</v>
      </c>
      <c r="BH35" s="726">
        <v>620972</v>
      </c>
      <c r="BI35" s="726">
        <v>590250</v>
      </c>
      <c r="BJ35" s="726">
        <v>492441</v>
      </c>
      <c r="BK35" s="726">
        <v>199030</v>
      </c>
      <c r="BL35" s="726">
        <v>55120</v>
      </c>
      <c r="BM35" s="726">
        <v>55120</v>
      </c>
      <c r="BN35" s="726">
        <v>55120</v>
      </c>
      <c r="BO35" s="726">
        <v>0</v>
      </c>
      <c r="BP35" s="726">
        <v>0</v>
      </c>
      <c r="BQ35" s="726">
        <v>0</v>
      </c>
      <c r="BR35" s="726">
        <v>0</v>
      </c>
      <c r="BS35" s="726">
        <v>0</v>
      </c>
      <c r="BT35" s="726">
        <v>0</v>
      </c>
      <c r="BU35" s="726">
        <v>0</v>
      </c>
      <c r="BV35" s="726">
        <v>0</v>
      </c>
      <c r="BW35" s="726">
        <v>0</v>
      </c>
      <c r="BX35" s="726">
        <v>0</v>
      </c>
      <c r="BY35" s="726">
        <v>0</v>
      </c>
      <c r="BZ35" s="726">
        <v>0</v>
      </c>
      <c r="CA35" s="727"/>
    </row>
    <row r="36" spans="1:79" s="728" customFormat="1" ht="10.199999999999999">
      <c r="B36" s="725">
        <v>13</v>
      </c>
      <c r="C36" s="715"/>
      <c r="D36" s="715" t="s">
        <v>106</v>
      </c>
      <c r="E36" s="715"/>
      <c r="F36" s="715"/>
      <c r="G36" s="715"/>
      <c r="H36" s="715"/>
      <c r="I36" s="715"/>
      <c r="J36" s="715"/>
      <c r="K36" s="715"/>
      <c r="L36" s="715"/>
      <c r="M36" s="715"/>
      <c r="N36" s="715"/>
      <c r="O36" s="715"/>
      <c r="P36" s="715"/>
      <c r="Q36" s="715"/>
      <c r="R36" s="715"/>
      <c r="S36" s="715"/>
      <c r="T36" s="715"/>
      <c r="U36" s="715"/>
      <c r="V36" s="726">
        <v>0</v>
      </c>
      <c r="W36" s="726">
        <v>0</v>
      </c>
      <c r="X36" s="726">
        <v>0</v>
      </c>
      <c r="Y36" s="726">
        <v>0</v>
      </c>
      <c r="Z36" s="726">
        <v>0</v>
      </c>
      <c r="AA36" s="726">
        <v>0</v>
      </c>
      <c r="AB36" s="726">
        <v>0</v>
      </c>
      <c r="AC36" s="726">
        <v>0</v>
      </c>
      <c r="AD36" s="726">
        <v>0</v>
      </c>
      <c r="AE36" s="726">
        <v>0</v>
      </c>
      <c r="AF36" s="726">
        <v>0</v>
      </c>
      <c r="AG36" s="726">
        <v>0</v>
      </c>
      <c r="AH36" s="726">
        <v>0</v>
      </c>
      <c r="AI36" s="726">
        <v>0</v>
      </c>
      <c r="AJ36" s="726">
        <v>0</v>
      </c>
      <c r="AK36" s="726">
        <v>0</v>
      </c>
      <c r="AL36" s="726">
        <v>0</v>
      </c>
      <c r="AM36" s="726">
        <v>0</v>
      </c>
      <c r="AN36" s="726">
        <v>0</v>
      </c>
      <c r="AO36" s="726">
        <v>0</v>
      </c>
      <c r="AP36" s="726">
        <v>0</v>
      </c>
      <c r="AQ36" s="726">
        <v>0</v>
      </c>
      <c r="AR36" s="726">
        <v>0</v>
      </c>
      <c r="AS36" s="726">
        <v>0</v>
      </c>
      <c r="AT36" s="726">
        <v>0</v>
      </c>
      <c r="AU36" s="726">
        <v>0</v>
      </c>
      <c r="AV36" s="715"/>
      <c r="AW36" s="715"/>
      <c r="AX36" s="715"/>
      <c r="AY36" s="715"/>
      <c r="AZ36" s="715"/>
      <c r="BA36" s="726">
        <v>0</v>
      </c>
      <c r="BB36" s="726">
        <v>0</v>
      </c>
      <c r="BC36" s="726">
        <v>0</v>
      </c>
      <c r="BD36" s="726">
        <v>0</v>
      </c>
      <c r="BE36" s="726">
        <v>0</v>
      </c>
      <c r="BF36" s="726">
        <v>0</v>
      </c>
      <c r="BG36" s="726">
        <v>0</v>
      </c>
      <c r="BH36" s="726">
        <v>0</v>
      </c>
      <c r="BI36" s="726">
        <v>0</v>
      </c>
      <c r="BJ36" s="726">
        <v>0</v>
      </c>
      <c r="BK36" s="726">
        <v>0</v>
      </c>
      <c r="BL36" s="726">
        <v>0</v>
      </c>
      <c r="BM36" s="726">
        <v>0</v>
      </c>
      <c r="BN36" s="726">
        <v>0</v>
      </c>
      <c r="BO36" s="726">
        <v>0</v>
      </c>
      <c r="BP36" s="726">
        <v>0</v>
      </c>
      <c r="BQ36" s="726">
        <v>0</v>
      </c>
      <c r="BR36" s="726">
        <v>0</v>
      </c>
      <c r="BS36" s="726">
        <v>0</v>
      </c>
      <c r="BT36" s="726">
        <v>0</v>
      </c>
      <c r="BU36" s="726">
        <v>0</v>
      </c>
      <c r="BV36" s="726">
        <v>0</v>
      </c>
      <c r="BW36" s="726">
        <v>0</v>
      </c>
      <c r="BX36" s="726">
        <v>0</v>
      </c>
      <c r="BY36" s="726">
        <v>0</v>
      </c>
      <c r="BZ36" s="726">
        <v>0</v>
      </c>
      <c r="CA36" s="727"/>
    </row>
    <row r="37" spans="1:79" s="728" customFormat="1" ht="10.199999999999999">
      <c r="B37" s="725">
        <v>14</v>
      </c>
      <c r="C37" s="715"/>
      <c r="D37" s="715" t="s">
        <v>109</v>
      </c>
      <c r="E37" s="715"/>
      <c r="F37" s="715"/>
      <c r="G37" s="715"/>
      <c r="H37" s="715"/>
      <c r="I37" s="715"/>
      <c r="J37" s="715"/>
      <c r="K37" s="715"/>
      <c r="L37" s="715"/>
      <c r="M37" s="715"/>
      <c r="N37" s="715"/>
      <c r="O37" s="715"/>
      <c r="P37" s="715"/>
      <c r="Q37" s="715"/>
      <c r="R37" s="715"/>
      <c r="S37" s="715"/>
      <c r="T37" s="715"/>
      <c r="U37" s="715"/>
      <c r="V37" s="726">
        <v>12</v>
      </c>
      <c r="W37" s="726">
        <v>10</v>
      </c>
      <c r="X37" s="726">
        <v>10</v>
      </c>
      <c r="Y37" s="726">
        <v>10</v>
      </c>
      <c r="Z37" s="726">
        <v>10</v>
      </c>
      <c r="AA37" s="726">
        <v>10</v>
      </c>
      <c r="AB37" s="726">
        <v>10</v>
      </c>
      <c r="AC37" s="726">
        <v>10</v>
      </c>
      <c r="AD37" s="726">
        <v>7</v>
      </c>
      <c r="AE37" s="726">
        <v>7</v>
      </c>
      <c r="AF37" s="726">
        <v>7</v>
      </c>
      <c r="AG37" s="726">
        <v>7</v>
      </c>
      <c r="AH37" s="726">
        <v>6</v>
      </c>
      <c r="AI37" s="726">
        <v>6</v>
      </c>
      <c r="AJ37" s="726">
        <v>1</v>
      </c>
      <c r="AK37" s="726">
        <v>1</v>
      </c>
      <c r="AL37" s="726">
        <v>1</v>
      </c>
      <c r="AM37" s="726">
        <v>1</v>
      </c>
      <c r="AN37" s="726">
        <v>1</v>
      </c>
      <c r="AO37" s="726">
        <v>1</v>
      </c>
      <c r="AP37" s="726">
        <v>1</v>
      </c>
      <c r="AQ37" s="726">
        <v>0</v>
      </c>
      <c r="AR37" s="726">
        <v>0</v>
      </c>
      <c r="AS37" s="726">
        <v>0</v>
      </c>
      <c r="AT37" s="726">
        <v>0</v>
      </c>
      <c r="AU37" s="726">
        <v>0</v>
      </c>
      <c r="AV37" s="715"/>
      <c r="AW37" s="715"/>
      <c r="AX37" s="715"/>
      <c r="AY37" s="715"/>
      <c r="AZ37" s="715"/>
      <c r="BA37" s="726">
        <v>147287</v>
      </c>
      <c r="BB37" s="726">
        <v>115538</v>
      </c>
      <c r="BC37" s="726">
        <v>110988</v>
      </c>
      <c r="BD37" s="726">
        <v>106438</v>
      </c>
      <c r="BE37" s="726">
        <v>103950</v>
      </c>
      <c r="BF37" s="726">
        <v>103950</v>
      </c>
      <c r="BG37" s="726">
        <v>101695</v>
      </c>
      <c r="BH37" s="726">
        <v>98746</v>
      </c>
      <c r="BI37" s="726">
        <v>50947</v>
      </c>
      <c r="BJ37" s="726">
        <v>50839</v>
      </c>
      <c r="BK37" s="726">
        <v>50075</v>
      </c>
      <c r="BL37" s="726">
        <v>50075</v>
      </c>
      <c r="BM37" s="726">
        <v>48541</v>
      </c>
      <c r="BN37" s="726">
        <v>48541</v>
      </c>
      <c r="BO37" s="726">
        <v>4848</v>
      </c>
      <c r="BP37" s="726">
        <v>4848</v>
      </c>
      <c r="BQ37" s="726">
        <v>4848</v>
      </c>
      <c r="BR37" s="726">
        <v>4848</v>
      </c>
      <c r="BS37" s="726">
        <v>4848</v>
      </c>
      <c r="BT37" s="726">
        <v>4848</v>
      </c>
      <c r="BU37" s="726">
        <v>4140</v>
      </c>
      <c r="BV37" s="726">
        <v>0</v>
      </c>
      <c r="BW37" s="726">
        <v>0</v>
      </c>
      <c r="BX37" s="726">
        <v>0</v>
      </c>
      <c r="BY37" s="726">
        <v>0</v>
      </c>
      <c r="BZ37" s="726">
        <v>0</v>
      </c>
      <c r="CA37" s="727"/>
    </row>
    <row r="38" spans="1:79" s="728" customFormat="1" ht="10.199999999999999">
      <c r="B38" s="725">
        <v>15</v>
      </c>
      <c r="C38" s="715"/>
      <c r="D38" s="715" t="s">
        <v>110</v>
      </c>
      <c r="E38" s="715"/>
      <c r="F38" s="715"/>
      <c r="G38" s="715"/>
      <c r="H38" s="715"/>
      <c r="I38" s="715"/>
      <c r="J38" s="715"/>
      <c r="K38" s="715"/>
      <c r="L38" s="715"/>
      <c r="M38" s="715"/>
      <c r="N38" s="715"/>
      <c r="O38" s="715"/>
      <c r="P38" s="715"/>
      <c r="Q38" s="715"/>
      <c r="R38" s="715"/>
      <c r="S38" s="715"/>
      <c r="T38" s="715"/>
      <c r="U38" s="715"/>
      <c r="V38" s="726">
        <v>131</v>
      </c>
      <c r="W38" s="726">
        <v>131</v>
      </c>
      <c r="X38" s="726">
        <v>131</v>
      </c>
      <c r="Y38" s="726">
        <v>131</v>
      </c>
      <c r="Z38" s="726">
        <v>131</v>
      </c>
      <c r="AA38" s="726">
        <v>131</v>
      </c>
      <c r="AB38" s="726">
        <v>131</v>
      </c>
      <c r="AC38" s="726">
        <v>131</v>
      </c>
      <c r="AD38" s="726">
        <v>131</v>
      </c>
      <c r="AE38" s="726">
        <v>131</v>
      </c>
      <c r="AF38" s="726">
        <v>0</v>
      </c>
      <c r="AG38" s="726">
        <v>0</v>
      </c>
      <c r="AH38" s="726">
        <v>0</v>
      </c>
      <c r="AI38" s="726">
        <v>0</v>
      </c>
      <c r="AJ38" s="726">
        <v>0</v>
      </c>
      <c r="AK38" s="726">
        <v>0</v>
      </c>
      <c r="AL38" s="726">
        <v>0</v>
      </c>
      <c r="AM38" s="726">
        <v>0</v>
      </c>
      <c r="AN38" s="726">
        <v>0</v>
      </c>
      <c r="AO38" s="726">
        <v>0</v>
      </c>
      <c r="AP38" s="726">
        <v>0</v>
      </c>
      <c r="AQ38" s="726">
        <v>0</v>
      </c>
      <c r="AR38" s="726">
        <v>0</v>
      </c>
      <c r="AS38" s="726">
        <v>0</v>
      </c>
      <c r="AT38" s="726">
        <v>0</v>
      </c>
      <c r="AU38" s="726">
        <v>0</v>
      </c>
      <c r="AV38" s="715"/>
      <c r="AW38" s="715"/>
      <c r="AX38" s="715"/>
      <c r="AY38" s="715"/>
      <c r="AZ38" s="715"/>
      <c r="BA38" s="726">
        <v>901493</v>
      </c>
      <c r="BB38" s="726">
        <v>901493</v>
      </c>
      <c r="BC38" s="726">
        <v>901493</v>
      </c>
      <c r="BD38" s="726">
        <v>901493</v>
      </c>
      <c r="BE38" s="726">
        <v>901493</v>
      </c>
      <c r="BF38" s="726">
        <v>901493</v>
      </c>
      <c r="BG38" s="726">
        <v>901493</v>
      </c>
      <c r="BH38" s="726">
        <v>901493</v>
      </c>
      <c r="BI38" s="726">
        <v>901493</v>
      </c>
      <c r="BJ38" s="726">
        <v>901493</v>
      </c>
      <c r="BK38" s="726">
        <v>0</v>
      </c>
      <c r="BL38" s="726">
        <v>0</v>
      </c>
      <c r="BM38" s="726">
        <v>0</v>
      </c>
      <c r="BN38" s="726">
        <v>0</v>
      </c>
      <c r="BO38" s="726">
        <v>0</v>
      </c>
      <c r="BP38" s="726">
        <v>0</v>
      </c>
      <c r="BQ38" s="726">
        <v>0</v>
      </c>
      <c r="BR38" s="726">
        <v>0</v>
      </c>
      <c r="BS38" s="726">
        <v>0</v>
      </c>
      <c r="BT38" s="726">
        <v>0</v>
      </c>
      <c r="BU38" s="726">
        <v>0</v>
      </c>
      <c r="BV38" s="726">
        <v>0</v>
      </c>
      <c r="BW38" s="726">
        <v>0</v>
      </c>
      <c r="BX38" s="726">
        <v>0</v>
      </c>
      <c r="BY38" s="726">
        <v>0</v>
      </c>
      <c r="BZ38" s="726">
        <v>0</v>
      </c>
      <c r="CA38" s="727"/>
    </row>
    <row r="39" spans="1:79" s="728" customFormat="1" ht="10.199999999999999">
      <c r="B39" s="725">
        <v>16</v>
      </c>
      <c r="C39" s="715"/>
      <c r="D39" s="715" t="s">
        <v>111</v>
      </c>
      <c r="E39" s="715"/>
      <c r="F39" s="715"/>
      <c r="G39" s="715"/>
      <c r="H39" s="715"/>
      <c r="I39" s="715"/>
      <c r="J39" s="715"/>
      <c r="K39" s="715"/>
      <c r="L39" s="715"/>
      <c r="M39" s="715"/>
      <c r="N39" s="715"/>
      <c r="O39" s="715"/>
      <c r="P39" s="715"/>
      <c r="Q39" s="715"/>
      <c r="R39" s="715"/>
      <c r="S39" s="715"/>
      <c r="T39" s="715"/>
      <c r="U39" s="715"/>
      <c r="V39" s="726">
        <v>0</v>
      </c>
      <c r="W39" s="726">
        <v>0</v>
      </c>
      <c r="X39" s="726">
        <v>0</v>
      </c>
      <c r="Y39" s="726">
        <v>0</v>
      </c>
      <c r="Z39" s="726">
        <v>0</v>
      </c>
      <c r="AA39" s="726">
        <v>0</v>
      </c>
      <c r="AB39" s="726">
        <v>0</v>
      </c>
      <c r="AC39" s="726">
        <v>0</v>
      </c>
      <c r="AD39" s="726">
        <v>0</v>
      </c>
      <c r="AE39" s="726">
        <v>0</v>
      </c>
      <c r="AF39" s="726">
        <v>0</v>
      </c>
      <c r="AG39" s="726">
        <v>0</v>
      </c>
      <c r="AH39" s="726">
        <v>0</v>
      </c>
      <c r="AI39" s="726">
        <v>0</v>
      </c>
      <c r="AJ39" s="726">
        <v>0</v>
      </c>
      <c r="AK39" s="726">
        <v>0</v>
      </c>
      <c r="AL39" s="726">
        <v>0</v>
      </c>
      <c r="AM39" s="726">
        <v>0</v>
      </c>
      <c r="AN39" s="726">
        <v>0</v>
      </c>
      <c r="AO39" s="726">
        <v>0</v>
      </c>
      <c r="AP39" s="726">
        <v>0</v>
      </c>
      <c r="AQ39" s="726">
        <v>0</v>
      </c>
      <c r="AR39" s="726">
        <v>0</v>
      </c>
      <c r="AS39" s="726">
        <v>0</v>
      </c>
      <c r="AT39" s="726">
        <v>0</v>
      </c>
      <c r="AU39" s="726">
        <v>0</v>
      </c>
      <c r="AV39" s="715"/>
      <c r="AW39" s="715"/>
      <c r="AX39" s="715"/>
      <c r="AY39" s="715"/>
      <c r="AZ39" s="715"/>
      <c r="BA39" s="726">
        <v>0</v>
      </c>
      <c r="BB39" s="726">
        <v>0</v>
      </c>
      <c r="BC39" s="726">
        <v>0</v>
      </c>
      <c r="BD39" s="726">
        <v>0</v>
      </c>
      <c r="BE39" s="726">
        <v>0</v>
      </c>
      <c r="BF39" s="726">
        <v>0</v>
      </c>
      <c r="BG39" s="726">
        <v>0</v>
      </c>
      <c r="BH39" s="726">
        <v>0</v>
      </c>
      <c r="BI39" s="726">
        <v>0</v>
      </c>
      <c r="BJ39" s="726">
        <v>0</v>
      </c>
      <c r="BK39" s="726">
        <v>0</v>
      </c>
      <c r="BL39" s="726">
        <v>0</v>
      </c>
      <c r="BM39" s="726">
        <v>0</v>
      </c>
      <c r="BN39" s="726">
        <v>0</v>
      </c>
      <c r="BO39" s="726">
        <v>0</v>
      </c>
      <c r="BP39" s="726">
        <v>0</v>
      </c>
      <c r="BQ39" s="726">
        <v>0</v>
      </c>
      <c r="BR39" s="726">
        <v>0</v>
      </c>
      <c r="BS39" s="726">
        <v>0</v>
      </c>
      <c r="BT39" s="726">
        <v>0</v>
      </c>
      <c r="BU39" s="726">
        <v>0</v>
      </c>
      <c r="BV39" s="726">
        <v>0</v>
      </c>
      <c r="BW39" s="726">
        <v>0</v>
      </c>
      <c r="BX39" s="726">
        <v>0</v>
      </c>
      <c r="BY39" s="726">
        <v>0</v>
      </c>
      <c r="BZ39" s="726">
        <v>0</v>
      </c>
      <c r="CA39" s="727"/>
    </row>
    <row r="40" spans="1:79" s="728" customFormat="1" ht="10.199999999999999">
      <c r="B40" s="725">
        <v>17</v>
      </c>
      <c r="C40" s="715"/>
      <c r="D40" s="715" t="s">
        <v>112</v>
      </c>
      <c r="E40" s="715"/>
      <c r="F40" s="715"/>
      <c r="G40" s="715"/>
      <c r="H40" s="715"/>
      <c r="I40" s="715"/>
      <c r="J40" s="715"/>
      <c r="K40" s="715"/>
      <c r="L40" s="715"/>
      <c r="M40" s="715"/>
      <c r="N40" s="715"/>
      <c r="O40" s="715"/>
      <c r="P40" s="715"/>
      <c r="Q40" s="715"/>
      <c r="R40" s="715"/>
      <c r="S40" s="715"/>
      <c r="T40" s="715"/>
      <c r="U40" s="715"/>
      <c r="V40" s="726">
        <v>0</v>
      </c>
      <c r="W40" s="726">
        <v>0</v>
      </c>
      <c r="X40" s="726">
        <v>0</v>
      </c>
      <c r="Y40" s="726">
        <v>0</v>
      </c>
      <c r="Z40" s="726">
        <v>0</v>
      </c>
      <c r="AA40" s="726">
        <v>0</v>
      </c>
      <c r="AB40" s="726">
        <v>0</v>
      </c>
      <c r="AC40" s="726">
        <v>0</v>
      </c>
      <c r="AD40" s="726">
        <v>0</v>
      </c>
      <c r="AE40" s="726">
        <v>0</v>
      </c>
      <c r="AF40" s="726">
        <v>0</v>
      </c>
      <c r="AG40" s="726">
        <v>0</v>
      </c>
      <c r="AH40" s="726">
        <v>0</v>
      </c>
      <c r="AI40" s="726">
        <v>0</v>
      </c>
      <c r="AJ40" s="726">
        <v>0</v>
      </c>
      <c r="AK40" s="726">
        <v>0</v>
      </c>
      <c r="AL40" s="726">
        <v>0</v>
      </c>
      <c r="AM40" s="726">
        <v>0</v>
      </c>
      <c r="AN40" s="726">
        <v>0</v>
      </c>
      <c r="AO40" s="726">
        <v>0</v>
      </c>
      <c r="AP40" s="726">
        <v>0</v>
      </c>
      <c r="AQ40" s="726">
        <v>0</v>
      </c>
      <c r="AR40" s="726">
        <v>0</v>
      </c>
      <c r="AS40" s="726">
        <v>0</v>
      </c>
      <c r="AT40" s="726">
        <v>0</v>
      </c>
      <c r="AU40" s="726">
        <v>0</v>
      </c>
      <c r="AV40" s="715"/>
      <c r="AW40" s="715"/>
      <c r="AX40" s="715"/>
      <c r="AY40" s="715"/>
      <c r="AZ40" s="715"/>
      <c r="BA40" s="726">
        <v>0</v>
      </c>
      <c r="BB40" s="726">
        <v>0</v>
      </c>
      <c r="BC40" s="726">
        <v>0</v>
      </c>
      <c r="BD40" s="726">
        <v>0</v>
      </c>
      <c r="BE40" s="726">
        <v>0</v>
      </c>
      <c r="BF40" s="726">
        <v>0</v>
      </c>
      <c r="BG40" s="726">
        <v>0</v>
      </c>
      <c r="BH40" s="726">
        <v>0</v>
      </c>
      <c r="BI40" s="726">
        <v>0</v>
      </c>
      <c r="BJ40" s="726">
        <v>0</v>
      </c>
      <c r="BK40" s="726">
        <v>0</v>
      </c>
      <c r="BL40" s="726">
        <v>0</v>
      </c>
      <c r="BM40" s="726">
        <v>0</v>
      </c>
      <c r="BN40" s="726">
        <v>0</v>
      </c>
      <c r="BO40" s="726">
        <v>0</v>
      </c>
      <c r="BP40" s="726">
        <v>0</v>
      </c>
      <c r="BQ40" s="726">
        <v>0</v>
      </c>
      <c r="BR40" s="726">
        <v>0</v>
      </c>
      <c r="BS40" s="726">
        <v>0</v>
      </c>
      <c r="BT40" s="726">
        <v>0</v>
      </c>
      <c r="BU40" s="726">
        <v>0</v>
      </c>
      <c r="BV40" s="726">
        <v>0</v>
      </c>
      <c r="BW40" s="726">
        <v>0</v>
      </c>
      <c r="BX40" s="726">
        <v>0</v>
      </c>
      <c r="BY40" s="726">
        <v>0</v>
      </c>
      <c r="BZ40" s="726">
        <v>0</v>
      </c>
      <c r="CA40" s="727"/>
    </row>
    <row r="41" spans="1:79" s="728" customFormat="1" ht="10.199999999999999">
      <c r="B41" s="725">
        <v>18</v>
      </c>
      <c r="C41" s="715"/>
      <c r="D41" s="715" t="s">
        <v>113</v>
      </c>
      <c r="E41" s="715"/>
      <c r="F41" s="715"/>
      <c r="G41" s="715"/>
      <c r="H41" s="715"/>
      <c r="I41" s="715"/>
      <c r="J41" s="715"/>
      <c r="K41" s="715"/>
      <c r="L41" s="715"/>
      <c r="M41" s="715"/>
      <c r="N41" s="715"/>
      <c r="O41" s="715"/>
      <c r="P41" s="715"/>
      <c r="Q41" s="715"/>
      <c r="R41" s="715"/>
      <c r="S41" s="715"/>
      <c r="T41" s="715"/>
      <c r="U41" s="715"/>
      <c r="V41" s="726">
        <v>0</v>
      </c>
      <c r="W41" s="726">
        <v>0</v>
      </c>
      <c r="X41" s="726">
        <v>0</v>
      </c>
      <c r="Y41" s="726">
        <v>0</v>
      </c>
      <c r="Z41" s="726">
        <v>0</v>
      </c>
      <c r="AA41" s="726">
        <v>0</v>
      </c>
      <c r="AB41" s="726">
        <v>0</v>
      </c>
      <c r="AC41" s="726">
        <v>0</v>
      </c>
      <c r="AD41" s="726">
        <v>0</v>
      </c>
      <c r="AE41" s="726">
        <v>0</v>
      </c>
      <c r="AF41" s="726">
        <v>0</v>
      </c>
      <c r="AG41" s="726">
        <v>0</v>
      </c>
      <c r="AH41" s="726">
        <v>0</v>
      </c>
      <c r="AI41" s="726">
        <v>0</v>
      </c>
      <c r="AJ41" s="726">
        <v>0</v>
      </c>
      <c r="AK41" s="726">
        <v>0</v>
      </c>
      <c r="AL41" s="726">
        <v>0</v>
      </c>
      <c r="AM41" s="726">
        <v>0</v>
      </c>
      <c r="AN41" s="726">
        <v>0</v>
      </c>
      <c r="AO41" s="726">
        <v>0</v>
      </c>
      <c r="AP41" s="726">
        <v>0</v>
      </c>
      <c r="AQ41" s="726">
        <v>0</v>
      </c>
      <c r="AR41" s="726">
        <v>0</v>
      </c>
      <c r="AS41" s="726">
        <v>0</v>
      </c>
      <c r="AT41" s="726">
        <v>0</v>
      </c>
      <c r="AU41" s="726">
        <v>0</v>
      </c>
      <c r="AV41" s="715"/>
      <c r="AW41" s="715"/>
      <c r="AX41" s="715"/>
      <c r="AY41" s="715"/>
      <c r="AZ41" s="715"/>
      <c r="BA41" s="726">
        <v>130073</v>
      </c>
      <c r="BB41" s="726">
        <v>0</v>
      </c>
      <c r="BC41" s="726">
        <v>0</v>
      </c>
      <c r="BD41" s="726">
        <v>0</v>
      </c>
      <c r="BE41" s="726">
        <v>0</v>
      </c>
      <c r="BF41" s="726">
        <v>0</v>
      </c>
      <c r="BG41" s="726">
        <v>0</v>
      </c>
      <c r="BH41" s="726">
        <v>0</v>
      </c>
      <c r="BI41" s="726">
        <v>0</v>
      </c>
      <c r="BJ41" s="726">
        <v>0</v>
      </c>
      <c r="BK41" s="726">
        <v>0</v>
      </c>
      <c r="BL41" s="726">
        <v>0</v>
      </c>
      <c r="BM41" s="726">
        <v>0</v>
      </c>
      <c r="BN41" s="726">
        <v>0</v>
      </c>
      <c r="BO41" s="726">
        <v>0</v>
      </c>
      <c r="BP41" s="726">
        <v>0</v>
      </c>
      <c r="BQ41" s="726">
        <v>0</v>
      </c>
      <c r="BR41" s="726">
        <v>0</v>
      </c>
      <c r="BS41" s="726">
        <v>0</v>
      </c>
      <c r="BT41" s="726">
        <v>0</v>
      </c>
      <c r="BU41" s="726">
        <v>0</v>
      </c>
      <c r="BV41" s="726">
        <v>0</v>
      </c>
      <c r="BW41" s="726">
        <v>0</v>
      </c>
      <c r="BX41" s="726">
        <v>0</v>
      </c>
      <c r="BY41" s="726">
        <v>0</v>
      </c>
      <c r="BZ41" s="726">
        <v>0</v>
      </c>
      <c r="CA41" s="727"/>
    </row>
    <row r="42" spans="1:79" s="728" customFormat="1" ht="10.199999999999999">
      <c r="B42" s="725">
        <v>19</v>
      </c>
      <c r="C42" s="715"/>
      <c r="D42" s="715" t="s">
        <v>509</v>
      </c>
      <c r="E42" s="715"/>
      <c r="F42" s="715"/>
      <c r="G42" s="715"/>
      <c r="H42" s="715"/>
      <c r="I42" s="715"/>
      <c r="J42" s="715"/>
      <c r="K42" s="715"/>
      <c r="L42" s="715"/>
      <c r="M42" s="715"/>
      <c r="N42" s="715"/>
      <c r="O42" s="715"/>
      <c r="P42" s="715"/>
      <c r="Q42" s="715"/>
      <c r="R42" s="715"/>
      <c r="S42" s="715"/>
      <c r="T42" s="715"/>
      <c r="U42" s="715"/>
      <c r="V42" s="726">
        <v>0</v>
      </c>
      <c r="W42" s="726">
        <v>0</v>
      </c>
      <c r="X42" s="726">
        <v>0</v>
      </c>
      <c r="Y42" s="726">
        <v>0</v>
      </c>
      <c r="Z42" s="726">
        <v>0</v>
      </c>
      <c r="AA42" s="726">
        <v>0</v>
      </c>
      <c r="AB42" s="726">
        <v>0</v>
      </c>
      <c r="AC42" s="726">
        <v>0</v>
      </c>
      <c r="AD42" s="726">
        <v>0</v>
      </c>
      <c r="AE42" s="726">
        <v>0</v>
      </c>
      <c r="AF42" s="726">
        <v>0</v>
      </c>
      <c r="AG42" s="726">
        <v>0</v>
      </c>
      <c r="AH42" s="726">
        <v>0</v>
      </c>
      <c r="AI42" s="726">
        <v>0</v>
      </c>
      <c r="AJ42" s="726">
        <v>0</v>
      </c>
      <c r="AK42" s="726">
        <v>0</v>
      </c>
      <c r="AL42" s="726">
        <v>0</v>
      </c>
      <c r="AM42" s="726">
        <v>0</v>
      </c>
      <c r="AN42" s="726">
        <v>0</v>
      </c>
      <c r="AO42" s="726">
        <v>0</v>
      </c>
      <c r="AP42" s="726">
        <v>0</v>
      </c>
      <c r="AQ42" s="726">
        <v>0</v>
      </c>
      <c r="AR42" s="726">
        <v>0</v>
      </c>
      <c r="AS42" s="726">
        <v>0</v>
      </c>
      <c r="AT42" s="726">
        <v>0</v>
      </c>
      <c r="AU42" s="726">
        <v>0</v>
      </c>
      <c r="AV42" s="715"/>
      <c r="AW42" s="715"/>
      <c r="AX42" s="715"/>
      <c r="AY42" s="715"/>
      <c r="AZ42" s="715"/>
      <c r="BA42" s="726">
        <v>0</v>
      </c>
      <c r="BB42" s="726">
        <v>0</v>
      </c>
      <c r="BC42" s="726">
        <v>0</v>
      </c>
      <c r="BD42" s="726">
        <v>0</v>
      </c>
      <c r="BE42" s="726">
        <v>0</v>
      </c>
      <c r="BF42" s="726">
        <v>0</v>
      </c>
      <c r="BG42" s="726">
        <v>0</v>
      </c>
      <c r="BH42" s="726">
        <v>0</v>
      </c>
      <c r="BI42" s="726">
        <v>0</v>
      </c>
      <c r="BJ42" s="726">
        <v>0</v>
      </c>
      <c r="BK42" s="726">
        <v>0</v>
      </c>
      <c r="BL42" s="726">
        <v>0</v>
      </c>
      <c r="BM42" s="726">
        <v>0</v>
      </c>
      <c r="BN42" s="726">
        <v>0</v>
      </c>
      <c r="BO42" s="726">
        <v>0</v>
      </c>
      <c r="BP42" s="726">
        <v>0</v>
      </c>
      <c r="BQ42" s="726">
        <v>0</v>
      </c>
      <c r="BR42" s="726">
        <v>0</v>
      </c>
      <c r="BS42" s="726">
        <v>0</v>
      </c>
      <c r="BT42" s="726">
        <v>0</v>
      </c>
      <c r="BU42" s="726">
        <v>0</v>
      </c>
      <c r="BV42" s="726">
        <v>0</v>
      </c>
      <c r="BW42" s="726">
        <v>0</v>
      </c>
      <c r="BX42" s="726">
        <v>0</v>
      </c>
      <c r="BY42" s="726">
        <v>0</v>
      </c>
      <c r="BZ42" s="726">
        <v>0</v>
      </c>
      <c r="CA42" s="727"/>
    </row>
    <row r="43" spans="1:79" s="728" customFormat="1" ht="10.199999999999999">
      <c r="B43" s="725">
        <v>20</v>
      </c>
      <c r="C43" s="715"/>
      <c r="D43" s="715" t="s">
        <v>505</v>
      </c>
      <c r="E43" s="715"/>
      <c r="F43" s="715"/>
      <c r="G43" s="715"/>
      <c r="H43" s="715"/>
      <c r="I43" s="715"/>
      <c r="J43" s="715"/>
      <c r="K43" s="715"/>
      <c r="L43" s="715"/>
      <c r="M43" s="715"/>
      <c r="N43" s="715"/>
      <c r="O43" s="715"/>
      <c r="P43" s="715"/>
      <c r="Q43" s="715"/>
      <c r="R43" s="715"/>
      <c r="S43" s="715"/>
      <c r="T43" s="715"/>
      <c r="U43" s="715"/>
      <c r="V43" s="726">
        <v>27</v>
      </c>
      <c r="W43" s="726">
        <v>27</v>
      </c>
      <c r="X43" s="726">
        <v>0</v>
      </c>
      <c r="Y43" s="726">
        <v>0</v>
      </c>
      <c r="Z43" s="726">
        <v>0</v>
      </c>
      <c r="AA43" s="726">
        <v>0</v>
      </c>
      <c r="AB43" s="726">
        <v>0</v>
      </c>
      <c r="AC43" s="726">
        <v>0</v>
      </c>
      <c r="AD43" s="726">
        <v>0</v>
      </c>
      <c r="AE43" s="726">
        <v>0</v>
      </c>
      <c r="AF43" s="726">
        <v>0</v>
      </c>
      <c r="AG43" s="726">
        <v>0</v>
      </c>
      <c r="AH43" s="726">
        <v>0</v>
      </c>
      <c r="AI43" s="726">
        <v>0</v>
      </c>
      <c r="AJ43" s="726">
        <v>0</v>
      </c>
      <c r="AK43" s="726">
        <v>0</v>
      </c>
      <c r="AL43" s="726">
        <v>0</v>
      </c>
      <c r="AM43" s="726">
        <v>0</v>
      </c>
      <c r="AN43" s="726">
        <v>0</v>
      </c>
      <c r="AO43" s="726">
        <v>0</v>
      </c>
      <c r="AP43" s="726">
        <v>0</v>
      </c>
      <c r="AQ43" s="726">
        <v>0</v>
      </c>
      <c r="AR43" s="726">
        <v>0</v>
      </c>
      <c r="AS43" s="726">
        <v>0</v>
      </c>
      <c r="AT43" s="726">
        <v>0</v>
      </c>
      <c r="AU43" s="726">
        <v>0</v>
      </c>
      <c r="AV43" s="715"/>
      <c r="AW43" s="715"/>
      <c r="AX43" s="715"/>
      <c r="AY43" s="715"/>
      <c r="AZ43" s="715"/>
      <c r="BA43" s="726">
        <v>235240</v>
      </c>
      <c r="BB43" s="726">
        <v>235240</v>
      </c>
      <c r="BC43" s="726">
        <v>0</v>
      </c>
      <c r="BD43" s="726">
        <v>0</v>
      </c>
      <c r="BE43" s="726">
        <v>0</v>
      </c>
      <c r="BF43" s="726">
        <v>0</v>
      </c>
      <c r="BG43" s="726">
        <v>0</v>
      </c>
      <c r="BH43" s="726">
        <v>0</v>
      </c>
      <c r="BI43" s="726">
        <v>0</v>
      </c>
      <c r="BJ43" s="726">
        <v>0</v>
      </c>
      <c r="BK43" s="726">
        <v>0</v>
      </c>
      <c r="BL43" s="726">
        <v>0</v>
      </c>
      <c r="BM43" s="726">
        <v>0</v>
      </c>
      <c r="BN43" s="726">
        <v>0</v>
      </c>
      <c r="BO43" s="726">
        <v>0</v>
      </c>
      <c r="BP43" s="726">
        <v>0</v>
      </c>
      <c r="BQ43" s="726">
        <v>0</v>
      </c>
      <c r="BR43" s="726">
        <v>0</v>
      </c>
      <c r="BS43" s="726">
        <v>0</v>
      </c>
      <c r="BT43" s="726">
        <v>0</v>
      </c>
      <c r="BU43" s="726">
        <v>0</v>
      </c>
      <c r="BV43" s="726">
        <v>0</v>
      </c>
      <c r="BW43" s="726">
        <v>0</v>
      </c>
      <c r="BX43" s="726">
        <v>0</v>
      </c>
      <c r="BY43" s="726">
        <v>0</v>
      </c>
      <c r="BZ43" s="726">
        <v>0</v>
      </c>
      <c r="CA43" s="727"/>
    </row>
    <row r="44" spans="1:79" s="693" customFormat="1" ht="10.199999999999999">
      <c r="A44" s="693" t="s">
        <v>727</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0.199999999999999">
      <c r="A45" s="693" t="s">
        <v>727</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0.199999999999999">
      <c r="A46" s="693" t="s">
        <v>727</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0.199999999999999">
      <c r="A47" s="693" t="s">
        <v>727</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0.199999999999999">
      <c r="A48" s="693" t="s">
        <v>727</v>
      </c>
      <c r="B48" s="707" t="s">
        <v>494</v>
      </c>
      <c r="C48" s="708"/>
      <c r="D48" s="708" t="s">
        <v>119</v>
      </c>
      <c r="E48" s="708"/>
      <c r="F48" s="708"/>
      <c r="G48" s="708"/>
      <c r="H48" s="708"/>
      <c r="I48" s="708"/>
      <c r="J48" s="708"/>
      <c r="K48" s="708"/>
      <c r="L48" s="708"/>
      <c r="M48" s="708"/>
      <c r="N48" s="708"/>
      <c r="O48" s="708"/>
      <c r="P48" s="708"/>
      <c r="Q48" s="708"/>
      <c r="R48" s="708"/>
      <c r="S48" s="708"/>
      <c r="T48" s="708"/>
      <c r="U48" s="708"/>
      <c r="V48" s="722">
        <v>592</v>
      </c>
      <c r="W48" s="722">
        <v>592</v>
      </c>
      <c r="X48" s="722">
        <v>581</v>
      </c>
      <c r="Y48" s="722">
        <v>581</v>
      </c>
      <c r="Z48" s="722">
        <v>581</v>
      </c>
      <c r="AA48" s="722">
        <v>581</v>
      </c>
      <c r="AB48" s="722">
        <v>553</v>
      </c>
      <c r="AC48" s="722">
        <v>553</v>
      </c>
      <c r="AD48" s="722">
        <v>542</v>
      </c>
      <c r="AE48" s="722">
        <v>450</v>
      </c>
      <c r="AF48" s="722">
        <v>229</v>
      </c>
      <c r="AG48" s="722">
        <v>229</v>
      </c>
      <c r="AH48" s="722">
        <v>110</v>
      </c>
      <c r="AI48" s="722">
        <v>110</v>
      </c>
      <c r="AJ48" s="722">
        <v>110</v>
      </c>
      <c r="AK48" s="722">
        <v>92</v>
      </c>
      <c r="AL48" s="722">
        <v>71</v>
      </c>
      <c r="AM48" s="722">
        <v>71</v>
      </c>
      <c r="AN48" s="722">
        <v>71</v>
      </c>
      <c r="AO48" s="722">
        <v>71</v>
      </c>
      <c r="AP48" s="722">
        <v>0</v>
      </c>
      <c r="AQ48" s="722">
        <v>0</v>
      </c>
      <c r="AR48" s="722">
        <v>0</v>
      </c>
      <c r="AS48" s="722">
        <v>0</v>
      </c>
      <c r="AT48" s="722">
        <v>0</v>
      </c>
      <c r="AU48" s="722">
        <v>0</v>
      </c>
      <c r="AV48" s="708"/>
      <c r="AW48" s="708"/>
      <c r="AX48" s="708"/>
      <c r="AY48" s="708"/>
      <c r="AZ48" s="708"/>
      <c r="BA48" s="722">
        <v>4388100</v>
      </c>
      <c r="BB48" s="722">
        <v>4388100</v>
      </c>
      <c r="BC48" s="722">
        <v>4353851</v>
      </c>
      <c r="BD48" s="722">
        <v>4353851</v>
      </c>
      <c r="BE48" s="722">
        <v>4353851</v>
      </c>
      <c r="BF48" s="722">
        <v>4353851</v>
      </c>
      <c r="BG48" s="722">
        <v>4182174</v>
      </c>
      <c r="BH48" s="722">
        <v>4182174</v>
      </c>
      <c r="BI48" s="722">
        <v>4142538</v>
      </c>
      <c r="BJ48" s="722">
        <v>3581795</v>
      </c>
      <c r="BK48" s="722">
        <v>2225182</v>
      </c>
      <c r="BL48" s="722">
        <v>2217083</v>
      </c>
      <c r="BM48" s="722">
        <v>603928</v>
      </c>
      <c r="BN48" s="722">
        <v>603928</v>
      </c>
      <c r="BO48" s="722">
        <v>603928</v>
      </c>
      <c r="BP48" s="722">
        <v>460858</v>
      </c>
      <c r="BQ48" s="722">
        <v>175878</v>
      </c>
      <c r="BR48" s="722">
        <v>175878</v>
      </c>
      <c r="BS48" s="722">
        <v>175878</v>
      </c>
      <c r="BT48" s="722">
        <v>175878</v>
      </c>
      <c r="BU48" s="722">
        <v>0</v>
      </c>
      <c r="BV48" s="722">
        <v>0</v>
      </c>
      <c r="BW48" s="722">
        <v>0</v>
      </c>
      <c r="BX48" s="722">
        <v>0</v>
      </c>
      <c r="BY48" s="722">
        <v>0</v>
      </c>
      <c r="BZ48" s="722">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AF19" zoomScale="80" zoomScaleNormal="80" workbookViewId="0">
      <selection activeCell="BC26" sqref="BC2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3" width="9.109375" style="12"/>
    <col min="54" max="58" width="14.44140625" style="12" bestFit="1" customWidth="1"/>
    <col min="59" max="60" width="13.88671875" style="12" bestFit="1" customWidth="1"/>
    <col min="61" max="66" width="14.44140625" style="12" bestFit="1" customWidth="1"/>
    <col min="67" max="67" width="13.88671875" style="12" bestFit="1" customWidth="1"/>
    <col min="68" max="69" width="13.5546875" style="12" bestFit="1" customWidth="1"/>
    <col min="70" max="70" width="13.88671875" style="12" bestFit="1" customWidth="1"/>
    <col min="71" max="71" width="12.88671875" style="12" bestFit="1" customWidth="1"/>
    <col min="72" max="72" width="13.109375" style="12" bestFit="1" customWidth="1"/>
    <col min="73" max="78" width="11.554687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6">
      <c r="B21" s="92"/>
    </row>
    <row r="22" spans="2:79" s="269" customFormat="1" ht="88.5" customHeight="1">
      <c r="B22" s="1234"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234"/>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t="s">
        <v>114</v>
      </c>
      <c r="D24" s="178"/>
      <c r="E24" s="178"/>
      <c r="F24" s="178"/>
      <c r="G24" s="178"/>
      <c r="H24" s="178"/>
      <c r="I24" s="178"/>
      <c r="J24" s="178"/>
      <c r="K24" s="178"/>
      <c r="L24" s="178"/>
      <c r="M24" s="178"/>
      <c r="N24" s="178"/>
      <c r="O24" s="178"/>
      <c r="P24" s="178"/>
      <c r="Q24" s="178"/>
      <c r="R24" s="178"/>
      <c r="S24" s="178"/>
      <c r="T24" s="178"/>
      <c r="U24" s="178"/>
      <c r="V24" s="178"/>
      <c r="W24" s="726">
        <v>2147</v>
      </c>
      <c r="X24" s="726">
        <v>2147</v>
      </c>
      <c r="Y24" s="726">
        <v>2147</v>
      </c>
      <c r="Z24" s="726">
        <v>2147</v>
      </c>
      <c r="AA24" s="726">
        <v>2147</v>
      </c>
      <c r="AB24" s="726">
        <v>2147</v>
      </c>
      <c r="AC24" s="726">
        <v>2147</v>
      </c>
      <c r="AD24" s="726">
        <v>2147</v>
      </c>
      <c r="AE24" s="726">
        <v>2147</v>
      </c>
      <c r="AF24" s="726">
        <v>2137</v>
      </c>
      <c r="AG24" s="726">
        <v>2056</v>
      </c>
      <c r="AH24" s="726">
        <v>2056</v>
      </c>
      <c r="AI24" s="726">
        <v>2056</v>
      </c>
      <c r="AJ24" s="726">
        <v>2054</v>
      </c>
      <c r="AK24" s="726">
        <v>1798</v>
      </c>
      <c r="AL24" s="726">
        <v>1798</v>
      </c>
      <c r="AM24" s="726">
        <v>787</v>
      </c>
      <c r="AN24" s="726">
        <v>0</v>
      </c>
      <c r="AO24" s="726">
        <v>0</v>
      </c>
      <c r="AP24" s="726">
        <v>0</v>
      </c>
      <c r="AQ24" s="726">
        <v>0</v>
      </c>
      <c r="AR24" s="726">
        <v>0</v>
      </c>
      <c r="AS24" s="726">
        <v>0</v>
      </c>
      <c r="AT24" s="726">
        <v>0</v>
      </c>
      <c r="AU24" s="726">
        <v>0</v>
      </c>
      <c r="AV24" s="178"/>
      <c r="AW24" s="178"/>
      <c r="AX24" s="178"/>
      <c r="AY24" s="178"/>
      <c r="AZ24" s="178"/>
      <c r="BA24" s="178"/>
      <c r="BB24" s="726">
        <v>32980841</v>
      </c>
      <c r="BC24" s="726">
        <v>32980841</v>
      </c>
      <c r="BD24" s="726">
        <v>32980841</v>
      </c>
      <c r="BE24" s="726">
        <v>32980841</v>
      </c>
      <c r="BF24" s="726">
        <v>32980841</v>
      </c>
      <c r="BG24" s="726">
        <v>32980841</v>
      </c>
      <c r="BH24" s="726">
        <v>32980841</v>
      </c>
      <c r="BI24" s="726">
        <v>32975449</v>
      </c>
      <c r="BJ24" s="726">
        <v>32975449</v>
      </c>
      <c r="BK24" s="726">
        <v>32819269</v>
      </c>
      <c r="BL24" s="726">
        <v>32386370</v>
      </c>
      <c r="BM24" s="726">
        <v>32366345</v>
      </c>
      <c r="BN24" s="726">
        <v>32366345</v>
      </c>
      <c r="BO24" s="726">
        <v>32193898</v>
      </c>
      <c r="BP24" s="726">
        <v>28113020</v>
      </c>
      <c r="BQ24" s="726">
        <v>28113020</v>
      </c>
      <c r="BR24" s="726">
        <v>12529658</v>
      </c>
      <c r="BS24" s="726">
        <v>0</v>
      </c>
      <c r="BT24" s="726">
        <v>0</v>
      </c>
      <c r="BU24" s="726">
        <v>0</v>
      </c>
      <c r="BV24" s="726">
        <v>0</v>
      </c>
      <c r="BW24" s="726">
        <v>0</v>
      </c>
      <c r="BX24" s="726">
        <v>0</v>
      </c>
      <c r="BY24" s="726">
        <v>0</v>
      </c>
      <c r="BZ24" s="883">
        <v>0</v>
      </c>
      <c r="CA24" s="167"/>
    </row>
    <row r="25" spans="2:79" s="17" customFormat="1" ht="15.6">
      <c r="B25" s="272">
        <v>2</v>
      </c>
      <c r="C25" s="178" t="s">
        <v>824</v>
      </c>
      <c r="D25" s="178"/>
      <c r="E25" s="178"/>
      <c r="F25" s="178"/>
      <c r="G25" s="178"/>
      <c r="H25" s="178"/>
      <c r="I25" s="178"/>
      <c r="J25" s="178"/>
      <c r="K25" s="178"/>
      <c r="L25" s="178"/>
      <c r="M25" s="178"/>
      <c r="N25" s="178"/>
      <c r="O25" s="178"/>
      <c r="P25" s="178"/>
      <c r="Q25" s="178"/>
      <c r="R25" s="178"/>
      <c r="S25" s="178"/>
      <c r="T25" s="178"/>
      <c r="U25" s="178"/>
      <c r="V25" s="178"/>
      <c r="W25" s="726">
        <v>1995</v>
      </c>
      <c r="X25" s="726">
        <v>1995</v>
      </c>
      <c r="Y25" s="726">
        <v>1995</v>
      </c>
      <c r="Z25" s="726">
        <v>1995</v>
      </c>
      <c r="AA25" s="726">
        <v>1995</v>
      </c>
      <c r="AB25" s="726">
        <v>1995</v>
      </c>
      <c r="AC25" s="726">
        <v>1995</v>
      </c>
      <c r="AD25" s="726">
        <v>1995</v>
      </c>
      <c r="AE25" s="726">
        <v>1995</v>
      </c>
      <c r="AF25" s="726">
        <v>1995</v>
      </c>
      <c r="AG25" s="726">
        <v>1995</v>
      </c>
      <c r="AH25" s="726">
        <v>1995</v>
      </c>
      <c r="AI25" s="726">
        <v>1995</v>
      </c>
      <c r="AJ25" s="726">
        <v>1995</v>
      </c>
      <c r="AK25" s="726">
        <v>1995</v>
      </c>
      <c r="AL25" s="726">
        <v>1995</v>
      </c>
      <c r="AM25" s="726">
        <v>1995</v>
      </c>
      <c r="AN25" s="726">
        <v>1995</v>
      </c>
      <c r="AO25" s="726">
        <v>1798</v>
      </c>
      <c r="AP25" s="726">
        <v>0</v>
      </c>
      <c r="AQ25" s="726">
        <v>0</v>
      </c>
      <c r="AR25" s="726">
        <v>0</v>
      </c>
      <c r="AS25" s="726">
        <v>0</v>
      </c>
      <c r="AT25" s="726">
        <v>0</v>
      </c>
      <c r="AU25" s="726">
        <v>0</v>
      </c>
      <c r="AV25" s="178"/>
      <c r="AW25" s="178"/>
      <c r="AX25" s="178"/>
      <c r="AY25" s="178"/>
      <c r="AZ25" s="178"/>
      <c r="BA25" s="178"/>
      <c r="BB25" s="726">
        <v>6696541</v>
      </c>
      <c r="BC25" s="726">
        <v>6696541</v>
      </c>
      <c r="BD25" s="726">
        <v>6696541</v>
      </c>
      <c r="BE25" s="726">
        <v>6696541</v>
      </c>
      <c r="BF25" s="726">
        <v>6696541</v>
      </c>
      <c r="BG25" s="726">
        <v>6696541</v>
      </c>
      <c r="BH25" s="726">
        <v>6696541</v>
      </c>
      <c r="BI25" s="726">
        <v>6696541</v>
      </c>
      <c r="BJ25" s="726">
        <v>6696541</v>
      </c>
      <c r="BK25" s="726">
        <v>6696541</v>
      </c>
      <c r="BL25" s="726">
        <v>6696541</v>
      </c>
      <c r="BM25" s="726">
        <v>6696541</v>
      </c>
      <c r="BN25" s="726">
        <v>6696541</v>
      </c>
      <c r="BO25" s="726">
        <v>6696541</v>
      </c>
      <c r="BP25" s="726">
        <v>6696541</v>
      </c>
      <c r="BQ25" s="726">
        <v>6696541</v>
      </c>
      <c r="BR25" s="726">
        <v>6696541</v>
      </c>
      <c r="BS25" s="726">
        <v>6696541</v>
      </c>
      <c r="BT25" s="726">
        <v>6520592</v>
      </c>
      <c r="BU25" s="726">
        <v>0</v>
      </c>
      <c r="BV25" s="726">
        <v>0</v>
      </c>
      <c r="BW25" s="726">
        <v>0</v>
      </c>
      <c r="BX25" s="726">
        <v>0</v>
      </c>
      <c r="BY25" s="726">
        <v>0</v>
      </c>
      <c r="BZ25" s="884">
        <v>0</v>
      </c>
      <c r="CA25" s="167"/>
    </row>
    <row r="26" spans="2:79" s="17" customFormat="1" ht="16.5" customHeight="1">
      <c r="B26" s="272">
        <v>3</v>
      </c>
      <c r="C26" s="178" t="s">
        <v>116</v>
      </c>
      <c r="D26" s="178"/>
      <c r="E26" s="178"/>
      <c r="F26" s="178"/>
      <c r="G26" s="178"/>
      <c r="H26" s="178"/>
      <c r="I26" s="178"/>
      <c r="J26" s="178"/>
      <c r="K26" s="178"/>
      <c r="L26" s="178"/>
      <c r="M26" s="178"/>
      <c r="N26" s="178"/>
      <c r="O26" s="178"/>
      <c r="P26" s="178"/>
      <c r="Q26" s="178"/>
      <c r="R26" s="178"/>
      <c r="S26" s="178"/>
      <c r="T26" s="178"/>
      <c r="U26" s="178"/>
      <c r="V26" s="178"/>
      <c r="W26" s="726">
        <v>104</v>
      </c>
      <c r="X26" s="726">
        <v>104</v>
      </c>
      <c r="Y26" s="726">
        <v>104</v>
      </c>
      <c r="Z26" s="726">
        <v>104</v>
      </c>
      <c r="AA26" s="726">
        <v>104</v>
      </c>
      <c r="AB26" s="726">
        <v>104</v>
      </c>
      <c r="AC26" s="726">
        <v>104</v>
      </c>
      <c r="AD26" s="726">
        <v>104</v>
      </c>
      <c r="AE26" s="726">
        <v>104</v>
      </c>
      <c r="AF26" s="726">
        <v>104</v>
      </c>
      <c r="AG26" s="726">
        <v>104</v>
      </c>
      <c r="AH26" s="726">
        <v>104</v>
      </c>
      <c r="AI26" s="726">
        <v>104</v>
      </c>
      <c r="AJ26" s="726">
        <v>104</v>
      </c>
      <c r="AK26" s="726">
        <v>104</v>
      </c>
      <c r="AL26" s="726">
        <v>101</v>
      </c>
      <c r="AM26" s="726">
        <v>0</v>
      </c>
      <c r="AN26" s="726">
        <v>0</v>
      </c>
      <c r="AO26" s="726">
        <v>0</v>
      </c>
      <c r="AP26" s="726">
        <v>0</v>
      </c>
      <c r="AQ26" s="726">
        <v>0</v>
      </c>
      <c r="AR26" s="726">
        <v>0</v>
      </c>
      <c r="AS26" s="726">
        <v>0</v>
      </c>
      <c r="AT26" s="726">
        <v>0</v>
      </c>
      <c r="AU26" s="726">
        <v>0</v>
      </c>
      <c r="AV26" s="178"/>
      <c r="AW26" s="178"/>
      <c r="AX26" s="178"/>
      <c r="AY26" s="178"/>
      <c r="AZ26" s="178"/>
      <c r="BA26" s="178"/>
      <c r="BB26" s="726">
        <v>330563</v>
      </c>
      <c r="BC26" s="726">
        <v>330563</v>
      </c>
      <c r="BD26" s="726">
        <v>330563</v>
      </c>
      <c r="BE26" s="726">
        <v>330563</v>
      </c>
      <c r="BF26" s="726">
        <v>330563</v>
      </c>
      <c r="BG26" s="726">
        <v>330563</v>
      </c>
      <c r="BH26" s="726">
        <v>330563</v>
      </c>
      <c r="BI26" s="726">
        <v>330563</v>
      </c>
      <c r="BJ26" s="726">
        <v>330563</v>
      </c>
      <c r="BK26" s="726">
        <v>330563</v>
      </c>
      <c r="BL26" s="726">
        <v>330563</v>
      </c>
      <c r="BM26" s="726">
        <v>330563</v>
      </c>
      <c r="BN26" s="726">
        <v>330563</v>
      </c>
      <c r="BO26" s="726">
        <v>330563</v>
      </c>
      <c r="BP26" s="726">
        <v>330563</v>
      </c>
      <c r="BQ26" s="726">
        <v>320393</v>
      </c>
      <c r="BR26" s="726">
        <v>0</v>
      </c>
      <c r="BS26" s="726">
        <v>0</v>
      </c>
      <c r="BT26" s="726">
        <v>0</v>
      </c>
      <c r="BU26" s="726">
        <v>0</v>
      </c>
      <c r="BV26" s="726">
        <v>0</v>
      </c>
      <c r="BW26" s="726">
        <v>0</v>
      </c>
      <c r="BX26" s="726">
        <v>0</v>
      </c>
      <c r="BY26" s="726">
        <v>0</v>
      </c>
      <c r="BZ26" s="884">
        <v>0</v>
      </c>
      <c r="CA26" s="167"/>
    </row>
    <row r="27" spans="2:79" s="17" customFormat="1" ht="15.6">
      <c r="B27" s="272">
        <v>4</v>
      </c>
      <c r="C27" s="178" t="s">
        <v>118</v>
      </c>
      <c r="D27" s="178"/>
      <c r="E27" s="275"/>
      <c r="F27" s="178"/>
      <c r="G27" s="178"/>
      <c r="H27" s="178"/>
      <c r="I27" s="178"/>
      <c r="J27" s="178"/>
      <c r="K27" s="178"/>
      <c r="L27" s="178"/>
      <c r="M27" s="178"/>
      <c r="N27" s="178"/>
      <c r="O27" s="178"/>
      <c r="P27" s="178"/>
      <c r="Q27" s="178"/>
      <c r="R27" s="178"/>
      <c r="S27" s="178"/>
      <c r="T27" s="178"/>
      <c r="U27" s="178"/>
      <c r="V27" s="178"/>
      <c r="W27" s="726">
        <v>22</v>
      </c>
      <c r="X27" s="726">
        <v>22</v>
      </c>
      <c r="Y27" s="726">
        <v>22</v>
      </c>
      <c r="Z27" s="726">
        <v>22</v>
      </c>
      <c r="AA27" s="726">
        <v>22</v>
      </c>
      <c r="AB27" s="726">
        <v>22</v>
      </c>
      <c r="AC27" s="726">
        <v>22</v>
      </c>
      <c r="AD27" s="726">
        <v>22</v>
      </c>
      <c r="AE27" s="726">
        <v>22</v>
      </c>
      <c r="AF27" s="726">
        <v>22</v>
      </c>
      <c r="AG27" s="726">
        <v>6</v>
      </c>
      <c r="AH27" s="726">
        <v>0</v>
      </c>
      <c r="AI27" s="726">
        <v>0</v>
      </c>
      <c r="AJ27" s="726">
        <v>0</v>
      </c>
      <c r="AK27" s="726">
        <v>0</v>
      </c>
      <c r="AL27" s="726">
        <v>0</v>
      </c>
      <c r="AM27" s="726">
        <v>0</v>
      </c>
      <c r="AN27" s="726">
        <v>0</v>
      </c>
      <c r="AO27" s="726">
        <v>0</v>
      </c>
      <c r="AP27" s="726">
        <v>0</v>
      </c>
      <c r="AQ27" s="726">
        <v>0</v>
      </c>
      <c r="AR27" s="726">
        <v>0</v>
      </c>
      <c r="AS27" s="726">
        <v>0</v>
      </c>
      <c r="AT27" s="726">
        <v>0</v>
      </c>
      <c r="AU27" s="726">
        <v>0</v>
      </c>
      <c r="AV27" s="178"/>
      <c r="AW27" s="178"/>
      <c r="AX27" s="178"/>
      <c r="AY27" s="178"/>
      <c r="AZ27" s="178"/>
      <c r="BA27" s="178"/>
      <c r="BB27" s="726">
        <v>170854</v>
      </c>
      <c r="BC27" s="726">
        <v>170854</v>
      </c>
      <c r="BD27" s="726">
        <v>170854</v>
      </c>
      <c r="BE27" s="726">
        <v>170854</v>
      </c>
      <c r="BF27" s="726">
        <v>170854</v>
      </c>
      <c r="BG27" s="726">
        <v>170854</v>
      </c>
      <c r="BH27" s="726">
        <v>170854</v>
      </c>
      <c r="BI27" s="726">
        <v>170854</v>
      </c>
      <c r="BJ27" s="726">
        <v>170854</v>
      </c>
      <c r="BK27" s="726">
        <v>170854</v>
      </c>
      <c r="BL27" s="726">
        <v>42182</v>
      </c>
      <c r="BM27" s="726">
        <v>0</v>
      </c>
      <c r="BN27" s="726">
        <v>0</v>
      </c>
      <c r="BO27" s="726">
        <v>0</v>
      </c>
      <c r="BP27" s="726">
        <v>0</v>
      </c>
      <c r="BQ27" s="726">
        <v>0</v>
      </c>
      <c r="BR27" s="726">
        <v>0</v>
      </c>
      <c r="BS27" s="726">
        <v>0</v>
      </c>
      <c r="BT27" s="726">
        <v>0</v>
      </c>
      <c r="BU27" s="726">
        <v>0</v>
      </c>
      <c r="BV27" s="726">
        <v>0</v>
      </c>
      <c r="BW27" s="726">
        <v>0</v>
      </c>
      <c r="BX27" s="726">
        <v>0</v>
      </c>
      <c r="BY27" s="726">
        <v>0</v>
      </c>
      <c r="BZ27" s="884">
        <v>0</v>
      </c>
      <c r="CA27" s="167"/>
    </row>
    <row r="28" spans="2:79" s="17" customFormat="1" ht="15.6">
      <c r="B28" s="272">
        <v>5</v>
      </c>
      <c r="C28" s="178" t="s">
        <v>119</v>
      </c>
      <c r="D28" s="178"/>
      <c r="E28" s="178"/>
      <c r="F28" s="178"/>
      <c r="G28" s="178"/>
      <c r="H28" s="178"/>
      <c r="I28" s="178"/>
      <c r="J28" s="178"/>
      <c r="K28" s="178"/>
      <c r="L28" s="178"/>
      <c r="M28" s="178"/>
      <c r="N28" s="178"/>
      <c r="O28" s="178"/>
      <c r="P28" s="178"/>
      <c r="Q28" s="178"/>
      <c r="R28" s="178"/>
      <c r="S28" s="178"/>
      <c r="T28" s="178"/>
      <c r="U28" s="178"/>
      <c r="V28" s="178"/>
      <c r="W28" s="726">
        <v>9760</v>
      </c>
      <c r="X28" s="726">
        <v>9577</v>
      </c>
      <c r="Y28" s="726">
        <v>9577</v>
      </c>
      <c r="Z28" s="726">
        <v>9577</v>
      </c>
      <c r="AA28" s="726">
        <v>9577</v>
      </c>
      <c r="AB28" s="726">
        <v>9511</v>
      </c>
      <c r="AC28" s="726">
        <v>9511</v>
      </c>
      <c r="AD28" s="726">
        <v>9511</v>
      </c>
      <c r="AE28" s="726">
        <v>9466</v>
      </c>
      <c r="AF28" s="726">
        <v>9466</v>
      </c>
      <c r="AG28" s="726">
        <v>9346</v>
      </c>
      <c r="AH28" s="726">
        <v>7600</v>
      </c>
      <c r="AI28" s="726">
        <v>4751</v>
      </c>
      <c r="AJ28" s="726">
        <v>4751</v>
      </c>
      <c r="AK28" s="726">
        <v>605</v>
      </c>
      <c r="AL28" s="726">
        <v>98</v>
      </c>
      <c r="AM28" s="726">
        <v>98</v>
      </c>
      <c r="AN28" s="726">
        <v>98</v>
      </c>
      <c r="AO28" s="726">
        <v>98</v>
      </c>
      <c r="AP28" s="726">
        <v>98</v>
      </c>
      <c r="AQ28" s="726">
        <v>0</v>
      </c>
      <c r="AR28" s="726">
        <v>0</v>
      </c>
      <c r="AS28" s="726">
        <v>0</v>
      </c>
      <c r="AT28" s="726">
        <v>0</v>
      </c>
      <c r="AU28" s="726">
        <v>0</v>
      </c>
      <c r="AV28" s="178"/>
      <c r="AW28" s="178"/>
      <c r="AX28" s="178"/>
      <c r="AY28" s="178"/>
      <c r="AZ28" s="178"/>
      <c r="BA28" s="178"/>
      <c r="BB28" s="726">
        <v>60465338</v>
      </c>
      <c r="BC28" s="726">
        <v>59505868</v>
      </c>
      <c r="BD28" s="726">
        <v>59505868</v>
      </c>
      <c r="BE28" s="726">
        <v>59505868</v>
      </c>
      <c r="BF28" s="726">
        <v>59505868</v>
      </c>
      <c r="BG28" s="726">
        <v>59000951</v>
      </c>
      <c r="BH28" s="726">
        <v>59000951</v>
      </c>
      <c r="BI28" s="726">
        <v>59000951</v>
      </c>
      <c r="BJ28" s="726">
        <v>58676226</v>
      </c>
      <c r="BK28" s="726">
        <v>58676226</v>
      </c>
      <c r="BL28" s="726">
        <v>57941446</v>
      </c>
      <c r="BM28" s="726">
        <v>48819150</v>
      </c>
      <c r="BN28" s="726">
        <v>26272122</v>
      </c>
      <c r="BO28" s="726">
        <v>26272122</v>
      </c>
      <c r="BP28" s="726">
        <v>2673019</v>
      </c>
      <c r="BQ28" s="726">
        <v>75780</v>
      </c>
      <c r="BR28" s="726">
        <v>75780</v>
      </c>
      <c r="BS28" s="726">
        <v>75780</v>
      </c>
      <c r="BT28" s="726">
        <v>75780</v>
      </c>
      <c r="BU28" s="726">
        <v>75780</v>
      </c>
      <c r="BV28" s="726">
        <v>0</v>
      </c>
      <c r="BW28" s="726">
        <v>0</v>
      </c>
      <c r="BX28" s="726">
        <v>0</v>
      </c>
      <c r="BY28" s="726">
        <v>0</v>
      </c>
      <c r="BZ28" s="884">
        <v>0</v>
      </c>
      <c r="CA28" s="167"/>
    </row>
    <row r="29" spans="2:79" s="17" customFormat="1" ht="15.6">
      <c r="B29" s="272">
        <v>6</v>
      </c>
      <c r="C29" s="178" t="s">
        <v>120</v>
      </c>
      <c r="D29" s="178"/>
      <c r="E29" s="178"/>
      <c r="F29" s="178"/>
      <c r="G29" s="178"/>
      <c r="H29" s="178"/>
      <c r="I29" s="178"/>
      <c r="J29" s="178"/>
      <c r="K29" s="178"/>
      <c r="L29" s="178"/>
      <c r="M29" s="178"/>
      <c r="N29" s="178"/>
      <c r="O29" s="178"/>
      <c r="P29" s="178"/>
      <c r="Q29" s="178"/>
      <c r="R29" s="178"/>
      <c r="S29" s="178"/>
      <c r="T29" s="178"/>
      <c r="U29" s="178"/>
      <c r="V29" s="178"/>
      <c r="W29" s="726">
        <v>15</v>
      </c>
      <c r="X29" s="726">
        <v>15</v>
      </c>
      <c r="Y29" s="726">
        <v>15</v>
      </c>
      <c r="Z29" s="726">
        <v>15</v>
      </c>
      <c r="AA29" s="726">
        <v>14</v>
      </c>
      <c r="AB29" s="726">
        <v>14</v>
      </c>
      <c r="AC29" s="726">
        <v>11</v>
      </c>
      <c r="AD29" s="726">
        <v>10</v>
      </c>
      <c r="AE29" s="726">
        <v>9</v>
      </c>
      <c r="AF29" s="726">
        <v>7</v>
      </c>
      <c r="AG29" s="726">
        <v>6</v>
      </c>
      <c r="AH29" s="726">
        <v>2</v>
      </c>
      <c r="AI29" s="726">
        <v>1</v>
      </c>
      <c r="AJ29" s="726">
        <v>1</v>
      </c>
      <c r="AK29" s="726">
        <v>1</v>
      </c>
      <c r="AL29" s="726">
        <v>1</v>
      </c>
      <c r="AM29" s="726">
        <v>1</v>
      </c>
      <c r="AN29" s="726">
        <v>1</v>
      </c>
      <c r="AO29" s="726">
        <v>1</v>
      </c>
      <c r="AP29" s="726">
        <v>1</v>
      </c>
      <c r="AQ29" s="726">
        <v>1</v>
      </c>
      <c r="AR29" s="726">
        <v>1</v>
      </c>
      <c r="AS29" s="726">
        <v>0</v>
      </c>
      <c r="AT29" s="726">
        <v>0</v>
      </c>
      <c r="AU29" s="726">
        <v>0</v>
      </c>
      <c r="AV29" s="178"/>
      <c r="AW29" s="178"/>
      <c r="AX29" s="178"/>
      <c r="AY29" s="178"/>
      <c r="AZ29" s="178"/>
      <c r="BA29" s="178"/>
      <c r="BB29" s="726">
        <v>60829</v>
      </c>
      <c r="BC29" s="726">
        <v>60829</v>
      </c>
      <c r="BD29" s="726">
        <v>60829</v>
      </c>
      <c r="BE29" s="726">
        <v>60829</v>
      </c>
      <c r="BF29" s="726">
        <v>56838</v>
      </c>
      <c r="BG29" s="726">
        <v>56838</v>
      </c>
      <c r="BH29" s="726">
        <v>40800</v>
      </c>
      <c r="BI29" s="726">
        <v>34589</v>
      </c>
      <c r="BJ29" s="726">
        <v>29548</v>
      </c>
      <c r="BK29" s="726">
        <v>22234</v>
      </c>
      <c r="BL29" s="726">
        <v>18598</v>
      </c>
      <c r="BM29" s="726">
        <v>7001</v>
      </c>
      <c r="BN29" s="726">
        <v>1980</v>
      </c>
      <c r="BO29" s="726">
        <v>1980</v>
      </c>
      <c r="BP29" s="726">
        <v>1980</v>
      </c>
      <c r="BQ29" s="726">
        <v>1980</v>
      </c>
      <c r="BR29" s="726">
        <v>1980</v>
      </c>
      <c r="BS29" s="726">
        <v>1980</v>
      </c>
      <c r="BT29" s="726">
        <v>1980</v>
      </c>
      <c r="BU29" s="726">
        <v>1980</v>
      </c>
      <c r="BV29" s="726">
        <v>1980</v>
      </c>
      <c r="BW29" s="726">
        <v>1980</v>
      </c>
      <c r="BX29" s="726">
        <v>0</v>
      </c>
      <c r="BY29" s="726">
        <v>0</v>
      </c>
      <c r="BZ29" s="884">
        <v>0</v>
      </c>
      <c r="CA29" s="167"/>
    </row>
    <row r="30" spans="2:79" s="17" customFormat="1" ht="15.6">
      <c r="B30" s="272">
        <v>7</v>
      </c>
      <c r="C30" s="178" t="s">
        <v>121</v>
      </c>
      <c r="D30" s="178"/>
      <c r="E30" s="178"/>
      <c r="F30" s="178"/>
      <c r="G30" s="178"/>
      <c r="H30" s="178"/>
      <c r="I30" s="178"/>
      <c r="J30" s="178"/>
      <c r="K30" s="178"/>
      <c r="L30" s="178"/>
      <c r="M30" s="178"/>
      <c r="N30" s="178"/>
      <c r="O30" s="178"/>
      <c r="P30" s="178"/>
      <c r="Q30" s="178"/>
      <c r="R30" s="178"/>
      <c r="S30" s="178"/>
      <c r="T30" s="178"/>
      <c r="U30" s="178"/>
      <c r="V30" s="178"/>
      <c r="W30" s="726">
        <v>397</v>
      </c>
      <c r="X30" s="726">
        <v>397</v>
      </c>
      <c r="Y30" s="726">
        <v>397</v>
      </c>
      <c r="Z30" s="726">
        <v>397</v>
      </c>
      <c r="AA30" s="726">
        <v>397</v>
      </c>
      <c r="AB30" s="726">
        <v>397</v>
      </c>
      <c r="AC30" s="726">
        <v>397</v>
      </c>
      <c r="AD30" s="726">
        <v>397</v>
      </c>
      <c r="AE30" s="726">
        <v>397</v>
      </c>
      <c r="AF30" s="726">
        <v>397</v>
      </c>
      <c r="AG30" s="726">
        <v>397</v>
      </c>
      <c r="AH30" s="726">
        <v>397</v>
      </c>
      <c r="AI30" s="726">
        <v>397</v>
      </c>
      <c r="AJ30" s="726">
        <v>397</v>
      </c>
      <c r="AK30" s="726">
        <v>397</v>
      </c>
      <c r="AL30" s="726">
        <v>298</v>
      </c>
      <c r="AM30" s="726">
        <v>242</v>
      </c>
      <c r="AN30" s="726">
        <v>238</v>
      </c>
      <c r="AO30" s="726">
        <v>231</v>
      </c>
      <c r="AP30" s="726">
        <v>231</v>
      </c>
      <c r="AQ30" s="726">
        <v>231</v>
      </c>
      <c r="AR30" s="726">
        <v>231</v>
      </c>
      <c r="AS30" s="726">
        <v>231</v>
      </c>
      <c r="AT30" s="726">
        <v>231</v>
      </c>
      <c r="AU30" s="726">
        <v>231</v>
      </c>
      <c r="AV30" s="178"/>
      <c r="AW30" s="178"/>
      <c r="AX30" s="178"/>
      <c r="AY30" s="178"/>
      <c r="AZ30" s="178"/>
      <c r="BA30" s="178"/>
      <c r="BB30" s="726">
        <v>1646039</v>
      </c>
      <c r="BC30" s="726">
        <v>1646039</v>
      </c>
      <c r="BD30" s="726">
        <v>1646039</v>
      </c>
      <c r="BE30" s="726">
        <v>1646039</v>
      </c>
      <c r="BF30" s="726">
        <v>1646039</v>
      </c>
      <c r="BG30" s="726">
        <v>1646039</v>
      </c>
      <c r="BH30" s="726">
        <v>1646039</v>
      </c>
      <c r="BI30" s="726">
        <v>1646039</v>
      </c>
      <c r="BJ30" s="726">
        <v>1646039</v>
      </c>
      <c r="BK30" s="726">
        <v>1646039</v>
      </c>
      <c r="BL30" s="726">
        <v>1646039</v>
      </c>
      <c r="BM30" s="726">
        <v>1646039</v>
      </c>
      <c r="BN30" s="726">
        <v>1646039</v>
      </c>
      <c r="BO30" s="726">
        <v>1646039</v>
      </c>
      <c r="BP30" s="726">
        <v>1646039</v>
      </c>
      <c r="BQ30" s="726">
        <v>1220094</v>
      </c>
      <c r="BR30" s="726">
        <v>981218</v>
      </c>
      <c r="BS30" s="726">
        <v>954161</v>
      </c>
      <c r="BT30" s="726">
        <v>899463</v>
      </c>
      <c r="BU30" s="726">
        <v>899463</v>
      </c>
      <c r="BV30" s="726">
        <v>899463</v>
      </c>
      <c r="BW30" s="726">
        <v>899463</v>
      </c>
      <c r="BX30" s="726">
        <v>899463</v>
      </c>
      <c r="BY30" s="726">
        <v>899463</v>
      </c>
      <c r="BZ30" s="884">
        <v>899463</v>
      </c>
      <c r="CA30" s="167"/>
    </row>
    <row r="31" spans="2:79" s="17" customFormat="1" ht="15.6">
      <c r="B31" s="272">
        <v>8</v>
      </c>
      <c r="C31" s="178" t="s">
        <v>125</v>
      </c>
      <c r="D31" s="178"/>
      <c r="E31" s="178"/>
      <c r="F31" s="178"/>
      <c r="G31" s="178"/>
      <c r="H31" s="178"/>
      <c r="I31" s="178"/>
      <c r="J31" s="178"/>
      <c r="K31" s="178"/>
      <c r="L31" s="178"/>
      <c r="M31" s="178"/>
      <c r="N31" s="178"/>
      <c r="O31" s="178"/>
      <c r="P31" s="178"/>
      <c r="Q31" s="178"/>
      <c r="R31" s="178"/>
      <c r="S31" s="178"/>
      <c r="T31" s="178"/>
      <c r="U31" s="178"/>
      <c r="V31" s="178"/>
      <c r="W31" s="726">
        <v>145</v>
      </c>
      <c r="X31" s="726">
        <v>79</v>
      </c>
      <c r="Y31" s="726">
        <v>53</v>
      </c>
      <c r="Z31" s="726">
        <v>53</v>
      </c>
      <c r="AA31" s="726">
        <v>53</v>
      </c>
      <c r="AB31" s="726">
        <v>53</v>
      </c>
      <c r="AC31" s="726">
        <v>53</v>
      </c>
      <c r="AD31" s="726">
        <v>53</v>
      </c>
      <c r="AE31" s="726">
        <v>53</v>
      </c>
      <c r="AF31" s="726">
        <v>46</v>
      </c>
      <c r="AG31" s="726">
        <v>25</v>
      </c>
      <c r="AH31" s="726">
        <v>25</v>
      </c>
      <c r="AI31" s="726">
        <v>25</v>
      </c>
      <c r="AJ31" s="726">
        <v>20</v>
      </c>
      <c r="AK31" s="726">
        <v>20</v>
      </c>
      <c r="AL31" s="726">
        <v>20</v>
      </c>
      <c r="AM31" s="726">
        <v>20</v>
      </c>
      <c r="AN31" s="726">
        <v>20</v>
      </c>
      <c r="AO31" s="726">
        <v>20</v>
      </c>
      <c r="AP31" s="726">
        <v>20</v>
      </c>
      <c r="AQ31" s="726">
        <v>0</v>
      </c>
      <c r="AR31" s="726">
        <v>0</v>
      </c>
      <c r="AS31" s="726">
        <v>0</v>
      </c>
      <c r="AT31" s="726">
        <v>0</v>
      </c>
      <c r="AU31" s="726">
        <v>0</v>
      </c>
      <c r="AV31" s="178"/>
      <c r="AW31" s="178"/>
      <c r="AX31" s="178"/>
      <c r="AY31" s="178"/>
      <c r="AZ31" s="178"/>
      <c r="BA31" s="178"/>
      <c r="BB31" s="726">
        <v>1619649</v>
      </c>
      <c r="BC31" s="726">
        <v>888301</v>
      </c>
      <c r="BD31" s="726">
        <v>667610</v>
      </c>
      <c r="BE31" s="726">
        <v>617845</v>
      </c>
      <c r="BF31" s="726">
        <v>617845</v>
      </c>
      <c r="BG31" s="726">
        <v>343518</v>
      </c>
      <c r="BH31" s="726">
        <v>343518</v>
      </c>
      <c r="BI31" s="726">
        <v>343518</v>
      </c>
      <c r="BJ31" s="726">
        <v>343518</v>
      </c>
      <c r="BK31" s="726">
        <v>295986</v>
      </c>
      <c r="BL31" s="726">
        <v>152324</v>
      </c>
      <c r="BM31" s="726">
        <v>152324</v>
      </c>
      <c r="BN31" s="726">
        <v>152324</v>
      </c>
      <c r="BO31" s="726">
        <v>145604</v>
      </c>
      <c r="BP31" s="726">
        <v>145604</v>
      </c>
      <c r="BQ31" s="726">
        <v>145604</v>
      </c>
      <c r="BR31" s="726">
        <v>145604</v>
      </c>
      <c r="BS31" s="726">
        <v>145604</v>
      </c>
      <c r="BT31" s="726">
        <v>145604</v>
      </c>
      <c r="BU31" s="726">
        <v>145604</v>
      </c>
      <c r="BV31" s="726">
        <v>0</v>
      </c>
      <c r="BW31" s="726">
        <v>0</v>
      </c>
      <c r="BX31" s="726">
        <v>0</v>
      </c>
      <c r="BY31" s="726">
        <v>0</v>
      </c>
      <c r="BZ31" s="884">
        <v>0</v>
      </c>
      <c r="CA31" s="167"/>
    </row>
    <row r="32" spans="2:79" s="17" customFormat="1" ht="15.6">
      <c r="B32" s="272">
        <v>9</v>
      </c>
      <c r="C32" s="178" t="s">
        <v>825</v>
      </c>
      <c r="D32" s="178"/>
      <c r="E32" s="178"/>
      <c r="F32" s="178"/>
      <c r="G32" s="178"/>
      <c r="H32" s="178"/>
      <c r="I32" s="178"/>
      <c r="J32" s="178"/>
      <c r="K32" s="178"/>
      <c r="L32" s="178"/>
      <c r="M32" s="178"/>
      <c r="N32" s="178"/>
      <c r="O32" s="178"/>
      <c r="P32" s="178"/>
      <c r="Q32" s="178"/>
      <c r="R32" s="178"/>
      <c r="S32" s="178"/>
      <c r="T32" s="178"/>
      <c r="U32" s="178"/>
      <c r="V32" s="178"/>
      <c r="W32" s="726">
        <v>137</v>
      </c>
      <c r="X32" s="726">
        <v>136</v>
      </c>
      <c r="Y32" s="726">
        <v>136</v>
      </c>
      <c r="Z32" s="726">
        <v>114</v>
      </c>
      <c r="AA32" s="726">
        <v>102</v>
      </c>
      <c r="AB32" s="726">
        <v>102</v>
      </c>
      <c r="AC32" s="726">
        <v>102</v>
      </c>
      <c r="AD32" s="726">
        <v>102</v>
      </c>
      <c r="AE32" s="726">
        <v>102</v>
      </c>
      <c r="AF32" s="726">
        <v>102</v>
      </c>
      <c r="AG32" s="726">
        <v>89</v>
      </c>
      <c r="AH32" s="726">
        <v>85</v>
      </c>
      <c r="AI32" s="726">
        <v>85</v>
      </c>
      <c r="AJ32" s="726">
        <v>85</v>
      </c>
      <c r="AK32" s="726">
        <v>85</v>
      </c>
      <c r="AL32" s="726">
        <v>0</v>
      </c>
      <c r="AM32" s="726">
        <v>0</v>
      </c>
      <c r="AN32" s="726">
        <v>0</v>
      </c>
      <c r="AO32" s="726">
        <v>0</v>
      </c>
      <c r="AP32" s="726">
        <v>0</v>
      </c>
      <c r="AQ32" s="726">
        <v>0</v>
      </c>
      <c r="AR32" s="726">
        <v>0</v>
      </c>
      <c r="AS32" s="726">
        <v>0</v>
      </c>
      <c r="AT32" s="726">
        <v>0</v>
      </c>
      <c r="AU32" s="726">
        <v>0</v>
      </c>
      <c r="AV32" s="178"/>
      <c r="AW32" s="178"/>
      <c r="AX32" s="178"/>
      <c r="AY32" s="178"/>
      <c r="AZ32" s="178"/>
      <c r="BA32" s="178"/>
      <c r="BB32" s="726">
        <v>1013502</v>
      </c>
      <c r="BC32" s="726">
        <v>1009583</v>
      </c>
      <c r="BD32" s="726">
        <v>1009583</v>
      </c>
      <c r="BE32" s="726">
        <v>878605</v>
      </c>
      <c r="BF32" s="726">
        <v>804761</v>
      </c>
      <c r="BG32" s="726">
        <v>784899</v>
      </c>
      <c r="BH32" s="726">
        <v>784899</v>
      </c>
      <c r="BI32" s="726">
        <v>784899</v>
      </c>
      <c r="BJ32" s="726">
        <v>784899</v>
      </c>
      <c r="BK32" s="726">
        <v>784899</v>
      </c>
      <c r="BL32" s="726">
        <v>736152</v>
      </c>
      <c r="BM32" s="726">
        <v>713410</v>
      </c>
      <c r="BN32" s="726">
        <v>713410</v>
      </c>
      <c r="BO32" s="726">
        <v>713410</v>
      </c>
      <c r="BP32" s="726">
        <v>713410</v>
      </c>
      <c r="BQ32" s="726">
        <v>0</v>
      </c>
      <c r="BR32" s="726">
        <v>0</v>
      </c>
      <c r="BS32" s="726">
        <v>0</v>
      </c>
      <c r="BT32" s="726">
        <v>0</v>
      </c>
      <c r="BU32" s="726">
        <v>0</v>
      </c>
      <c r="BV32" s="726">
        <v>0</v>
      </c>
      <c r="BW32" s="726">
        <v>0</v>
      </c>
      <c r="BX32" s="726">
        <v>0</v>
      </c>
      <c r="BY32" s="726">
        <v>0</v>
      </c>
      <c r="BZ32" s="884">
        <v>0</v>
      </c>
      <c r="CA32" s="167"/>
    </row>
    <row r="33" spans="2:79" s="17" customFormat="1" ht="15.6">
      <c r="B33" s="272">
        <v>10</v>
      </c>
      <c r="C33" s="178" t="s">
        <v>822</v>
      </c>
      <c r="D33" s="178"/>
      <c r="E33" s="178"/>
      <c r="F33" s="178"/>
      <c r="G33" s="178"/>
      <c r="H33" s="178"/>
      <c r="I33" s="178"/>
      <c r="J33" s="178"/>
      <c r="K33" s="178"/>
      <c r="L33" s="178"/>
      <c r="M33" s="178"/>
      <c r="N33" s="178"/>
      <c r="O33" s="178"/>
      <c r="P33" s="178"/>
      <c r="Q33" s="178"/>
      <c r="R33" s="178"/>
      <c r="S33" s="178"/>
      <c r="T33" s="178"/>
      <c r="U33" s="178"/>
      <c r="V33" s="178"/>
      <c r="W33" s="726">
        <v>13</v>
      </c>
      <c r="X33" s="726">
        <v>13</v>
      </c>
      <c r="Y33" s="726">
        <v>13</v>
      </c>
      <c r="Z33" s="726">
        <v>13</v>
      </c>
      <c r="AA33" s="726">
        <v>13</v>
      </c>
      <c r="AB33" s="726">
        <v>13</v>
      </c>
      <c r="AC33" s="726">
        <v>13</v>
      </c>
      <c r="AD33" s="726">
        <v>13</v>
      </c>
      <c r="AE33" s="726">
        <v>13</v>
      </c>
      <c r="AF33" s="726">
        <v>13</v>
      </c>
      <c r="AG33" s="726">
        <v>13</v>
      </c>
      <c r="AH33" s="726">
        <v>13</v>
      </c>
      <c r="AI33" s="726">
        <v>13</v>
      </c>
      <c r="AJ33" s="726">
        <v>11</v>
      </c>
      <c r="AK33" s="726">
        <v>11</v>
      </c>
      <c r="AL33" s="726">
        <v>4</v>
      </c>
      <c r="AM33" s="726">
        <v>4</v>
      </c>
      <c r="AN33" s="726">
        <v>0</v>
      </c>
      <c r="AO33" s="726">
        <v>0</v>
      </c>
      <c r="AP33" s="726">
        <v>0</v>
      </c>
      <c r="AQ33" s="726">
        <v>0</v>
      </c>
      <c r="AR33" s="726">
        <v>0</v>
      </c>
      <c r="AS33" s="726">
        <v>0</v>
      </c>
      <c r="AT33" s="726">
        <v>0</v>
      </c>
      <c r="AU33" s="726">
        <v>0</v>
      </c>
      <c r="AV33" s="178"/>
      <c r="AW33" s="178"/>
      <c r="AX33" s="178"/>
      <c r="AY33" s="178"/>
      <c r="AZ33" s="178"/>
      <c r="BA33" s="178"/>
      <c r="BB33" s="726">
        <v>202605</v>
      </c>
      <c r="BC33" s="726">
        <v>202605</v>
      </c>
      <c r="BD33" s="726">
        <v>202605</v>
      </c>
      <c r="BE33" s="726">
        <v>202605</v>
      </c>
      <c r="BF33" s="726">
        <v>202605</v>
      </c>
      <c r="BG33" s="726">
        <v>202605</v>
      </c>
      <c r="BH33" s="726">
        <v>202605</v>
      </c>
      <c r="BI33" s="726">
        <v>202605</v>
      </c>
      <c r="BJ33" s="726">
        <v>202605</v>
      </c>
      <c r="BK33" s="726">
        <v>202605</v>
      </c>
      <c r="BL33" s="726">
        <v>202605</v>
      </c>
      <c r="BM33" s="726">
        <v>202605</v>
      </c>
      <c r="BN33" s="726">
        <v>202605</v>
      </c>
      <c r="BO33" s="726">
        <v>169609</v>
      </c>
      <c r="BP33" s="726">
        <v>169609</v>
      </c>
      <c r="BQ33" s="726">
        <v>60975</v>
      </c>
      <c r="BR33" s="726">
        <v>60975</v>
      </c>
      <c r="BS33" s="726">
        <v>0</v>
      </c>
      <c r="BT33" s="726">
        <v>0</v>
      </c>
      <c r="BU33" s="726">
        <v>0</v>
      </c>
      <c r="BV33" s="726">
        <v>0</v>
      </c>
      <c r="BW33" s="726">
        <v>0</v>
      </c>
      <c r="BX33" s="726">
        <v>0</v>
      </c>
      <c r="BY33" s="726">
        <v>0</v>
      </c>
      <c r="BZ33" s="884">
        <v>0</v>
      </c>
      <c r="CA33" s="167"/>
    </row>
    <row r="34" spans="2:79" s="17" customFormat="1" ht="15.6">
      <c r="B34" s="272">
        <v>11</v>
      </c>
      <c r="C34" s="178" t="s">
        <v>823</v>
      </c>
      <c r="D34" s="178"/>
      <c r="E34" s="178"/>
      <c r="F34" s="178"/>
      <c r="G34" s="178"/>
      <c r="H34" s="178"/>
      <c r="I34" s="178"/>
      <c r="J34" s="178"/>
      <c r="K34" s="178"/>
      <c r="L34" s="178"/>
      <c r="M34" s="178"/>
      <c r="N34" s="178"/>
      <c r="O34" s="178"/>
      <c r="P34" s="178"/>
      <c r="Q34" s="178"/>
      <c r="R34" s="178"/>
      <c r="S34" s="178"/>
      <c r="T34" s="178"/>
      <c r="U34" s="178"/>
      <c r="V34" s="178"/>
      <c r="W34" s="726">
        <v>1</v>
      </c>
      <c r="X34" s="726">
        <v>1</v>
      </c>
      <c r="Y34" s="726">
        <v>1</v>
      </c>
      <c r="Z34" s="726">
        <v>1</v>
      </c>
      <c r="AA34" s="726">
        <v>1</v>
      </c>
      <c r="AB34" s="726">
        <v>1</v>
      </c>
      <c r="AC34" s="726">
        <v>1</v>
      </c>
      <c r="AD34" s="726">
        <v>1</v>
      </c>
      <c r="AE34" s="726">
        <v>1</v>
      </c>
      <c r="AF34" s="726">
        <v>1</v>
      </c>
      <c r="AG34" s="726">
        <v>1</v>
      </c>
      <c r="AH34" s="726">
        <v>1</v>
      </c>
      <c r="AI34" s="726">
        <v>1</v>
      </c>
      <c r="AJ34" s="726">
        <v>1</v>
      </c>
      <c r="AK34" s="726">
        <v>1</v>
      </c>
      <c r="AL34" s="726">
        <v>1</v>
      </c>
      <c r="AM34" s="726">
        <v>1</v>
      </c>
      <c r="AN34" s="726">
        <v>1</v>
      </c>
      <c r="AO34" s="726">
        <v>0</v>
      </c>
      <c r="AP34" s="726">
        <v>0</v>
      </c>
      <c r="AQ34" s="726">
        <v>0</v>
      </c>
      <c r="AR34" s="726">
        <v>0</v>
      </c>
      <c r="AS34" s="726">
        <v>0</v>
      </c>
      <c r="AT34" s="726">
        <v>0</v>
      </c>
      <c r="AU34" s="726">
        <v>0</v>
      </c>
      <c r="AV34" s="178"/>
      <c r="AW34" s="178"/>
      <c r="AX34" s="178"/>
      <c r="AY34" s="178"/>
      <c r="AZ34" s="178"/>
      <c r="BA34" s="178"/>
      <c r="BB34" s="726">
        <v>6077</v>
      </c>
      <c r="BC34" s="726">
        <v>6077</v>
      </c>
      <c r="BD34" s="726">
        <v>6077</v>
      </c>
      <c r="BE34" s="726">
        <v>6077</v>
      </c>
      <c r="BF34" s="726">
        <v>6077</v>
      </c>
      <c r="BG34" s="726">
        <v>6077</v>
      </c>
      <c r="BH34" s="726">
        <v>6077</v>
      </c>
      <c r="BI34" s="726">
        <v>6077</v>
      </c>
      <c r="BJ34" s="726">
        <v>6077</v>
      </c>
      <c r="BK34" s="726">
        <v>6077</v>
      </c>
      <c r="BL34" s="726">
        <v>6077</v>
      </c>
      <c r="BM34" s="726">
        <v>6077</v>
      </c>
      <c r="BN34" s="726">
        <v>6077</v>
      </c>
      <c r="BO34" s="726">
        <v>6077</v>
      </c>
      <c r="BP34" s="726">
        <v>4572</v>
      </c>
      <c r="BQ34" s="726">
        <v>4572</v>
      </c>
      <c r="BR34" s="726">
        <v>4572</v>
      </c>
      <c r="BS34" s="726">
        <v>4572</v>
      </c>
      <c r="BT34" s="726">
        <v>0</v>
      </c>
      <c r="BU34" s="726">
        <v>0</v>
      </c>
      <c r="BV34" s="726">
        <v>0</v>
      </c>
      <c r="BW34" s="726">
        <v>0</v>
      </c>
      <c r="BX34" s="726">
        <v>0</v>
      </c>
      <c r="BY34" s="726">
        <v>0</v>
      </c>
      <c r="BZ34" s="884">
        <v>0</v>
      </c>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topLeftCell="C68" zoomScale="80" zoomScaleNormal="80" workbookViewId="0">
      <selection activeCell="I75" sqref="I75"/>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16384" width="9.10937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1232" t="s">
        <v>666</v>
      </c>
      <c r="D8" s="1232"/>
      <c r="E8" s="1232"/>
      <c r="F8" s="1232"/>
      <c r="G8" s="1232"/>
      <c r="H8" s="1232"/>
      <c r="I8" s="1232"/>
      <c r="J8" s="1232"/>
      <c r="K8" s="1232"/>
      <c r="L8" s="1232"/>
      <c r="M8" s="1232"/>
      <c r="N8" s="1232"/>
      <c r="O8" s="1232"/>
      <c r="P8" s="1232"/>
      <c r="Q8" s="1232"/>
      <c r="R8" s="1232"/>
      <c r="S8" s="1232"/>
      <c r="T8" s="107"/>
      <c r="U8" s="107"/>
      <c r="V8" s="107"/>
      <c r="W8" s="107"/>
    </row>
    <row r="9" spans="1:28" s="9" customFormat="1" ht="45" customHeight="1">
      <c r="B9" s="57"/>
      <c r="C9" s="1232" t="s">
        <v>655</v>
      </c>
      <c r="D9" s="1232"/>
      <c r="E9" s="1232"/>
      <c r="F9" s="1232"/>
      <c r="G9" s="1232"/>
      <c r="H9" s="1232"/>
      <c r="I9" s="1232"/>
      <c r="J9" s="1232"/>
      <c r="K9" s="1232"/>
      <c r="L9" s="1232"/>
      <c r="M9" s="1232"/>
      <c r="N9" s="1232"/>
      <c r="O9" s="1232"/>
      <c r="P9" s="1232"/>
      <c r="Q9" s="1232"/>
      <c r="R9" s="1232"/>
      <c r="S9" s="1232"/>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1231" t="s">
        <v>238</v>
      </c>
      <c r="C12" s="1231"/>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48">
        <v>1.4999999999999999E-2</v>
      </c>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f>(SUM('1.  LRAMVA Summary'!J$53:J$61)+SUM('1.  LRAMVA Summary'!J$62:J$63)*(MONTH($E61)-1)/12)*$H61</f>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0</v>
      </c>
    </row>
    <row r="62" spans="1:23"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f>(SUM('1.  LRAMVA Summary'!J$53:J$61)+SUM('1.  LRAMVA Summary'!J$62:J$63)*(MONTH($E62)-1)/12)*$H62</f>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0</v>
      </c>
    </row>
    <row r="63" spans="1:23"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f>(SUM('1.  LRAMVA Summary'!J$53:J$61)+SUM('1.  LRAMVA Summary'!J$62:J$63)*(MONTH($E63)-1)/12)*$H63</f>
        <v>0</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0</v>
      </c>
    </row>
    <row r="64" spans="1:23"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f>(SUM('1.  LRAMVA Summary'!J$53:J$61)+SUM('1.  LRAMVA Summary'!J$62:J$63)*(MONTH($E64)-1)/12)*$H64</f>
        <v>0</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0</v>
      </c>
    </row>
    <row r="65" spans="2:23"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f>(SUM('1.  LRAMVA Summary'!J$53:J$61)+SUM('1.  LRAMVA Summary'!J$62:J$63)*(MONTH($E65)-1)/12)*$H65</f>
        <v>0</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0</v>
      </c>
    </row>
    <row r="66" spans="2:23"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f>(SUM('1.  LRAMVA Summary'!J$53:J$61)+SUM('1.  LRAMVA Summary'!J$62:J$63)*(MONTH($E66)-1)/12)*$H66</f>
        <v>0</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0</v>
      </c>
    </row>
    <row r="67" spans="2:23"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f>(SUM('1.  LRAMVA Summary'!J$53:J$61)+SUM('1.  LRAMVA Summary'!J$62:J$63)*(MONTH($E67)-1)/12)*$H67</f>
        <v>0</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0</v>
      </c>
    </row>
    <row r="68" spans="2:23"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f>(SUM('1.  LRAMVA Summary'!J$53:J$61)+SUM('1.  LRAMVA Summary'!J$62:J$63)*(MONTH($E68)-1)/12)*$H68</f>
        <v>0</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0</v>
      </c>
    </row>
    <row r="69" spans="2:23"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f>(SUM('1.  LRAMVA Summary'!J$53:J$61)+SUM('1.  LRAMVA Summary'!J$62:J$63)*(MONTH($E69)-1)/12)*$H69</f>
        <v>0</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0</v>
      </c>
    </row>
    <row r="70" spans="2:23"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f>(SUM('1.  LRAMVA Summary'!J$53:J$61)+SUM('1.  LRAMVA Summary'!J$62:J$63)*(MONTH($E70)-1)/12)*$H70</f>
        <v>0</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0</v>
      </c>
    </row>
    <row r="71" spans="2:23"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f>(SUM('1.  LRAMVA Summary'!J$53:J$61)+SUM('1.  LRAMVA Summary'!J$62:J$63)*(MONTH($E71)-1)/12)*$H71</f>
        <v>0</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0</v>
      </c>
    </row>
    <row r="72" spans="2:23" s="9" customFormat="1" ht="15" thickBot="1">
      <c r="B72" s="68"/>
      <c r="E72" s="231" t="s">
        <v>470</v>
      </c>
      <c r="F72" s="231"/>
      <c r="G72" s="232"/>
      <c r="H72" s="233"/>
      <c r="I72" s="234">
        <f>SUM(I59:I71)</f>
        <v>0</v>
      </c>
      <c r="J72" s="234">
        <f t="shared" ref="J72:V72" si="11">SUM(J59:J71)</f>
        <v>0</v>
      </c>
      <c r="K72" s="234">
        <f t="shared" si="11"/>
        <v>0</v>
      </c>
      <c r="L72" s="234">
        <f t="shared" si="11"/>
        <v>0</v>
      </c>
      <c r="M72" s="234">
        <f t="shared" si="11"/>
        <v>0</v>
      </c>
      <c r="N72" s="234">
        <f t="shared" si="11"/>
        <v>0</v>
      </c>
      <c r="O72" s="234">
        <f t="shared" si="11"/>
        <v>0</v>
      </c>
      <c r="P72" s="234">
        <f t="shared" si="11"/>
        <v>0</v>
      </c>
      <c r="Q72" s="234">
        <f t="shared" si="11"/>
        <v>0</v>
      </c>
      <c r="R72" s="234">
        <f t="shared" si="11"/>
        <v>0</v>
      </c>
      <c r="S72" s="234">
        <f t="shared" si="11"/>
        <v>0</v>
      </c>
      <c r="T72" s="234">
        <f t="shared" si="11"/>
        <v>0</v>
      </c>
      <c r="U72" s="234">
        <f t="shared" si="11"/>
        <v>0</v>
      </c>
      <c r="V72" s="234">
        <f t="shared" si="11"/>
        <v>0</v>
      </c>
      <c r="W72" s="234">
        <f>SUM(W59:W71)</f>
        <v>0</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0</v>
      </c>
      <c r="J74" s="243">
        <f t="shared" si="12"/>
        <v>0</v>
      </c>
      <c r="K74" s="243">
        <f t="shared" si="12"/>
        <v>0</v>
      </c>
      <c r="L74" s="243">
        <f t="shared" si="12"/>
        <v>0</v>
      </c>
      <c r="M74" s="243">
        <f t="shared" si="12"/>
        <v>0</v>
      </c>
      <c r="N74" s="243">
        <f t="shared" si="12"/>
        <v>0</v>
      </c>
      <c r="O74" s="243">
        <f t="shared" si="12"/>
        <v>0</v>
      </c>
      <c r="P74" s="243">
        <f t="shared" si="12"/>
        <v>0</v>
      </c>
      <c r="Q74" s="243">
        <f t="shared" si="12"/>
        <v>0</v>
      </c>
      <c r="R74" s="243">
        <f t="shared" si="12"/>
        <v>0</v>
      </c>
      <c r="S74" s="243">
        <f t="shared" si="12"/>
        <v>0</v>
      </c>
      <c r="T74" s="243">
        <f t="shared" si="12"/>
        <v>0</v>
      </c>
      <c r="U74" s="243">
        <f t="shared" si="12"/>
        <v>0</v>
      </c>
      <c r="V74" s="243">
        <f t="shared" si="12"/>
        <v>0</v>
      </c>
      <c r="W74" s="243">
        <f>W72+W73</f>
        <v>0</v>
      </c>
    </row>
    <row r="75" spans="2:23"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(SUM('1.  LRAMVA Summary'!J$53:J$64)+SUM('1.  LRAMVA Summary'!J$65:J$66)*(MONTH($E75)-1)/12)*$H75</f>
        <v>0</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0</v>
      </c>
    </row>
    <row r="76" spans="2:23" s="253" customFormat="1">
      <c r="B76" s="252"/>
      <c r="E76" s="229">
        <v>42036</v>
      </c>
      <c r="F76" s="229" t="s">
        <v>182</v>
      </c>
      <c r="G76" s="230" t="s">
        <v>65</v>
      </c>
      <c r="H76" s="244">
        <f t="shared" ref="H76:H77" si="13">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f>(SUM('1.  LRAMVA Summary'!J$53:J$64)+SUM('1.  LRAMVA Summary'!J$65:J$66)*(MONTH($E76)-1)/12)*$H76</f>
        <v>0</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0</v>
      </c>
    </row>
    <row r="77" spans="2:23" s="9" customFormat="1">
      <c r="B77" s="68"/>
      <c r="E77" s="229">
        <v>42064</v>
      </c>
      <c r="F77" s="229" t="s">
        <v>182</v>
      </c>
      <c r="G77" s="230" t="s">
        <v>65</v>
      </c>
      <c r="H77" s="244">
        <f t="shared" si="13"/>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f>(SUM('1.  LRAMVA Summary'!J$53:J$64)+SUM('1.  LRAMVA Summary'!J$65:J$66)*(MONTH($E77)-1)/12)*$H77</f>
        <v>0</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0</v>
      </c>
    </row>
    <row r="78" spans="2:23"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f>(SUM('1.  LRAMVA Summary'!J$53:J$64)+SUM('1.  LRAMVA Summary'!J$65:J$66)*(MONTH($E78)-1)/12)*$H78</f>
        <v>0</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0</v>
      </c>
    </row>
    <row r="79" spans="2:23" s="9" customFormat="1">
      <c r="B79" s="68"/>
      <c r="E79" s="229">
        <v>42125</v>
      </c>
      <c r="F79" s="229" t="s">
        <v>182</v>
      </c>
      <c r="G79" s="230" t="s">
        <v>66</v>
      </c>
      <c r="H79" s="244">
        <f t="shared" ref="H79:H80" si="15">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f>(SUM('1.  LRAMVA Summary'!J$53:J$64)+SUM('1.  LRAMVA Summary'!J$65:J$66)*(MONTH($E79)-1)/12)*$H79</f>
        <v>0</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0</v>
      </c>
    </row>
    <row r="80" spans="2:23" s="9" customFormat="1">
      <c r="B80" s="68"/>
      <c r="E80" s="229">
        <v>42156</v>
      </c>
      <c r="F80" s="229" t="s">
        <v>182</v>
      </c>
      <c r="G80" s="230" t="s">
        <v>66</v>
      </c>
      <c r="H80" s="244">
        <f t="shared" si="15"/>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f>(SUM('1.  LRAMVA Summary'!J$53:J$64)+SUM('1.  LRAMVA Summary'!J$65:J$66)*(MONTH($E80)-1)/12)*$H80</f>
        <v>0</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0</v>
      </c>
    </row>
    <row r="81" spans="2:23"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f>(SUM('1.  LRAMVA Summary'!J$53:J$64)+SUM('1.  LRAMVA Summary'!J$65:J$66)*(MONTH($E81)-1)/12)*$H81</f>
        <v>0</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0</v>
      </c>
    </row>
    <row r="82" spans="2:23" s="9" customFormat="1">
      <c r="B82" s="68"/>
      <c r="E82" s="229">
        <v>42217</v>
      </c>
      <c r="F82" s="229" t="s">
        <v>182</v>
      </c>
      <c r="G82" s="230" t="s">
        <v>68</v>
      </c>
      <c r="H82" s="244">
        <f t="shared" ref="H82:H83" si="16">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f>(SUM('1.  LRAMVA Summary'!J$53:J$64)+SUM('1.  LRAMVA Summary'!J$65:J$66)*(MONTH($E82)-1)/12)*$H82</f>
        <v>0</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0</v>
      </c>
    </row>
    <row r="83" spans="2:23" s="9" customFormat="1">
      <c r="B83" s="68"/>
      <c r="E83" s="229">
        <v>42248</v>
      </c>
      <c r="F83" s="229" t="s">
        <v>182</v>
      </c>
      <c r="G83" s="230" t="s">
        <v>68</v>
      </c>
      <c r="H83" s="244">
        <f t="shared" si="16"/>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f>(SUM('1.  LRAMVA Summary'!J$53:J$64)+SUM('1.  LRAMVA Summary'!J$65:J$66)*(MONTH($E83)-1)/12)*$H83</f>
        <v>0</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0</v>
      </c>
    </row>
    <row r="84" spans="2:23"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f>(SUM('1.  LRAMVA Summary'!J$53:J$64)+SUM('1.  LRAMVA Summary'!J$65:J$66)*(MONTH($E84)-1)/12)*$H84</f>
        <v>0</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0</v>
      </c>
    </row>
    <row r="85" spans="2:23" s="9" customFormat="1">
      <c r="B85" s="68"/>
      <c r="E85" s="229">
        <v>42309</v>
      </c>
      <c r="F85" s="229" t="s">
        <v>182</v>
      </c>
      <c r="G85" s="230" t="s">
        <v>69</v>
      </c>
      <c r="H85" s="244">
        <f t="shared" ref="H85:H86" si="17">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f>(SUM('1.  LRAMVA Summary'!J$53:J$64)+SUM('1.  LRAMVA Summary'!J$65:J$66)*(MONTH($E85)-1)/12)*$H85</f>
        <v>0</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0</v>
      </c>
    </row>
    <row r="86" spans="2:23" s="9" customFormat="1">
      <c r="B86" s="68"/>
      <c r="E86" s="229">
        <v>42339</v>
      </c>
      <c r="F86" s="229" t="s">
        <v>182</v>
      </c>
      <c r="G86" s="230" t="s">
        <v>69</v>
      </c>
      <c r="H86" s="244">
        <f t="shared" si="17"/>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f>(SUM('1.  LRAMVA Summary'!J$53:J$64)+SUM('1.  LRAMVA Summary'!J$65:J$66)*(MONTH($E86)-1)/12)*$H86</f>
        <v>0</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0</v>
      </c>
    </row>
    <row r="87" spans="2:23" s="9" customFormat="1" ht="15" thickBot="1">
      <c r="B87" s="68"/>
      <c r="E87" s="231" t="s">
        <v>471</v>
      </c>
      <c r="F87" s="231"/>
      <c r="G87" s="232"/>
      <c r="H87" s="233"/>
      <c r="I87" s="234">
        <f>SUM(I74:I86)</f>
        <v>0</v>
      </c>
      <c r="J87" s="234">
        <f>SUM(J74:J86)</f>
        <v>0</v>
      </c>
      <c r="K87" s="234">
        <f t="shared" ref="K87:V87" si="18">SUM(K74:K86)</f>
        <v>0</v>
      </c>
      <c r="L87" s="234">
        <f t="shared" si="18"/>
        <v>0</v>
      </c>
      <c r="M87" s="234">
        <f t="shared" si="18"/>
        <v>0</v>
      </c>
      <c r="N87" s="234">
        <f t="shared" si="18"/>
        <v>0</v>
      </c>
      <c r="O87" s="234">
        <f t="shared" si="18"/>
        <v>0</v>
      </c>
      <c r="P87" s="234">
        <f t="shared" si="18"/>
        <v>0</v>
      </c>
      <c r="Q87" s="234">
        <f t="shared" si="18"/>
        <v>0</v>
      </c>
      <c r="R87" s="234">
        <f t="shared" si="18"/>
        <v>0</v>
      </c>
      <c r="S87" s="234">
        <f t="shared" si="18"/>
        <v>0</v>
      </c>
      <c r="T87" s="234">
        <f t="shared" si="18"/>
        <v>0</v>
      </c>
      <c r="U87" s="234">
        <f t="shared" si="18"/>
        <v>0</v>
      </c>
      <c r="V87" s="234">
        <f t="shared" si="18"/>
        <v>0</v>
      </c>
      <c r="W87" s="234">
        <f>SUM(W74:W86)</f>
        <v>0</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0</v>
      </c>
      <c r="J89" s="243">
        <f t="shared" ref="J89:W89" si="19">J87+J88</f>
        <v>0</v>
      </c>
      <c r="K89" s="243">
        <f t="shared" si="19"/>
        <v>0</v>
      </c>
      <c r="L89" s="243">
        <f t="shared" si="19"/>
        <v>0</v>
      </c>
      <c r="M89" s="243">
        <f t="shared" si="19"/>
        <v>0</v>
      </c>
      <c r="N89" s="243">
        <f t="shared" si="19"/>
        <v>0</v>
      </c>
      <c r="O89" s="243">
        <f t="shared" si="19"/>
        <v>0</v>
      </c>
      <c r="P89" s="243">
        <f t="shared" si="19"/>
        <v>0</v>
      </c>
      <c r="Q89" s="243">
        <f t="shared" si="19"/>
        <v>0</v>
      </c>
      <c r="R89" s="243">
        <f t="shared" si="19"/>
        <v>0</v>
      </c>
      <c r="S89" s="243">
        <f t="shared" si="19"/>
        <v>0</v>
      </c>
      <c r="T89" s="243">
        <f t="shared" si="19"/>
        <v>0</v>
      </c>
      <c r="U89" s="243">
        <f t="shared" si="19"/>
        <v>0</v>
      </c>
      <c r="V89" s="243">
        <f t="shared" si="19"/>
        <v>0</v>
      </c>
      <c r="W89" s="243">
        <f t="shared" si="19"/>
        <v>0</v>
      </c>
    </row>
    <row r="90" spans="2:23"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0</v>
      </c>
    </row>
    <row r="91" spans="2:23" s="9" customFormat="1">
      <c r="B91" s="68"/>
      <c r="E91" s="229">
        <v>42401</v>
      </c>
      <c r="F91" s="229" t="s">
        <v>184</v>
      </c>
      <c r="G91" s="230" t="s">
        <v>65</v>
      </c>
      <c r="H91" s="244">
        <f t="shared" ref="H91:H92" si="20">$C$35/12</f>
        <v>9.1666666666666665E-4</v>
      </c>
      <c r="I91" s="245">
        <f>(SUM('1.  LRAMVA Summary'!D$53:D$67)+SUM('1.  LRAMVA Summary'!D$68:D$69)*(MONTH($E91)-1)/12)*$H91</f>
        <v>49.045887084598881</v>
      </c>
      <c r="J91" s="245">
        <f>(SUM('1.  LRAMVA Summary'!E$53:E$67)+SUM('1.  LRAMVA Summary'!E$68:E$69)*(MONTH($E91)-1)/12)*$H91</f>
        <v>48.069142120456426</v>
      </c>
      <c r="K91" s="245">
        <f>(SUM('1.  LRAMVA Summary'!F$53:F$67)+SUM('1.  LRAMVA Summary'!F$68:F$69)*(MONTH($E91)-1)/12)*$H91</f>
        <v>77.705158534083949</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f>(SUM('1.  LRAMVA Summary'!J$53:J$67)+SUM('1.  LRAMVA Summary'!J$68:J$69)*(MONTH($E91)-1)/12)*$H91</f>
        <v>12.736485373537571</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186.87509948838476</v>
      </c>
    </row>
    <row r="92" spans="2:23" s="9" customFormat="1" ht="14.25" customHeight="1">
      <c r="B92" s="68"/>
      <c r="E92" s="229">
        <v>42430</v>
      </c>
      <c r="F92" s="229" t="s">
        <v>184</v>
      </c>
      <c r="G92" s="230" t="s">
        <v>65</v>
      </c>
      <c r="H92" s="244">
        <f t="shared" si="20"/>
        <v>9.1666666666666665E-4</v>
      </c>
      <c r="I92" s="245">
        <f>(SUM('1.  LRAMVA Summary'!D$53:D$67)+SUM('1.  LRAMVA Summary'!D$68:D$69)*(MONTH($E92)-1)/12)*$H92</f>
        <v>98.091774169197762</v>
      </c>
      <c r="J92" s="245">
        <f>(SUM('1.  LRAMVA Summary'!E$53:E$67)+SUM('1.  LRAMVA Summary'!E$68:E$69)*(MONTH($E92)-1)/12)*$H92</f>
        <v>96.138284240912853</v>
      </c>
      <c r="K92" s="245">
        <f>(SUM('1.  LRAMVA Summary'!F$53:F$67)+SUM('1.  LRAMVA Summary'!F$68:F$69)*(MONTH($E92)-1)/12)*$H92</f>
        <v>155.4103170681679</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f>(SUM('1.  LRAMVA Summary'!J$53:J$67)+SUM('1.  LRAMVA Summary'!J$68:J$69)*(MONTH($E92)-1)/12)*$H92</f>
        <v>25.472970747075141</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373.75019897676952</v>
      </c>
    </row>
    <row r="93" spans="2:23" s="8" customFormat="1">
      <c r="B93" s="254"/>
      <c r="D93" s="9"/>
      <c r="E93" s="229">
        <v>42461</v>
      </c>
      <c r="F93" s="229" t="s">
        <v>184</v>
      </c>
      <c r="G93" s="230" t="s">
        <v>66</v>
      </c>
      <c r="H93" s="244">
        <f>$C$36/12</f>
        <v>9.1666666666666665E-4</v>
      </c>
      <c r="I93" s="245">
        <f>(SUM('1.  LRAMVA Summary'!D$53:D$67)+SUM('1.  LRAMVA Summary'!D$68:D$69)*(MONTH($E93)-1)/12)*$H93</f>
        <v>147.13766125379664</v>
      </c>
      <c r="J93" s="245">
        <f>(SUM('1.  LRAMVA Summary'!E$53:E$67)+SUM('1.  LRAMVA Summary'!E$68:E$69)*(MONTH($E93)-1)/12)*$H93</f>
        <v>144.20742636136927</v>
      </c>
      <c r="K93" s="245">
        <f>(SUM('1.  LRAMVA Summary'!F$53:F$67)+SUM('1.  LRAMVA Summary'!F$68:F$69)*(MONTH($E93)-1)/12)*$H93</f>
        <v>233.11547560225182</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f>(SUM('1.  LRAMVA Summary'!J$53:J$67)+SUM('1.  LRAMVA Summary'!J$68:J$69)*(MONTH($E93)-1)/12)*$H93</f>
        <v>38.209456120612714</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560.62529846515417</v>
      </c>
    </row>
    <row r="94" spans="2:23" s="9" customFormat="1">
      <c r="B94" s="68"/>
      <c r="E94" s="229">
        <v>42491</v>
      </c>
      <c r="F94" s="229" t="s">
        <v>184</v>
      </c>
      <c r="G94" s="230" t="s">
        <v>66</v>
      </c>
      <c r="H94" s="244">
        <f t="shared" ref="H94:H95" si="22">$C$36/12</f>
        <v>9.1666666666666665E-4</v>
      </c>
      <c r="I94" s="245">
        <f>(SUM('1.  LRAMVA Summary'!D$53:D$67)+SUM('1.  LRAMVA Summary'!D$68:D$69)*(MONTH($E94)-1)/12)*$H94</f>
        <v>196.18354833839552</v>
      </c>
      <c r="J94" s="245">
        <f>(SUM('1.  LRAMVA Summary'!E$53:E$67)+SUM('1.  LRAMVA Summary'!E$68:E$69)*(MONTH($E94)-1)/12)*$H94</f>
        <v>192.27656848182571</v>
      </c>
      <c r="K94" s="245">
        <f>(SUM('1.  LRAMVA Summary'!F$53:F$67)+SUM('1.  LRAMVA Summary'!F$68:F$69)*(MONTH($E94)-1)/12)*$H94</f>
        <v>310.8206341363358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f>(SUM('1.  LRAMVA Summary'!J$53:J$67)+SUM('1.  LRAMVA Summary'!J$68:J$69)*(MONTH($E94)-1)/12)*$H94</f>
        <v>50.945941494150283</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747.50039795353905</v>
      </c>
    </row>
    <row r="95" spans="2:23" s="253" customFormat="1">
      <c r="B95" s="252"/>
      <c r="D95" s="9"/>
      <c r="E95" s="229">
        <v>42522</v>
      </c>
      <c r="F95" s="229" t="s">
        <v>184</v>
      </c>
      <c r="G95" s="230" t="s">
        <v>66</v>
      </c>
      <c r="H95" s="244">
        <f t="shared" si="22"/>
        <v>9.1666666666666665E-4</v>
      </c>
      <c r="I95" s="245">
        <f>(SUM('1.  LRAMVA Summary'!D$53:D$67)+SUM('1.  LRAMVA Summary'!D$68:D$69)*(MONTH($E95)-1)/12)*$H95</f>
        <v>245.22943542299438</v>
      </c>
      <c r="J95" s="245">
        <f>(SUM('1.  LRAMVA Summary'!E$53:E$67)+SUM('1.  LRAMVA Summary'!E$68:E$69)*(MONTH($E95)-1)/12)*$H95</f>
        <v>240.34571060228211</v>
      </c>
      <c r="K95" s="245">
        <f>(SUM('1.  LRAMVA Summary'!F$53:F$67)+SUM('1.  LRAMVA Summary'!F$68:F$69)*(MONTH($E95)-1)/12)*$H95</f>
        <v>388.52579267041978</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f>(SUM('1.  LRAMVA Summary'!J$53:J$67)+SUM('1.  LRAMVA Summary'!J$68:J$69)*(MONTH($E95)-1)/12)*$H95</f>
        <v>63.682426867687852</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934.3754974419237</v>
      </c>
    </row>
    <row r="96" spans="2:23" s="9" customFormat="1">
      <c r="B96" s="68"/>
      <c r="E96" s="229">
        <v>42552</v>
      </c>
      <c r="F96" s="229" t="s">
        <v>184</v>
      </c>
      <c r="G96" s="230" t="s">
        <v>68</v>
      </c>
      <c r="H96" s="244">
        <f>$C$37/12</f>
        <v>9.1666666666666665E-4</v>
      </c>
      <c r="I96" s="245">
        <f>(SUM('1.  LRAMVA Summary'!D$53:D$67)+SUM('1.  LRAMVA Summary'!D$68:D$69)*(MONTH($E96)-1)/12)*$H96</f>
        <v>294.27532250759327</v>
      </c>
      <c r="J96" s="245">
        <f>(SUM('1.  LRAMVA Summary'!E$53:E$67)+SUM('1.  LRAMVA Summary'!E$68:E$69)*(MONTH($E96)-1)/12)*$H96</f>
        <v>288.41485272273854</v>
      </c>
      <c r="K96" s="245">
        <f>(SUM('1.  LRAMVA Summary'!F$53:F$67)+SUM('1.  LRAMVA Summary'!F$68:F$69)*(MONTH($E96)-1)/12)*$H96</f>
        <v>466.23095120450364</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f>(SUM('1.  LRAMVA Summary'!J$53:J$67)+SUM('1.  LRAMVA Summary'!J$68:J$69)*(MONTH($E96)-1)/12)*$H96</f>
        <v>76.418912241225428</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1121.2505969303083</v>
      </c>
    </row>
    <row r="97" spans="2:23" s="9" customFormat="1">
      <c r="B97" s="68"/>
      <c r="E97" s="229">
        <v>42583</v>
      </c>
      <c r="F97" s="229" t="s">
        <v>184</v>
      </c>
      <c r="G97" s="230" t="s">
        <v>68</v>
      </c>
      <c r="H97" s="244">
        <f t="shared" ref="H97:H98" si="23">$C$37/12</f>
        <v>9.1666666666666665E-4</v>
      </c>
      <c r="I97" s="245">
        <f>(SUM('1.  LRAMVA Summary'!D$53:D$67)+SUM('1.  LRAMVA Summary'!D$68:D$69)*(MONTH($E97)-1)/12)*$H97</f>
        <v>343.32120959219213</v>
      </c>
      <c r="J97" s="245">
        <f>(SUM('1.  LRAMVA Summary'!E$53:E$67)+SUM('1.  LRAMVA Summary'!E$68:E$69)*(MONTH($E97)-1)/12)*$H97</f>
        <v>336.48399484319498</v>
      </c>
      <c r="K97" s="245">
        <f>(SUM('1.  LRAMVA Summary'!F$53:F$67)+SUM('1.  LRAMVA Summary'!F$68:F$69)*(MONTH($E97)-1)/12)*$H97</f>
        <v>543.93610973858767</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f>(SUM('1.  LRAMVA Summary'!J$53:J$67)+SUM('1.  LRAMVA Summary'!J$68:J$69)*(MONTH($E97)-1)/12)*$H97</f>
        <v>89.155397614763004</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1308.1256964186932</v>
      </c>
    </row>
    <row r="98" spans="2:23" s="9" customFormat="1">
      <c r="B98" s="68"/>
      <c r="E98" s="229">
        <v>42614</v>
      </c>
      <c r="F98" s="229" t="s">
        <v>184</v>
      </c>
      <c r="G98" s="230" t="s">
        <v>68</v>
      </c>
      <c r="H98" s="244">
        <f t="shared" si="23"/>
        <v>9.1666666666666665E-4</v>
      </c>
      <c r="I98" s="245">
        <f>(SUM('1.  LRAMVA Summary'!D$53:D$67)+SUM('1.  LRAMVA Summary'!D$68:D$69)*(MONTH($E98)-1)/12)*$H98</f>
        <v>392.36709667679105</v>
      </c>
      <c r="J98" s="245">
        <f>(SUM('1.  LRAMVA Summary'!E$53:E$67)+SUM('1.  LRAMVA Summary'!E$68:E$69)*(MONTH($E98)-1)/12)*$H98</f>
        <v>384.55313696365141</v>
      </c>
      <c r="K98" s="245">
        <f>(SUM('1.  LRAMVA Summary'!F$53:F$67)+SUM('1.  LRAMVA Summary'!F$68:F$69)*(MONTH($E98)-1)/12)*$H98</f>
        <v>621.6412682726716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f>(SUM('1.  LRAMVA Summary'!J$53:J$67)+SUM('1.  LRAMVA Summary'!J$68:J$69)*(MONTH($E98)-1)/12)*$H98</f>
        <v>101.89188298830057</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1495.0007959070781</v>
      </c>
    </row>
    <row r="99" spans="2:23" s="9" customFormat="1">
      <c r="B99" s="68"/>
      <c r="E99" s="229">
        <v>42644</v>
      </c>
      <c r="F99" s="229" t="s">
        <v>184</v>
      </c>
      <c r="G99" s="230" t="s">
        <v>69</v>
      </c>
      <c r="H99" s="225">
        <f>$C$38/12</f>
        <v>9.1666666666666665E-4</v>
      </c>
      <c r="I99" s="245">
        <f>(SUM('1.  LRAMVA Summary'!D$53:D$67)+SUM('1.  LRAMVA Summary'!D$68:D$69)*(MONTH($E99)-1)/12)*$H99</f>
        <v>441.41298376138991</v>
      </c>
      <c r="J99" s="245">
        <f>(SUM('1.  LRAMVA Summary'!E$53:E$67)+SUM('1.  LRAMVA Summary'!E$68:E$69)*(MONTH($E99)-1)/12)*$H99</f>
        <v>432.62227908410779</v>
      </c>
      <c r="K99" s="245">
        <f>(SUM('1.  LRAMVA Summary'!F$53:F$67)+SUM('1.  LRAMVA Summary'!F$68:F$69)*(MONTH($E99)-1)/12)*$H99</f>
        <v>699.34642680675563</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f>(SUM('1.  LRAMVA Summary'!J$53:J$67)+SUM('1.  LRAMVA Summary'!J$68:J$69)*(MONTH($E99)-1)/12)*$H99</f>
        <v>114.62836836183814</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1681.875895395463</v>
      </c>
    </row>
    <row r="100" spans="2:23" s="9" customFormat="1">
      <c r="B100" s="68"/>
      <c r="E100" s="229">
        <v>42675</v>
      </c>
      <c r="F100" s="229" t="s">
        <v>184</v>
      </c>
      <c r="G100" s="230" t="s">
        <v>69</v>
      </c>
      <c r="H100" s="225">
        <f t="shared" ref="H100:H101" si="24">$C$38/12</f>
        <v>9.1666666666666665E-4</v>
      </c>
      <c r="I100" s="245">
        <f>(SUM('1.  LRAMVA Summary'!D$53:D$67)+SUM('1.  LRAMVA Summary'!D$68:D$69)*(MONTH($E100)-1)/12)*$H100</f>
        <v>490.45887084598877</v>
      </c>
      <c r="J100" s="245">
        <f>(SUM('1.  LRAMVA Summary'!E$53:E$67)+SUM('1.  LRAMVA Summary'!E$68:E$69)*(MONTH($E100)-1)/12)*$H100</f>
        <v>480.69142120456422</v>
      </c>
      <c r="K100" s="245">
        <f>(SUM('1.  LRAMVA Summary'!F$53:F$67)+SUM('1.  LRAMVA Summary'!F$68:F$69)*(MONTH($E100)-1)/12)*$H100</f>
        <v>777.05158534083955</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f>(SUM('1.  LRAMVA Summary'!J$53:J$67)+SUM('1.  LRAMVA Summary'!J$68:J$69)*(MONTH($E100)-1)/12)*$H100</f>
        <v>127.3648537353757</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1868.7509948838474</v>
      </c>
    </row>
    <row r="101" spans="2:23" s="9" customFormat="1">
      <c r="B101" s="68"/>
      <c r="E101" s="229">
        <v>42705</v>
      </c>
      <c r="F101" s="229" t="s">
        <v>184</v>
      </c>
      <c r="G101" s="230" t="s">
        <v>69</v>
      </c>
      <c r="H101" s="225">
        <f t="shared" si="24"/>
        <v>9.1666666666666665E-4</v>
      </c>
      <c r="I101" s="245">
        <f>(SUM('1.  LRAMVA Summary'!D$53:D$67)+SUM('1.  LRAMVA Summary'!D$68:D$69)*(MONTH($E101)-1)/12)*$H101</f>
        <v>539.50475793058763</v>
      </c>
      <c r="J101" s="245">
        <f>(SUM('1.  LRAMVA Summary'!E$53:E$67)+SUM('1.  LRAMVA Summary'!E$68:E$69)*(MONTH($E101)-1)/12)*$H101</f>
        <v>528.76056332502071</v>
      </c>
      <c r="K101" s="245">
        <f>(SUM('1.  LRAMVA Summary'!F$53:F$67)+SUM('1.  LRAMVA Summary'!F$68:F$69)*(MONTH($E101)-1)/12)*$H101</f>
        <v>854.75674387492347</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f>(SUM('1.  LRAMVA Summary'!J$53:J$67)+SUM('1.  LRAMVA Summary'!J$68:J$69)*(MONTH($E101)-1)/12)*$H101</f>
        <v>140.10133910891329</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2055.6260943722323</v>
      </c>
    </row>
    <row r="102" spans="2:23" s="9" customFormat="1" ht="15" thickBot="1">
      <c r="B102" s="68"/>
      <c r="E102" s="231" t="s">
        <v>472</v>
      </c>
      <c r="F102" s="231"/>
      <c r="G102" s="232"/>
      <c r="H102" s="233"/>
      <c r="I102" s="234">
        <f>SUM(I89:I101)</f>
        <v>3237.0285475835262</v>
      </c>
      <c r="J102" s="234">
        <f>SUM(J89:J101)</f>
        <v>3172.5633799501238</v>
      </c>
      <c r="K102" s="234">
        <f t="shared" ref="K102:V102" si="25">SUM(K89:K101)</f>
        <v>5128.5404632495411</v>
      </c>
      <c r="L102" s="234">
        <f t="shared" si="25"/>
        <v>-27.117939375632595</v>
      </c>
      <c r="M102" s="234">
        <f t="shared" si="25"/>
        <v>-17.039601005136372</v>
      </c>
      <c r="N102" s="234">
        <f t="shared" si="25"/>
        <v>-0.82631882250839139</v>
      </c>
      <c r="O102" s="234">
        <f t="shared" si="25"/>
        <v>840.60803465347965</v>
      </c>
      <c r="P102" s="234">
        <f t="shared" si="25"/>
        <v>0</v>
      </c>
      <c r="Q102" s="234">
        <f t="shared" si="25"/>
        <v>0</v>
      </c>
      <c r="R102" s="234">
        <f t="shared" si="25"/>
        <v>0</v>
      </c>
      <c r="S102" s="234">
        <f t="shared" si="25"/>
        <v>0</v>
      </c>
      <c r="T102" s="234">
        <f t="shared" si="25"/>
        <v>0</v>
      </c>
      <c r="U102" s="234">
        <f t="shared" si="25"/>
        <v>0</v>
      </c>
      <c r="V102" s="234">
        <f t="shared" si="25"/>
        <v>0</v>
      </c>
      <c r="W102" s="234">
        <f>SUM(W89:W101)</f>
        <v>12333.756566233393</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3237.0285475835262</v>
      </c>
      <c r="J104" s="243">
        <f t="shared" ref="J104:W104" si="26">J102+J103</f>
        <v>3172.5633799501238</v>
      </c>
      <c r="K104" s="243">
        <f t="shared" si="26"/>
        <v>5128.5404632495411</v>
      </c>
      <c r="L104" s="243">
        <f t="shared" si="26"/>
        <v>-27.117939375632595</v>
      </c>
      <c r="M104" s="243">
        <f t="shared" si="26"/>
        <v>-17.039601005136372</v>
      </c>
      <c r="N104" s="243">
        <f t="shared" si="26"/>
        <v>-0.82631882250839139</v>
      </c>
      <c r="O104" s="243">
        <f t="shared" si="26"/>
        <v>840.60803465347965</v>
      </c>
      <c r="P104" s="243">
        <f t="shared" si="26"/>
        <v>0</v>
      </c>
      <c r="Q104" s="243">
        <f t="shared" si="26"/>
        <v>0</v>
      </c>
      <c r="R104" s="243">
        <f t="shared" si="26"/>
        <v>0</v>
      </c>
      <c r="S104" s="243">
        <f t="shared" si="26"/>
        <v>0</v>
      </c>
      <c r="T104" s="243">
        <f t="shared" si="26"/>
        <v>0</v>
      </c>
      <c r="U104" s="243">
        <f t="shared" si="26"/>
        <v>0</v>
      </c>
      <c r="V104" s="243">
        <f t="shared" si="26"/>
        <v>0</v>
      </c>
      <c r="W104" s="243">
        <f t="shared" si="26"/>
        <v>12333.756566233393</v>
      </c>
    </row>
    <row r="105" spans="2:23" s="9" customFormat="1">
      <c r="B105" s="68"/>
      <c r="E105" s="229">
        <v>42736</v>
      </c>
      <c r="F105" s="229" t="s">
        <v>185</v>
      </c>
      <c r="G105" s="230" t="s">
        <v>65</v>
      </c>
      <c r="H105" s="255">
        <f>$C$39/12</f>
        <v>9.1666666666666665E-4</v>
      </c>
      <c r="I105" s="245">
        <f>(SUM('1.  LRAMVA Summary'!D$53:D$70)+SUM('1.  LRAMVA Summary'!D$71:D$72)*(MONTH($E105)-1)/12)*$H105</f>
        <v>588.55064501518655</v>
      </c>
      <c r="J105" s="245">
        <f>(SUM('1.  LRAMVA Summary'!E$53:E$70)+SUM('1.  LRAMVA Summary'!E$71:E$72)*(MONTH($E105)-1)/12)*$H105</f>
        <v>576.82970544547709</v>
      </c>
      <c r="K105" s="245">
        <f>(SUM('1.  LRAMVA Summary'!F$53:F$70)+SUM('1.  LRAMVA Summary'!F$71:F$72)*(MONTH($E105)-1)/12)*$H105</f>
        <v>932.46190240900739</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(SUM('1.  LRAMVA Summary'!J$53:J$70)+SUM('1.  LRAMVA Summary'!J$71:J$72)*(MONTH($E105)-1)/12)*$H105</f>
        <v>152.83782448245086</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2242.5011938606167</v>
      </c>
    </row>
    <row r="106" spans="2:23" s="9" customFormat="1">
      <c r="B106" s="68"/>
      <c r="E106" s="229">
        <v>42767</v>
      </c>
      <c r="F106" s="229" t="s">
        <v>185</v>
      </c>
      <c r="G106" s="230" t="s">
        <v>65</v>
      </c>
      <c r="H106" s="255">
        <f t="shared" ref="H106:H107" si="27">$C$39/12</f>
        <v>9.1666666666666665E-4</v>
      </c>
      <c r="I106" s="245">
        <f>(SUM('1.  LRAMVA Summary'!D$53:D$70)+SUM('1.  LRAMVA Summary'!D$71:D$72)*(MONTH($E106)-1)/12)*$H106</f>
        <v>588.55064501518655</v>
      </c>
      <c r="J106" s="245">
        <f>(SUM('1.  LRAMVA Summary'!E$53:E$70)+SUM('1.  LRAMVA Summary'!E$71:E$72)*(MONTH($E106)-1)/12)*$H106</f>
        <v>576.82970544547709</v>
      </c>
      <c r="K106" s="245">
        <f>(SUM('1.  LRAMVA Summary'!F$53:F$70)+SUM('1.  LRAMVA Summary'!F$71:F$72)*(MONTH($E106)-1)/12)*$H106</f>
        <v>932.46190240900739</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f>(SUM('1.  LRAMVA Summary'!J$53:J$70)+SUM('1.  LRAMVA Summary'!J$71:J$72)*(MONTH($E106)-1)/12)*$H106</f>
        <v>152.83782448245086</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2242.5011938606167</v>
      </c>
    </row>
    <row r="107" spans="2:23" s="9" customFormat="1">
      <c r="B107" s="68"/>
      <c r="E107" s="229">
        <v>42795</v>
      </c>
      <c r="F107" s="229" t="s">
        <v>185</v>
      </c>
      <c r="G107" s="230" t="s">
        <v>65</v>
      </c>
      <c r="H107" s="255">
        <f t="shared" si="27"/>
        <v>9.1666666666666665E-4</v>
      </c>
      <c r="I107" s="245">
        <f>(SUM('1.  LRAMVA Summary'!D$53:D$70)+SUM('1.  LRAMVA Summary'!D$71:D$72)*(MONTH($E107)-1)/12)*$H107</f>
        <v>588.55064501518655</v>
      </c>
      <c r="J107" s="245">
        <f>(SUM('1.  LRAMVA Summary'!E$53:E$70)+SUM('1.  LRAMVA Summary'!E$71:E$72)*(MONTH($E107)-1)/12)*$H107</f>
        <v>576.82970544547709</v>
      </c>
      <c r="K107" s="245">
        <f>(SUM('1.  LRAMVA Summary'!F$53:F$70)+SUM('1.  LRAMVA Summary'!F$71:F$72)*(MONTH($E107)-1)/12)*$H107</f>
        <v>932.46190240900739</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f>(SUM('1.  LRAMVA Summary'!J$53:J$70)+SUM('1.  LRAMVA Summary'!J$71:J$72)*(MONTH($E107)-1)/12)*$H107</f>
        <v>152.83782448245086</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2242.5011938606167</v>
      </c>
    </row>
    <row r="108" spans="2:23" s="8" customFormat="1">
      <c r="B108" s="254"/>
      <c r="E108" s="229">
        <v>42826</v>
      </c>
      <c r="F108" s="229" t="s">
        <v>185</v>
      </c>
      <c r="G108" s="230" t="s">
        <v>66</v>
      </c>
      <c r="H108" s="255">
        <f>$C$40/12</f>
        <v>9.1666666666666665E-4</v>
      </c>
      <c r="I108" s="245">
        <f>(SUM('1.  LRAMVA Summary'!D$53:D$70)+SUM('1.  LRAMVA Summary'!D$71:D$72)*(MONTH($E108)-1)/12)*$H108</f>
        <v>588.55064501518655</v>
      </c>
      <c r="J108" s="245">
        <f>(SUM('1.  LRAMVA Summary'!E$53:E$70)+SUM('1.  LRAMVA Summary'!E$71:E$72)*(MONTH($E108)-1)/12)*$H108</f>
        <v>576.82970544547709</v>
      </c>
      <c r="K108" s="245">
        <f>(SUM('1.  LRAMVA Summary'!F$53:F$70)+SUM('1.  LRAMVA Summary'!F$71:F$72)*(MONTH($E108)-1)/12)*$H108</f>
        <v>932.46190240900739</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f>(SUM('1.  LRAMVA Summary'!J$53:J$70)+SUM('1.  LRAMVA Summary'!J$71:J$72)*(MONTH($E108)-1)/12)*$H108</f>
        <v>152.83782448245086</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2242.5011938606167</v>
      </c>
    </row>
    <row r="109" spans="2:23" s="9" customFormat="1">
      <c r="B109" s="68"/>
      <c r="E109" s="229">
        <v>42856</v>
      </c>
      <c r="F109" s="229" t="s">
        <v>185</v>
      </c>
      <c r="G109" s="230" t="s">
        <v>66</v>
      </c>
      <c r="H109" s="255">
        <f t="shared" ref="H109:H110" si="29">$C$40/12</f>
        <v>9.1666666666666665E-4</v>
      </c>
      <c r="I109" s="245">
        <f>(SUM('1.  LRAMVA Summary'!D$53:D$70)+SUM('1.  LRAMVA Summary'!D$71:D$72)*(MONTH($E109)-1)/12)*$H109</f>
        <v>588.55064501518655</v>
      </c>
      <c r="J109" s="245">
        <f>(SUM('1.  LRAMVA Summary'!E$53:E$70)+SUM('1.  LRAMVA Summary'!E$71:E$72)*(MONTH($E109)-1)/12)*$H109</f>
        <v>576.82970544547709</v>
      </c>
      <c r="K109" s="245">
        <f>(SUM('1.  LRAMVA Summary'!F$53:F$70)+SUM('1.  LRAMVA Summary'!F$71:F$72)*(MONTH($E109)-1)/12)*$H109</f>
        <v>932.46190240900739</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f>(SUM('1.  LRAMVA Summary'!J$53:J$70)+SUM('1.  LRAMVA Summary'!J$71:J$72)*(MONTH($E109)-1)/12)*$H109</f>
        <v>152.83782448245086</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2242.5011938606167</v>
      </c>
    </row>
    <row r="110" spans="2:23" s="253" customFormat="1">
      <c r="B110" s="252"/>
      <c r="E110" s="229">
        <v>42887</v>
      </c>
      <c r="F110" s="229" t="s">
        <v>185</v>
      </c>
      <c r="G110" s="230" t="s">
        <v>66</v>
      </c>
      <c r="H110" s="255">
        <f t="shared" si="29"/>
        <v>9.1666666666666665E-4</v>
      </c>
      <c r="I110" s="245">
        <f>(SUM('1.  LRAMVA Summary'!D$53:D$70)+SUM('1.  LRAMVA Summary'!D$71:D$72)*(MONTH($E110)-1)/12)*$H110</f>
        <v>588.55064501518655</v>
      </c>
      <c r="J110" s="245">
        <f>(SUM('1.  LRAMVA Summary'!E$53:E$70)+SUM('1.  LRAMVA Summary'!E$71:E$72)*(MONTH($E110)-1)/12)*$H110</f>
        <v>576.82970544547709</v>
      </c>
      <c r="K110" s="245">
        <f>(SUM('1.  LRAMVA Summary'!F$53:F$70)+SUM('1.  LRAMVA Summary'!F$71:F$72)*(MONTH($E110)-1)/12)*$H110</f>
        <v>932.46190240900739</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f>(SUM('1.  LRAMVA Summary'!J$53:J$70)+SUM('1.  LRAMVA Summary'!J$71:J$72)*(MONTH($E110)-1)/12)*$H110</f>
        <v>152.83782448245086</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2242.5011938606167</v>
      </c>
    </row>
    <row r="111" spans="2:23" s="9" customFormat="1">
      <c r="B111" s="68"/>
      <c r="E111" s="229">
        <v>42917</v>
      </c>
      <c r="F111" s="229" t="s">
        <v>185</v>
      </c>
      <c r="G111" s="230" t="s">
        <v>68</v>
      </c>
      <c r="H111" s="255">
        <f>$C$41/12</f>
        <v>9.1666666666666665E-4</v>
      </c>
      <c r="I111" s="245">
        <f>(SUM('1.  LRAMVA Summary'!D$53:D$70)+SUM('1.  LRAMVA Summary'!D$71:D$72)*(MONTH($E111)-1)/12)*$H111</f>
        <v>588.55064501518655</v>
      </c>
      <c r="J111" s="245">
        <f>(SUM('1.  LRAMVA Summary'!E$53:E$70)+SUM('1.  LRAMVA Summary'!E$71:E$72)*(MONTH($E111)-1)/12)*$H111</f>
        <v>576.82970544547709</v>
      </c>
      <c r="K111" s="245">
        <f>(SUM('1.  LRAMVA Summary'!F$53:F$70)+SUM('1.  LRAMVA Summary'!F$71:F$72)*(MONTH($E111)-1)/12)*$H111</f>
        <v>932.46190240900739</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f>(SUM('1.  LRAMVA Summary'!J$53:J$70)+SUM('1.  LRAMVA Summary'!J$71:J$72)*(MONTH($E111)-1)/12)*$H111</f>
        <v>152.83782448245086</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2242.5011938606167</v>
      </c>
    </row>
    <row r="112" spans="2:23" s="9" customFormat="1">
      <c r="B112" s="68"/>
      <c r="E112" s="229">
        <v>42948</v>
      </c>
      <c r="F112" s="229" t="s">
        <v>185</v>
      </c>
      <c r="G112" s="230" t="s">
        <v>68</v>
      </c>
      <c r="H112" s="255">
        <f t="shared" ref="H112:H113" si="30">$C$41/12</f>
        <v>9.1666666666666665E-4</v>
      </c>
      <c r="I112" s="245">
        <f>(SUM('1.  LRAMVA Summary'!D$53:D$70)+SUM('1.  LRAMVA Summary'!D$71:D$72)*(MONTH($E112)-1)/12)*$H112</f>
        <v>588.55064501518655</v>
      </c>
      <c r="J112" s="245">
        <f>(SUM('1.  LRAMVA Summary'!E$53:E$70)+SUM('1.  LRAMVA Summary'!E$71:E$72)*(MONTH($E112)-1)/12)*$H112</f>
        <v>576.82970544547709</v>
      </c>
      <c r="K112" s="245">
        <f>(SUM('1.  LRAMVA Summary'!F$53:F$70)+SUM('1.  LRAMVA Summary'!F$71:F$72)*(MONTH($E112)-1)/12)*$H112</f>
        <v>932.46190240900739</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f>(SUM('1.  LRAMVA Summary'!J$53:J$70)+SUM('1.  LRAMVA Summary'!J$71:J$72)*(MONTH($E112)-1)/12)*$H112</f>
        <v>152.83782448245086</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2242.5011938606167</v>
      </c>
    </row>
    <row r="113" spans="2:23" s="9" customFormat="1">
      <c r="B113" s="68"/>
      <c r="E113" s="229">
        <v>42979</v>
      </c>
      <c r="F113" s="229" t="s">
        <v>185</v>
      </c>
      <c r="G113" s="230" t="s">
        <v>68</v>
      </c>
      <c r="H113" s="255">
        <f t="shared" si="30"/>
        <v>9.1666666666666665E-4</v>
      </c>
      <c r="I113" s="245">
        <f>(SUM('1.  LRAMVA Summary'!D$53:D$70)+SUM('1.  LRAMVA Summary'!D$71:D$72)*(MONTH($E113)-1)/12)*$H113</f>
        <v>588.55064501518655</v>
      </c>
      <c r="J113" s="245">
        <f>(SUM('1.  LRAMVA Summary'!E$53:E$70)+SUM('1.  LRAMVA Summary'!E$71:E$72)*(MONTH($E113)-1)/12)*$H113</f>
        <v>576.82970544547709</v>
      </c>
      <c r="K113" s="245">
        <f>(SUM('1.  LRAMVA Summary'!F$53:F$70)+SUM('1.  LRAMVA Summary'!F$71:F$72)*(MONTH($E113)-1)/12)*$H113</f>
        <v>932.46190240900739</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f>(SUM('1.  LRAMVA Summary'!J$53:J$70)+SUM('1.  LRAMVA Summary'!J$71:J$72)*(MONTH($E113)-1)/12)*$H113</f>
        <v>152.83782448245086</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2242.5011938606167</v>
      </c>
    </row>
    <row r="114" spans="2:23" s="9" customFormat="1">
      <c r="B114" s="68"/>
      <c r="E114" s="229">
        <v>43009</v>
      </c>
      <c r="F114" s="229" t="s">
        <v>185</v>
      </c>
      <c r="G114" s="230" t="s">
        <v>69</v>
      </c>
      <c r="H114" s="255">
        <f>$C$42/12</f>
        <v>1.25E-3</v>
      </c>
      <c r="I114" s="245">
        <f>(SUM('1.  LRAMVA Summary'!D$53:D$70)+SUM('1.  LRAMVA Summary'!D$71:D$72)*(MONTH($E114)-1)/12)*$H114</f>
        <v>802.56906138434533</v>
      </c>
      <c r="J114" s="245">
        <f>(SUM('1.  LRAMVA Summary'!E$53:E$70)+SUM('1.  LRAMVA Summary'!E$71:E$72)*(MONTH($E114)-1)/12)*$H114</f>
        <v>786.58596197110512</v>
      </c>
      <c r="K114" s="245">
        <f>(SUM('1.  LRAMVA Summary'!F$53:F$70)+SUM('1.  LRAMVA Summary'!F$71:F$72)*(MONTH($E114)-1)/12)*$H114</f>
        <v>1271.5389578304646</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f>(SUM('1.  LRAMVA Summary'!J$53:J$70)+SUM('1.  LRAMVA Summary'!J$71:J$72)*(MONTH($E114)-1)/12)*$H114</f>
        <v>208.41521520334209</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3057.9561734462955</v>
      </c>
    </row>
    <row r="115" spans="2:23" s="9" customFormat="1">
      <c r="B115" s="68"/>
      <c r="E115" s="229">
        <v>43040</v>
      </c>
      <c r="F115" s="229" t="s">
        <v>185</v>
      </c>
      <c r="G115" s="230" t="s">
        <v>69</v>
      </c>
      <c r="H115" s="255">
        <f t="shared" ref="H115:H116" si="31">$C$42/12</f>
        <v>1.25E-3</v>
      </c>
      <c r="I115" s="245">
        <f>(SUM('1.  LRAMVA Summary'!D$53:D$70)+SUM('1.  LRAMVA Summary'!D$71:D$72)*(MONTH($E115)-1)/12)*$H115</f>
        <v>802.56906138434533</v>
      </c>
      <c r="J115" s="245">
        <f>(SUM('1.  LRAMVA Summary'!E$53:E$70)+SUM('1.  LRAMVA Summary'!E$71:E$72)*(MONTH($E115)-1)/12)*$H115</f>
        <v>786.58596197110512</v>
      </c>
      <c r="K115" s="245">
        <f>(SUM('1.  LRAMVA Summary'!F$53:F$70)+SUM('1.  LRAMVA Summary'!F$71:F$72)*(MONTH($E115)-1)/12)*$H115</f>
        <v>1271.5389578304646</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f>(SUM('1.  LRAMVA Summary'!J$53:J$70)+SUM('1.  LRAMVA Summary'!J$71:J$72)*(MONTH($E115)-1)/12)*$H115</f>
        <v>208.41521520334209</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3057.9561734462955</v>
      </c>
    </row>
    <row r="116" spans="2:23" s="9" customFormat="1">
      <c r="B116" s="68"/>
      <c r="E116" s="229">
        <v>43070</v>
      </c>
      <c r="F116" s="229" t="s">
        <v>185</v>
      </c>
      <c r="G116" s="230" t="s">
        <v>69</v>
      </c>
      <c r="H116" s="255">
        <f t="shared" si="31"/>
        <v>1.25E-3</v>
      </c>
      <c r="I116" s="245">
        <f>(SUM('1.  LRAMVA Summary'!D$53:D$70)+SUM('1.  LRAMVA Summary'!D$71:D$72)*(MONTH($E116)-1)/12)*$H116</f>
        <v>802.56906138434533</v>
      </c>
      <c r="J116" s="245">
        <f>(SUM('1.  LRAMVA Summary'!E$53:E$70)+SUM('1.  LRAMVA Summary'!E$71:E$72)*(MONTH($E116)-1)/12)*$H116</f>
        <v>786.58596197110512</v>
      </c>
      <c r="K116" s="245">
        <f>(SUM('1.  LRAMVA Summary'!F$53:F$70)+SUM('1.  LRAMVA Summary'!F$71:F$72)*(MONTH($E116)-1)/12)*$H116</f>
        <v>1271.5389578304646</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f>(SUM('1.  LRAMVA Summary'!J$53:J$70)+SUM('1.  LRAMVA Summary'!J$71:J$72)*(MONTH($E116)-1)/12)*$H116</f>
        <v>208.41521520334209</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3057.9561734462955</v>
      </c>
    </row>
    <row r="117" spans="2:23" s="9" customFormat="1" ht="15" thickBot="1">
      <c r="B117" s="68"/>
      <c r="E117" s="231" t="s">
        <v>473</v>
      </c>
      <c r="F117" s="231"/>
      <c r="G117" s="232"/>
      <c r="H117" s="233"/>
      <c r="I117" s="234">
        <f>SUM(I104:I116)</f>
        <v>10941.691536873239</v>
      </c>
      <c r="J117" s="234">
        <f>SUM(J104:J116)</f>
        <v>10723.78861487273</v>
      </c>
      <c r="K117" s="234">
        <f t="shared" ref="K117:V117" si="32">SUM(K104:K116)</f>
        <v>17335.314458422003</v>
      </c>
      <c r="L117" s="234">
        <f t="shared" si="32"/>
        <v>-91.663117393667179</v>
      </c>
      <c r="M117" s="234">
        <f t="shared" si="32"/>
        <v>-57.596667860336993</v>
      </c>
      <c r="N117" s="234">
        <f t="shared" si="32"/>
        <v>-2.7930942017019187</v>
      </c>
      <c r="O117" s="234">
        <f t="shared" si="32"/>
        <v>2841.3941006055629</v>
      </c>
      <c r="P117" s="234">
        <f t="shared" si="32"/>
        <v>0</v>
      </c>
      <c r="Q117" s="234">
        <f t="shared" si="32"/>
        <v>0</v>
      </c>
      <c r="R117" s="234">
        <f t="shared" si="32"/>
        <v>0</v>
      </c>
      <c r="S117" s="234">
        <f t="shared" si="32"/>
        <v>0</v>
      </c>
      <c r="T117" s="234">
        <f t="shared" si="32"/>
        <v>0</v>
      </c>
      <c r="U117" s="234">
        <f t="shared" si="32"/>
        <v>0</v>
      </c>
      <c r="V117" s="234">
        <f t="shared" si="32"/>
        <v>0</v>
      </c>
      <c r="W117" s="234">
        <f>SUM(W104:W116)</f>
        <v>41690.13583131785</v>
      </c>
    </row>
    <row r="118" spans="2:23"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10941.691536873239</v>
      </c>
      <c r="J119" s="243">
        <f t="shared" ref="J119:W119" si="33">J117+J118</f>
        <v>10723.78861487273</v>
      </c>
      <c r="K119" s="243">
        <f t="shared" si="33"/>
        <v>17335.314458422003</v>
      </c>
      <c r="L119" s="243">
        <f t="shared" si="33"/>
        <v>-91.663117393667179</v>
      </c>
      <c r="M119" s="243">
        <f t="shared" si="33"/>
        <v>-57.596667860336993</v>
      </c>
      <c r="N119" s="243">
        <f t="shared" si="33"/>
        <v>-2.7930942017019187</v>
      </c>
      <c r="O119" s="243">
        <f t="shared" si="33"/>
        <v>2841.3941006055629</v>
      </c>
      <c r="P119" s="243">
        <f t="shared" si="33"/>
        <v>0</v>
      </c>
      <c r="Q119" s="243">
        <f t="shared" si="33"/>
        <v>0</v>
      </c>
      <c r="R119" s="243">
        <f t="shared" si="33"/>
        <v>0</v>
      </c>
      <c r="S119" s="243">
        <f t="shared" si="33"/>
        <v>0</v>
      </c>
      <c r="T119" s="243">
        <f t="shared" si="33"/>
        <v>0</v>
      </c>
      <c r="U119" s="243">
        <f t="shared" si="33"/>
        <v>0</v>
      </c>
      <c r="V119" s="243">
        <f t="shared" si="33"/>
        <v>0</v>
      </c>
      <c r="W119" s="243">
        <f t="shared" si="33"/>
        <v>41690.13583131785</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 thickBot="1">
      <c r="B132" s="68"/>
      <c r="E132" s="231" t="s">
        <v>474</v>
      </c>
      <c r="F132" s="231"/>
      <c r="G132" s="232"/>
      <c r="H132" s="233"/>
      <c r="I132" s="234">
        <f>SUM(I119:I131)</f>
        <v>10941.691536873239</v>
      </c>
      <c r="J132" s="234">
        <f>SUM(J119:J131)</f>
        <v>10723.78861487273</v>
      </c>
      <c r="K132" s="234">
        <f t="shared" ref="K132:V132" si="39">SUM(K119:K131)</f>
        <v>17335.314458422003</v>
      </c>
      <c r="L132" s="234">
        <f t="shared" si="39"/>
        <v>-91.663117393667179</v>
      </c>
      <c r="M132" s="234">
        <f t="shared" si="39"/>
        <v>-57.596667860336993</v>
      </c>
      <c r="N132" s="234">
        <f t="shared" si="39"/>
        <v>-2.7930942017019187</v>
      </c>
      <c r="O132" s="234">
        <f t="shared" si="39"/>
        <v>2841.3941006055629</v>
      </c>
      <c r="P132" s="234">
        <f t="shared" si="39"/>
        <v>0</v>
      </c>
      <c r="Q132" s="234">
        <f t="shared" si="39"/>
        <v>0</v>
      </c>
      <c r="R132" s="234">
        <f t="shared" si="39"/>
        <v>0</v>
      </c>
      <c r="S132" s="234">
        <f t="shared" si="39"/>
        <v>0</v>
      </c>
      <c r="T132" s="234">
        <f t="shared" si="39"/>
        <v>0</v>
      </c>
      <c r="U132" s="234">
        <f t="shared" si="39"/>
        <v>0</v>
      </c>
      <c r="V132" s="234">
        <f t="shared" si="39"/>
        <v>0</v>
      </c>
      <c r="W132" s="234">
        <f>SUM(W119:W131)</f>
        <v>41690.13583131785</v>
      </c>
    </row>
    <row r="133" spans="2:23" s="9" customFormat="1" ht="1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10941.691536873239</v>
      </c>
      <c r="J134" s="243">
        <f t="shared" ref="J134:V134" si="40">J132+J133</f>
        <v>10723.78861487273</v>
      </c>
      <c r="K134" s="243">
        <f t="shared" si="40"/>
        <v>17335.314458422003</v>
      </c>
      <c r="L134" s="243">
        <f t="shared" si="40"/>
        <v>-91.663117393667179</v>
      </c>
      <c r="M134" s="243">
        <f t="shared" si="40"/>
        <v>-57.596667860336993</v>
      </c>
      <c r="N134" s="243">
        <f t="shared" si="40"/>
        <v>-2.7930942017019187</v>
      </c>
      <c r="O134" s="243">
        <f t="shared" si="40"/>
        <v>2841.3941006055629</v>
      </c>
      <c r="P134" s="243">
        <f t="shared" si="40"/>
        <v>0</v>
      </c>
      <c r="Q134" s="243">
        <f t="shared" si="40"/>
        <v>0</v>
      </c>
      <c r="R134" s="243">
        <f t="shared" si="40"/>
        <v>0</v>
      </c>
      <c r="S134" s="243">
        <f t="shared" si="40"/>
        <v>0</v>
      </c>
      <c r="T134" s="243">
        <f t="shared" si="40"/>
        <v>0</v>
      </c>
      <c r="U134" s="243">
        <f t="shared" si="40"/>
        <v>0</v>
      </c>
      <c r="V134" s="243">
        <f t="shared" si="40"/>
        <v>0</v>
      </c>
      <c r="W134" s="243">
        <f>W132+W133</f>
        <v>41690.13583131785</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 thickBot="1">
      <c r="B147" s="68"/>
      <c r="E147" s="231" t="s">
        <v>475</v>
      </c>
      <c r="F147" s="231"/>
      <c r="G147" s="232"/>
      <c r="H147" s="233"/>
      <c r="I147" s="234">
        <f>SUM(I134:I146)</f>
        <v>10941.691536873239</v>
      </c>
      <c r="J147" s="234">
        <f>SUM(J134:J146)</f>
        <v>10723.78861487273</v>
      </c>
      <c r="K147" s="234">
        <f t="shared" ref="K147:V147" si="46">SUM(K134:K146)</f>
        <v>17335.314458422003</v>
      </c>
      <c r="L147" s="234">
        <f t="shared" si="46"/>
        <v>-91.663117393667179</v>
      </c>
      <c r="M147" s="234">
        <f t="shared" si="46"/>
        <v>-57.596667860336993</v>
      </c>
      <c r="N147" s="234">
        <f t="shared" si="46"/>
        <v>-2.7930942017019187</v>
      </c>
      <c r="O147" s="234">
        <f t="shared" si="46"/>
        <v>2841.3941006055629</v>
      </c>
      <c r="P147" s="234">
        <f t="shared" si="46"/>
        <v>0</v>
      </c>
      <c r="Q147" s="234">
        <f t="shared" si="46"/>
        <v>0</v>
      </c>
      <c r="R147" s="234">
        <f t="shared" si="46"/>
        <v>0</v>
      </c>
      <c r="S147" s="234">
        <f t="shared" si="46"/>
        <v>0</v>
      </c>
      <c r="T147" s="234">
        <f t="shared" si="46"/>
        <v>0</v>
      </c>
      <c r="U147" s="234">
        <f t="shared" si="46"/>
        <v>0</v>
      </c>
      <c r="V147" s="234">
        <f t="shared" si="46"/>
        <v>0</v>
      </c>
      <c r="W147" s="234">
        <f>SUM(W134:W146)</f>
        <v>41690.13583131785</v>
      </c>
    </row>
    <row r="148" spans="2:23" s="9" customFormat="1" ht="1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10941.691536873239</v>
      </c>
      <c r="J149" s="243">
        <f t="shared" ref="J149:V149" si="47">J147+J148</f>
        <v>10723.78861487273</v>
      </c>
      <c r="K149" s="243">
        <f t="shared" si="47"/>
        <v>17335.314458422003</v>
      </c>
      <c r="L149" s="243">
        <f t="shared" si="47"/>
        <v>-91.663117393667179</v>
      </c>
      <c r="M149" s="243">
        <f t="shared" si="47"/>
        <v>-57.596667860336993</v>
      </c>
      <c r="N149" s="243">
        <f t="shared" si="47"/>
        <v>-2.7930942017019187</v>
      </c>
      <c r="O149" s="243">
        <f t="shared" si="47"/>
        <v>2841.3941006055629</v>
      </c>
      <c r="P149" s="243">
        <f t="shared" si="47"/>
        <v>0</v>
      </c>
      <c r="Q149" s="243">
        <f t="shared" si="47"/>
        <v>0</v>
      </c>
      <c r="R149" s="243">
        <f t="shared" si="47"/>
        <v>0</v>
      </c>
      <c r="S149" s="243">
        <f t="shared" si="47"/>
        <v>0</v>
      </c>
      <c r="T149" s="243">
        <f t="shared" si="47"/>
        <v>0</v>
      </c>
      <c r="U149" s="243">
        <f t="shared" si="47"/>
        <v>0</v>
      </c>
      <c r="V149" s="243">
        <f t="shared" si="47"/>
        <v>0</v>
      </c>
      <c r="W149" s="243">
        <f>W147+W148</f>
        <v>41690.13583131785</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thickBot="1">
      <c r="B162" s="68"/>
      <c r="E162" s="231" t="s">
        <v>476</v>
      </c>
      <c r="F162" s="231"/>
      <c r="G162" s="232"/>
      <c r="H162" s="233"/>
      <c r="I162" s="234">
        <f>SUM(I149:I161)</f>
        <v>10941.691536873239</v>
      </c>
      <c r="J162" s="234">
        <f>SUM(J149:J161)</f>
        <v>10723.78861487273</v>
      </c>
      <c r="K162" s="234">
        <f t="shared" ref="K162:V162" si="53">SUM(K149:K161)</f>
        <v>17335.314458422003</v>
      </c>
      <c r="L162" s="234">
        <f t="shared" si="53"/>
        <v>-91.663117393667179</v>
      </c>
      <c r="M162" s="234">
        <f t="shared" si="53"/>
        <v>-57.596667860336993</v>
      </c>
      <c r="N162" s="234">
        <f t="shared" si="53"/>
        <v>-2.7930942017019187</v>
      </c>
      <c r="O162" s="234">
        <f t="shared" si="53"/>
        <v>2841.3941006055629</v>
      </c>
      <c r="P162" s="234">
        <f t="shared" si="53"/>
        <v>0</v>
      </c>
      <c r="Q162" s="234">
        <f t="shared" si="53"/>
        <v>0</v>
      </c>
      <c r="R162" s="234">
        <f t="shared" si="53"/>
        <v>0</v>
      </c>
      <c r="S162" s="234">
        <f t="shared" si="53"/>
        <v>0</v>
      </c>
      <c r="T162" s="234">
        <f t="shared" si="53"/>
        <v>0</v>
      </c>
      <c r="U162" s="234">
        <f t="shared" si="53"/>
        <v>0</v>
      </c>
      <c r="V162" s="234">
        <f t="shared" si="53"/>
        <v>0</v>
      </c>
      <c r="W162" s="234">
        <f>SUM(W149:W161)</f>
        <v>41690.13583131785</v>
      </c>
    </row>
    <row r="163" spans="2:23" s="9" customFormat="1" ht="1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6">
      <c r="B21" s="92"/>
    </row>
    <row r="22" spans="2:79" s="269" customFormat="1" ht="88.5" customHeight="1">
      <c r="B22" s="1234"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234"/>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6">
      <c r="B21" s="92"/>
    </row>
    <row r="22" spans="2:79" s="269" customFormat="1" ht="88.5" customHeight="1">
      <c r="B22" s="1234"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234"/>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6">
      <c r="B21" s="92"/>
    </row>
    <row r="22" spans="2:79" s="269" customFormat="1" ht="88.5" customHeight="1">
      <c r="B22" s="1234"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234"/>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6">
      <c r="B22" s="92"/>
    </row>
    <row r="23" spans="2:79" s="269" customFormat="1" ht="88.5" customHeight="1">
      <c r="B23" s="1234"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1234"/>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6">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6">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6">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P145"/>
  <sheetViews>
    <sheetView topLeftCell="A101" zoomScale="80" zoomScaleNormal="80" zoomScaleSheetLayoutView="90" workbookViewId="0">
      <selection activeCell="B98" sqref="B98"/>
    </sheetView>
  </sheetViews>
  <sheetFormatPr defaultColWidth="9.109375" defaultRowHeight="15"/>
  <cols>
    <col min="1" max="1" width="50.44140625" style="823" bestFit="1" customWidth="1"/>
    <col min="2" max="2" width="16.6640625" style="804" bestFit="1" customWidth="1"/>
    <col min="3" max="3" width="16.88671875" style="804" bestFit="1" customWidth="1"/>
    <col min="4" max="4" width="17.6640625" style="804" bestFit="1" customWidth="1"/>
    <col min="5" max="9" width="15.33203125" style="804" bestFit="1" customWidth="1"/>
    <col min="10" max="14" width="15.5546875" style="804" bestFit="1" customWidth="1"/>
    <col min="15" max="15" width="13.88671875" style="807" bestFit="1" customWidth="1"/>
    <col min="16" max="16384" width="9.109375" style="804"/>
  </cols>
  <sheetData>
    <row r="12" spans="1:14">
      <c r="A12" s="823" t="s">
        <v>801</v>
      </c>
    </row>
    <row r="13" spans="1:14">
      <c r="A13" s="824" t="s">
        <v>802</v>
      </c>
    </row>
    <row r="15" spans="1:14" ht="15.6">
      <c r="A15" s="803" t="s">
        <v>803</v>
      </c>
      <c r="L15" s="805"/>
      <c r="M15" s="806"/>
      <c r="N15" s="806"/>
    </row>
    <row r="16" spans="1:14" ht="15.6">
      <c r="A16" s="803"/>
      <c r="L16" s="808"/>
      <c r="M16" s="806"/>
      <c r="N16" s="806"/>
    </row>
    <row r="17" spans="1:15" ht="15.6">
      <c r="A17" s="1235" t="s">
        <v>774</v>
      </c>
      <c r="B17" s="810">
        <v>2014</v>
      </c>
      <c r="C17" s="810">
        <v>2015</v>
      </c>
      <c r="D17" s="809"/>
      <c r="E17" s="880" t="s">
        <v>821</v>
      </c>
      <c r="F17" s="880" t="s">
        <v>820</v>
      </c>
      <c r="G17" s="809"/>
      <c r="H17" s="809"/>
      <c r="I17" s="809"/>
      <c r="J17" s="809"/>
      <c r="K17" s="809"/>
      <c r="L17" s="811"/>
      <c r="M17" s="809"/>
      <c r="N17" s="812"/>
    </row>
    <row r="18" spans="1:15">
      <c r="A18" s="1236"/>
      <c r="B18" s="813">
        <v>6.5692000000000004</v>
      </c>
      <c r="C18" s="813">
        <v>6.6546000000000003</v>
      </c>
      <c r="D18" s="809"/>
      <c r="E18" s="880">
        <v>2015</v>
      </c>
      <c r="F18" s="881">
        <v>0.75918851053382785</v>
      </c>
      <c r="G18" s="814"/>
      <c r="H18" s="814"/>
      <c r="I18" s="814"/>
      <c r="J18" s="814"/>
      <c r="K18" s="809"/>
      <c r="L18" s="809"/>
      <c r="M18" s="815"/>
      <c r="N18" s="816"/>
    </row>
    <row r="19" spans="1:15" ht="16.2" thickBot="1">
      <c r="A19" s="817"/>
      <c r="B19" s="818"/>
      <c r="C19" s="819"/>
      <c r="D19" s="819"/>
      <c r="E19" s="819"/>
      <c r="F19" s="819"/>
      <c r="G19" s="819"/>
      <c r="H19" s="819"/>
      <c r="I19" s="819"/>
      <c r="J19" s="819"/>
      <c r="K19" s="819"/>
      <c r="L19" s="819"/>
      <c r="M19" s="819"/>
      <c r="N19" s="820"/>
    </row>
    <row r="20" spans="1:15" ht="32.25" customHeight="1">
      <c r="A20" s="834">
        <v>2014</v>
      </c>
      <c r="B20" s="835" t="s">
        <v>775</v>
      </c>
      <c r="C20" s="835" t="s">
        <v>776</v>
      </c>
      <c r="D20" s="835" t="s">
        <v>777</v>
      </c>
      <c r="E20" s="835" t="s">
        <v>778</v>
      </c>
      <c r="F20" s="835" t="s">
        <v>779</v>
      </c>
      <c r="G20" s="835" t="s">
        <v>780</v>
      </c>
      <c r="H20" s="835" t="s">
        <v>781</v>
      </c>
      <c r="I20" s="835" t="s">
        <v>782</v>
      </c>
      <c r="J20" s="835" t="s">
        <v>783</v>
      </c>
      <c r="K20" s="835" t="s">
        <v>784</v>
      </c>
      <c r="L20" s="835" t="s">
        <v>785</v>
      </c>
      <c r="M20" s="835" t="s">
        <v>786</v>
      </c>
      <c r="N20" s="836" t="s">
        <v>26</v>
      </c>
    </row>
    <row r="21" spans="1:15" ht="15.6">
      <c r="A21" s="837" t="s">
        <v>787</v>
      </c>
      <c r="B21" s="34"/>
      <c r="C21" s="34"/>
      <c r="D21" s="34"/>
      <c r="E21" s="34"/>
      <c r="F21" s="34"/>
      <c r="G21" s="34"/>
      <c r="H21" s="34"/>
      <c r="I21" s="34"/>
      <c r="J21" s="34"/>
      <c r="K21" s="34"/>
      <c r="L21" s="34"/>
      <c r="M21" s="34"/>
      <c r="N21" s="838"/>
    </row>
    <row r="22" spans="1:15" ht="15.6">
      <c r="A22" s="839" t="s">
        <v>788</v>
      </c>
      <c r="B22" s="832"/>
      <c r="C22" s="832"/>
      <c r="D22" s="832">
        <v>4494</v>
      </c>
      <c r="E22" s="832"/>
      <c r="F22" s="832"/>
      <c r="G22" s="832">
        <v>1509</v>
      </c>
      <c r="H22" s="832">
        <v>1745</v>
      </c>
      <c r="I22" s="832">
        <v>1108</v>
      </c>
      <c r="J22" s="832"/>
      <c r="K22" s="832"/>
      <c r="L22" s="832"/>
      <c r="M22" s="832"/>
      <c r="N22" s="858">
        <f>SUM(B22:M22)</f>
        <v>8856</v>
      </c>
    </row>
    <row r="23" spans="1:15" ht="15.6">
      <c r="A23" s="839" t="s">
        <v>789</v>
      </c>
      <c r="B23" s="832"/>
      <c r="C23" s="832"/>
      <c r="D23" s="832">
        <f t="shared" ref="D23:M23" si="0">D22+C23</f>
        <v>4494</v>
      </c>
      <c r="E23" s="832">
        <f t="shared" si="0"/>
        <v>4494</v>
      </c>
      <c r="F23" s="832">
        <f t="shared" si="0"/>
        <v>4494</v>
      </c>
      <c r="G23" s="832">
        <f t="shared" si="0"/>
        <v>6003</v>
      </c>
      <c r="H23" s="832">
        <f t="shared" si="0"/>
        <v>7748</v>
      </c>
      <c r="I23" s="832">
        <f t="shared" si="0"/>
        <v>8856</v>
      </c>
      <c r="J23" s="832">
        <f t="shared" si="0"/>
        <v>8856</v>
      </c>
      <c r="K23" s="832">
        <f t="shared" si="0"/>
        <v>8856</v>
      </c>
      <c r="L23" s="832">
        <f t="shared" si="0"/>
        <v>8856</v>
      </c>
      <c r="M23" s="832">
        <f t="shared" si="0"/>
        <v>8856</v>
      </c>
      <c r="N23" s="858">
        <f>N22</f>
        <v>8856</v>
      </c>
      <c r="O23" s="821"/>
    </row>
    <row r="24" spans="1:15" ht="15.6">
      <c r="A24" s="837" t="s">
        <v>790</v>
      </c>
      <c r="B24" s="832"/>
      <c r="C24" s="832"/>
      <c r="D24" s="832"/>
      <c r="E24" s="832"/>
      <c r="F24" s="832"/>
      <c r="G24" s="832"/>
      <c r="H24" s="832"/>
      <c r="I24" s="832"/>
      <c r="J24" s="832"/>
      <c r="K24" s="832"/>
      <c r="L24" s="832"/>
      <c r="M24" s="832"/>
      <c r="N24" s="858"/>
      <c r="O24" s="821"/>
    </row>
    <row r="25" spans="1:15" ht="15.6">
      <c r="A25" s="831" t="s">
        <v>791</v>
      </c>
      <c r="B25" s="833"/>
      <c r="C25" s="833"/>
      <c r="D25" s="833">
        <v>690.27599999999995</v>
      </c>
      <c r="E25" s="833"/>
      <c r="F25" s="833"/>
      <c r="G25" s="833">
        <v>232.84399999999999</v>
      </c>
      <c r="H25" s="833">
        <v>256.83300000000003</v>
      </c>
      <c r="I25" s="833">
        <v>259.37700000000001</v>
      </c>
      <c r="J25" s="833"/>
      <c r="K25" s="833"/>
      <c r="L25" s="833"/>
      <c r="M25" s="833"/>
      <c r="N25" s="859">
        <f>SUM(B25:M25)</f>
        <v>1439.33</v>
      </c>
      <c r="O25" s="821"/>
    </row>
    <row r="26" spans="1:15" ht="15.6">
      <c r="A26" s="831" t="s">
        <v>792</v>
      </c>
      <c r="B26" s="833"/>
      <c r="C26" s="833"/>
      <c r="D26" s="833">
        <v>260.51400000000001</v>
      </c>
      <c r="E26" s="833"/>
      <c r="F26" s="833"/>
      <c r="G26" s="833">
        <v>87.554000000000002</v>
      </c>
      <c r="H26" s="833">
        <v>99.894999999999996</v>
      </c>
      <c r="I26" s="833">
        <v>116.792</v>
      </c>
      <c r="J26" s="833"/>
      <c r="K26" s="833"/>
      <c r="L26" s="833"/>
      <c r="M26" s="833"/>
      <c r="N26" s="859">
        <f t="shared" ref="N26:N27" si="1">SUM(B26:M26)</f>
        <v>564.755</v>
      </c>
    </row>
    <row r="27" spans="1:15" ht="15.6">
      <c r="A27" s="831" t="s">
        <v>793</v>
      </c>
      <c r="B27" s="833">
        <f t="shared" ref="B27:M27" si="2">B25-B26</f>
        <v>0</v>
      </c>
      <c r="C27" s="833">
        <f t="shared" si="2"/>
        <v>0</v>
      </c>
      <c r="D27" s="833">
        <f t="shared" si="2"/>
        <v>429.76199999999994</v>
      </c>
      <c r="E27" s="833">
        <f t="shared" si="2"/>
        <v>0</v>
      </c>
      <c r="F27" s="833">
        <f t="shared" si="2"/>
        <v>0</v>
      </c>
      <c r="G27" s="833">
        <f t="shared" si="2"/>
        <v>145.29</v>
      </c>
      <c r="H27" s="833">
        <f t="shared" si="2"/>
        <v>156.93800000000005</v>
      </c>
      <c r="I27" s="833">
        <f t="shared" si="2"/>
        <v>142.58500000000001</v>
      </c>
      <c r="J27" s="833">
        <f t="shared" si="2"/>
        <v>0</v>
      </c>
      <c r="K27" s="833">
        <f t="shared" si="2"/>
        <v>0</v>
      </c>
      <c r="L27" s="833">
        <f t="shared" si="2"/>
        <v>0</v>
      </c>
      <c r="M27" s="833">
        <f t="shared" si="2"/>
        <v>0</v>
      </c>
      <c r="N27" s="859">
        <f t="shared" si="1"/>
        <v>874.57500000000005</v>
      </c>
    </row>
    <row r="28" spans="1:15" ht="33" customHeight="1">
      <c r="A28" s="840" t="s">
        <v>794</v>
      </c>
      <c r="B28" s="841"/>
      <c r="C28" s="841"/>
      <c r="D28" s="841">
        <f t="shared" ref="D28" si="3">D27+C28</f>
        <v>429.76199999999994</v>
      </c>
      <c r="E28" s="841">
        <f t="shared" ref="E28" si="4">E27+D28</f>
        <v>429.76199999999994</v>
      </c>
      <c r="F28" s="841">
        <f t="shared" ref="F28" si="5">F27+E28</f>
        <v>429.76199999999994</v>
      </c>
      <c r="G28" s="841">
        <f t="shared" ref="G28:H28" si="6">G27+F28</f>
        <v>575.05199999999991</v>
      </c>
      <c r="H28" s="841">
        <f t="shared" si="6"/>
        <v>731.99</v>
      </c>
      <c r="I28" s="841">
        <f>I27+H28</f>
        <v>874.57500000000005</v>
      </c>
      <c r="J28" s="841">
        <f t="shared" ref="J28:M28" si="7">J27+I28</f>
        <v>874.57500000000005</v>
      </c>
      <c r="K28" s="841">
        <f t="shared" si="7"/>
        <v>874.57500000000005</v>
      </c>
      <c r="L28" s="841">
        <f t="shared" si="7"/>
        <v>874.57500000000005</v>
      </c>
      <c r="M28" s="841">
        <f t="shared" si="7"/>
        <v>874.57500000000005</v>
      </c>
      <c r="N28" s="860">
        <f>SUM(B28:M28)*F18</f>
        <v>5290.9388451778832</v>
      </c>
    </row>
    <row r="29" spans="1:15" ht="33" customHeight="1">
      <c r="A29" s="842" t="s">
        <v>805</v>
      </c>
      <c r="B29" s="843"/>
      <c r="C29" s="843"/>
      <c r="D29" s="843">
        <f>+D28*$B$18*$F$18</f>
        <v>2143.3353321046043</v>
      </c>
      <c r="E29" s="843">
        <f t="shared" ref="E29:M29" si="8">+E28*$B$18*$F$18</f>
        <v>2143.3353321046043</v>
      </c>
      <c r="F29" s="843">
        <f t="shared" si="8"/>
        <v>2143.3353321046043</v>
      </c>
      <c r="G29" s="843">
        <f t="shared" si="8"/>
        <v>2867.9345065348193</v>
      </c>
      <c r="H29" s="843">
        <f t="shared" si="8"/>
        <v>3650.6252989963036</v>
      </c>
      <c r="I29" s="843">
        <f t="shared" si="8"/>
        <v>4361.7339319795246</v>
      </c>
      <c r="J29" s="843">
        <f t="shared" si="8"/>
        <v>4361.7339319795246</v>
      </c>
      <c r="K29" s="843">
        <f t="shared" si="8"/>
        <v>4361.7339319795246</v>
      </c>
      <c r="L29" s="843">
        <f t="shared" si="8"/>
        <v>4361.7339319795246</v>
      </c>
      <c r="M29" s="843">
        <f t="shared" si="8"/>
        <v>4361.7339319795246</v>
      </c>
      <c r="N29" s="844">
        <f>N28*$B$18</f>
        <v>34757.235461742552</v>
      </c>
      <c r="O29" s="822"/>
    </row>
    <row r="30" spans="1:15" ht="33" customHeight="1">
      <c r="A30" s="840" t="s">
        <v>806</v>
      </c>
      <c r="B30" s="845"/>
      <c r="C30" s="845"/>
      <c r="D30" s="845">
        <f t="shared" ref="D30:M30" si="9">+D29+C30</f>
        <v>2143.3353321046043</v>
      </c>
      <c r="E30" s="845">
        <f t="shared" si="9"/>
        <v>4286.6706642092086</v>
      </c>
      <c r="F30" s="845">
        <f t="shared" si="9"/>
        <v>6430.0059963138128</v>
      </c>
      <c r="G30" s="845">
        <f t="shared" si="9"/>
        <v>9297.9405028486326</v>
      </c>
      <c r="H30" s="845">
        <f t="shared" si="9"/>
        <v>12948.565801844936</v>
      </c>
      <c r="I30" s="845">
        <f t="shared" si="9"/>
        <v>17310.29973382446</v>
      </c>
      <c r="J30" s="845">
        <f t="shared" si="9"/>
        <v>21672.033665803985</v>
      </c>
      <c r="K30" s="845">
        <f t="shared" si="9"/>
        <v>26033.76759778351</v>
      </c>
      <c r="L30" s="845">
        <f t="shared" si="9"/>
        <v>30395.501529763034</v>
      </c>
      <c r="M30" s="845">
        <f t="shared" si="9"/>
        <v>34757.235461742559</v>
      </c>
      <c r="N30" s="846">
        <f>N29</f>
        <v>34757.235461742552</v>
      </c>
    </row>
    <row r="31" spans="1:15" ht="15.6">
      <c r="A31" s="851" t="s">
        <v>795</v>
      </c>
      <c r="B31" s="852"/>
      <c r="C31" s="852"/>
      <c r="D31" s="852"/>
      <c r="E31" s="852"/>
      <c r="F31" s="852"/>
      <c r="G31" s="852"/>
      <c r="H31" s="852"/>
      <c r="I31" s="852"/>
      <c r="J31" s="852"/>
      <c r="K31" s="852"/>
      <c r="L31" s="852"/>
      <c r="M31" s="852"/>
      <c r="N31" s="853"/>
      <c r="O31" s="821"/>
    </row>
    <row r="32" spans="1:15" ht="15.6">
      <c r="A32" s="825" t="s">
        <v>796</v>
      </c>
      <c r="B32" s="847">
        <v>0</v>
      </c>
      <c r="C32" s="847">
        <f>+B30</f>
        <v>0</v>
      </c>
      <c r="D32" s="847">
        <f t="shared" ref="D32:M32" si="10">+C30</f>
        <v>0</v>
      </c>
      <c r="E32" s="847">
        <f t="shared" si="10"/>
        <v>2143.3353321046043</v>
      </c>
      <c r="F32" s="847">
        <f t="shared" si="10"/>
        <v>4286.6706642092086</v>
      </c>
      <c r="G32" s="847">
        <f t="shared" si="10"/>
        <v>6430.0059963138128</v>
      </c>
      <c r="H32" s="847">
        <f t="shared" si="10"/>
        <v>9297.9405028486326</v>
      </c>
      <c r="I32" s="847">
        <f t="shared" si="10"/>
        <v>12948.565801844936</v>
      </c>
      <c r="J32" s="847">
        <f t="shared" si="10"/>
        <v>17310.29973382446</v>
      </c>
      <c r="K32" s="847">
        <f t="shared" si="10"/>
        <v>21672.033665803985</v>
      </c>
      <c r="L32" s="847">
        <f t="shared" si="10"/>
        <v>26033.76759778351</v>
      </c>
      <c r="M32" s="847">
        <f t="shared" si="10"/>
        <v>30395.501529763034</v>
      </c>
      <c r="N32" s="826"/>
      <c r="O32" s="821"/>
    </row>
    <row r="33" spans="1:15" ht="15.6">
      <c r="A33" s="825" t="s">
        <v>797</v>
      </c>
      <c r="B33" s="848">
        <v>1.47E-2</v>
      </c>
      <c r="C33" s="848">
        <f>+B33</f>
        <v>1.47E-2</v>
      </c>
      <c r="D33" s="848">
        <f t="shared" ref="D33:M33" si="11">+C33</f>
        <v>1.47E-2</v>
      </c>
      <c r="E33" s="848">
        <f t="shared" si="11"/>
        <v>1.47E-2</v>
      </c>
      <c r="F33" s="848">
        <f t="shared" si="11"/>
        <v>1.47E-2</v>
      </c>
      <c r="G33" s="848">
        <f t="shared" si="11"/>
        <v>1.47E-2</v>
      </c>
      <c r="H33" s="848">
        <f t="shared" si="11"/>
        <v>1.47E-2</v>
      </c>
      <c r="I33" s="848">
        <f t="shared" si="11"/>
        <v>1.47E-2</v>
      </c>
      <c r="J33" s="848">
        <f t="shared" si="11"/>
        <v>1.47E-2</v>
      </c>
      <c r="K33" s="848">
        <f t="shared" si="11"/>
        <v>1.47E-2</v>
      </c>
      <c r="L33" s="848">
        <f t="shared" si="11"/>
        <v>1.47E-2</v>
      </c>
      <c r="M33" s="848">
        <f t="shared" si="11"/>
        <v>1.47E-2</v>
      </c>
      <c r="N33" s="826"/>
      <c r="O33" s="821"/>
    </row>
    <row r="34" spans="1:15" ht="15.6">
      <c r="A34" s="825" t="s">
        <v>798</v>
      </c>
      <c r="B34" s="849">
        <v>31</v>
      </c>
      <c r="C34" s="849">
        <v>28</v>
      </c>
      <c r="D34" s="849">
        <v>31</v>
      </c>
      <c r="E34" s="849">
        <v>30</v>
      </c>
      <c r="F34" s="849">
        <v>31</v>
      </c>
      <c r="G34" s="849">
        <v>30</v>
      </c>
      <c r="H34" s="849">
        <v>31</v>
      </c>
      <c r="I34" s="849">
        <v>31</v>
      </c>
      <c r="J34" s="849">
        <v>30</v>
      </c>
      <c r="K34" s="849">
        <v>31</v>
      </c>
      <c r="L34" s="849">
        <v>30</v>
      </c>
      <c r="M34" s="849">
        <v>31</v>
      </c>
      <c r="N34" s="861">
        <f>SUM(B34:M34)</f>
        <v>365</v>
      </c>
      <c r="O34" s="821"/>
    </row>
    <row r="35" spans="1:15" ht="15.6">
      <c r="A35" s="850" t="s">
        <v>799</v>
      </c>
      <c r="B35" s="847">
        <f>+B32*B33*B34/$N$34</f>
        <v>0</v>
      </c>
      <c r="C35" s="847">
        <f>+C32*C33*C34/$N$34</f>
        <v>0</v>
      </c>
      <c r="D35" s="847">
        <f>+D32*D33*D34/$N$34</f>
        <v>0</v>
      </c>
      <c r="E35" s="847">
        <f t="shared" ref="E35:M35" si="12">+E32*E33*E34/$N$34</f>
        <v>2.5896188533099465</v>
      </c>
      <c r="F35" s="847">
        <f t="shared" si="12"/>
        <v>5.3518789635072226</v>
      </c>
      <c r="G35" s="847">
        <f t="shared" si="12"/>
        <v>7.768856559929838</v>
      </c>
      <c r="H35" s="847">
        <f t="shared" si="12"/>
        <v>11.608415033282524</v>
      </c>
      <c r="I35" s="847">
        <f t="shared" si="12"/>
        <v>16.16619571479654</v>
      </c>
      <c r="J35" s="847">
        <f t="shared" si="12"/>
        <v>20.914636116757773</v>
      </c>
      <c r="K35" s="847">
        <f t="shared" si="12"/>
        <v>27.057385593169528</v>
      </c>
      <c r="L35" s="847">
        <f t="shared" si="12"/>
        <v>31.454497289376789</v>
      </c>
      <c r="M35" s="847">
        <f t="shared" si="12"/>
        <v>37.948575471542505</v>
      </c>
      <c r="N35" s="826">
        <f>SUM(B35:M35)</f>
        <v>160.86005959567268</v>
      </c>
    </row>
    <row r="36" spans="1:15" ht="16.2" thickBot="1">
      <c r="A36" s="854" t="s">
        <v>800</v>
      </c>
      <c r="B36" s="855"/>
      <c r="C36" s="856">
        <f>+B36+C35</f>
        <v>0</v>
      </c>
      <c r="D36" s="856">
        <f t="shared" ref="D36:M36" si="13">+C36+D35</f>
        <v>0</v>
      </c>
      <c r="E36" s="856">
        <f t="shared" si="13"/>
        <v>2.5896188533099465</v>
      </c>
      <c r="F36" s="856">
        <f t="shared" si="13"/>
        <v>7.9414978168171686</v>
      </c>
      <c r="G36" s="856">
        <f t="shared" si="13"/>
        <v>15.710354376747006</v>
      </c>
      <c r="H36" s="856">
        <f t="shared" si="13"/>
        <v>27.318769410029532</v>
      </c>
      <c r="I36" s="856">
        <f t="shared" si="13"/>
        <v>43.484965124826076</v>
      </c>
      <c r="J36" s="856">
        <f t="shared" si="13"/>
        <v>64.399601241583852</v>
      </c>
      <c r="K36" s="856">
        <f t="shared" si="13"/>
        <v>91.45698683475338</v>
      </c>
      <c r="L36" s="856">
        <f t="shared" si="13"/>
        <v>122.91148412413017</v>
      </c>
      <c r="M36" s="856">
        <f t="shared" si="13"/>
        <v>160.86005959567268</v>
      </c>
      <c r="N36" s="857"/>
    </row>
    <row r="37" spans="1:15" ht="15.6">
      <c r="A37" s="817"/>
      <c r="B37" s="818"/>
      <c r="C37" s="819"/>
      <c r="D37" s="819"/>
      <c r="E37" s="819"/>
      <c r="F37" s="819"/>
      <c r="G37" s="819"/>
      <c r="H37" s="819"/>
      <c r="I37" s="819"/>
      <c r="J37" s="819"/>
      <c r="K37" s="819"/>
      <c r="L37" s="819"/>
      <c r="M37" s="819"/>
      <c r="N37" s="820"/>
    </row>
    <row r="38" spans="1:15" ht="15.6">
      <c r="A38" s="803" t="s">
        <v>804</v>
      </c>
      <c r="L38" s="805"/>
      <c r="M38" s="806"/>
      <c r="N38" s="806"/>
    </row>
    <row r="39" spans="1:15" s="806" customFormat="1" ht="16.2" thickBot="1">
      <c r="A39" s="817"/>
      <c r="B39" s="818"/>
      <c r="C39" s="819"/>
      <c r="D39" s="819"/>
      <c r="E39" s="819"/>
      <c r="F39" s="819"/>
      <c r="G39" s="819"/>
      <c r="H39" s="819"/>
      <c r="I39" s="819"/>
      <c r="J39" s="819"/>
      <c r="K39" s="819"/>
      <c r="L39" s="819"/>
      <c r="M39" s="819"/>
      <c r="N39" s="820"/>
      <c r="O39" s="827"/>
    </row>
    <row r="40" spans="1:15" ht="32.25" customHeight="1">
      <c r="A40" s="834">
        <v>2015</v>
      </c>
      <c r="B40" s="835" t="s">
        <v>775</v>
      </c>
      <c r="C40" s="835" t="s">
        <v>776</v>
      </c>
      <c r="D40" s="835" t="s">
        <v>777</v>
      </c>
      <c r="E40" s="835" t="s">
        <v>778</v>
      </c>
      <c r="F40" s="835" t="s">
        <v>779</v>
      </c>
      <c r="G40" s="835" t="s">
        <v>780</v>
      </c>
      <c r="H40" s="835" t="s">
        <v>781</v>
      </c>
      <c r="I40" s="835" t="s">
        <v>782</v>
      </c>
      <c r="J40" s="835" t="s">
        <v>783</v>
      </c>
      <c r="K40" s="835" t="s">
        <v>784</v>
      </c>
      <c r="L40" s="835" t="s">
        <v>785</v>
      </c>
      <c r="M40" s="835" t="s">
        <v>786</v>
      </c>
      <c r="N40" s="836" t="s">
        <v>26</v>
      </c>
    </row>
    <row r="41" spans="1:15" ht="15.6">
      <c r="A41" s="837" t="s">
        <v>787</v>
      </c>
      <c r="B41" s="34"/>
      <c r="C41" s="34"/>
      <c r="D41" s="34"/>
      <c r="E41" s="34"/>
      <c r="F41" s="34"/>
      <c r="G41" s="34"/>
      <c r="H41" s="34"/>
      <c r="I41" s="34"/>
      <c r="J41" s="34"/>
      <c r="K41" s="34"/>
      <c r="L41" s="34"/>
      <c r="M41" s="34"/>
      <c r="N41" s="838"/>
    </row>
    <row r="42" spans="1:15" ht="15.6">
      <c r="A42" s="839" t="s">
        <v>788</v>
      </c>
      <c r="B42" s="832"/>
      <c r="C42" s="832"/>
      <c r="D42" s="832"/>
      <c r="E42" s="832">
        <v>358</v>
      </c>
      <c r="F42" s="832">
        <v>448</v>
      </c>
      <c r="G42" s="832">
        <v>725</v>
      </c>
      <c r="H42" s="832"/>
      <c r="I42" s="832">
        <v>727</v>
      </c>
      <c r="J42" s="832"/>
      <c r="K42" s="832">
        <v>11423</v>
      </c>
      <c r="L42" s="832"/>
      <c r="M42" s="832"/>
      <c r="N42" s="858">
        <f>SUM(B42:M42)</f>
        <v>13681</v>
      </c>
    </row>
    <row r="43" spans="1:15" ht="15.6">
      <c r="A43" s="839" t="s">
        <v>789</v>
      </c>
      <c r="B43" s="832">
        <f>B42+M23</f>
        <v>8856</v>
      </c>
      <c r="C43" s="832">
        <f>C42+B43</f>
        <v>8856</v>
      </c>
      <c r="D43" s="832">
        <f t="shared" ref="D43:M43" si="14">D42+C43</f>
        <v>8856</v>
      </c>
      <c r="E43" s="832">
        <f t="shared" si="14"/>
        <v>9214</v>
      </c>
      <c r="F43" s="832">
        <f t="shared" si="14"/>
        <v>9662</v>
      </c>
      <c r="G43" s="832">
        <f t="shared" si="14"/>
        <v>10387</v>
      </c>
      <c r="H43" s="832">
        <f t="shared" si="14"/>
        <v>10387</v>
      </c>
      <c r="I43" s="832">
        <f t="shared" si="14"/>
        <v>11114</v>
      </c>
      <c r="J43" s="832">
        <f t="shared" si="14"/>
        <v>11114</v>
      </c>
      <c r="K43" s="832">
        <f t="shared" si="14"/>
        <v>22537</v>
      </c>
      <c r="L43" s="832">
        <f t="shared" si="14"/>
        <v>22537</v>
      </c>
      <c r="M43" s="832">
        <f t="shared" si="14"/>
        <v>22537</v>
      </c>
      <c r="N43" s="858">
        <f>N42+N23</f>
        <v>22537</v>
      </c>
      <c r="O43" s="821"/>
    </row>
    <row r="44" spans="1:15" ht="15.6">
      <c r="A44" s="837" t="s">
        <v>790</v>
      </c>
      <c r="B44" s="832"/>
      <c r="C44" s="832"/>
      <c r="D44" s="832"/>
      <c r="E44" s="832"/>
      <c r="F44" s="832"/>
      <c r="G44" s="832"/>
      <c r="H44" s="832"/>
      <c r="I44" s="832"/>
      <c r="J44" s="832"/>
      <c r="K44" s="832"/>
      <c r="L44" s="832"/>
      <c r="M44" s="832"/>
      <c r="N44" s="858"/>
      <c r="O44" s="821"/>
    </row>
    <row r="45" spans="1:15" ht="15.6">
      <c r="A45" s="831" t="s">
        <v>791</v>
      </c>
      <c r="B45" s="833"/>
      <c r="C45" s="833"/>
      <c r="D45" s="833"/>
      <c r="E45" s="833">
        <v>107.4</v>
      </c>
      <c r="F45" s="833">
        <v>134.4</v>
      </c>
      <c r="G45" s="833">
        <v>217.5</v>
      </c>
      <c r="H45" s="833"/>
      <c r="I45" s="833">
        <v>215.35</v>
      </c>
      <c r="J45" s="833"/>
      <c r="K45" s="833">
        <v>2042.6929999999998</v>
      </c>
      <c r="L45" s="833"/>
      <c r="M45" s="833"/>
      <c r="N45" s="859">
        <f>SUM(B45:M45)</f>
        <v>2717.3429999999998</v>
      </c>
      <c r="O45" s="821"/>
    </row>
    <row r="46" spans="1:15" ht="15.6">
      <c r="A46" s="831" t="s">
        <v>792</v>
      </c>
      <c r="B46" s="833"/>
      <c r="C46" s="833"/>
      <c r="D46" s="833"/>
      <c r="E46" s="833">
        <v>40.287999999999997</v>
      </c>
      <c r="F46" s="833">
        <v>61.737000000000002</v>
      </c>
      <c r="G46" s="833">
        <v>104.48099999999999</v>
      </c>
      <c r="H46" s="833"/>
      <c r="I46" s="833">
        <v>82.432000000000002</v>
      </c>
      <c r="J46" s="833"/>
      <c r="K46" s="833">
        <v>721.7</v>
      </c>
      <c r="L46" s="833"/>
      <c r="M46" s="833"/>
      <c r="N46" s="859">
        <f t="shared" ref="N46:N47" si="15">SUM(B46:M46)</f>
        <v>1010.638</v>
      </c>
    </row>
    <row r="47" spans="1:15" ht="15.6">
      <c r="A47" s="831" t="s">
        <v>793</v>
      </c>
      <c r="B47" s="833">
        <f t="shared" ref="B47:D47" si="16">B45-B46</f>
        <v>0</v>
      </c>
      <c r="C47" s="833">
        <f t="shared" si="16"/>
        <v>0</v>
      </c>
      <c r="D47" s="833">
        <f t="shared" si="16"/>
        <v>0</v>
      </c>
      <c r="E47" s="833">
        <f>E45-E46</f>
        <v>67.112000000000009</v>
      </c>
      <c r="F47" s="833">
        <f t="shared" ref="F47:M47" si="17">F45-F46</f>
        <v>72.663000000000011</v>
      </c>
      <c r="G47" s="833">
        <f t="shared" si="17"/>
        <v>113.01900000000001</v>
      </c>
      <c r="H47" s="833">
        <f t="shared" si="17"/>
        <v>0</v>
      </c>
      <c r="I47" s="833">
        <f t="shared" si="17"/>
        <v>132.91800000000001</v>
      </c>
      <c r="J47" s="833">
        <f t="shared" si="17"/>
        <v>0</v>
      </c>
      <c r="K47" s="833">
        <f t="shared" si="17"/>
        <v>1320.9929999999997</v>
      </c>
      <c r="L47" s="833">
        <f t="shared" si="17"/>
        <v>0</v>
      </c>
      <c r="M47" s="833">
        <f t="shared" si="17"/>
        <v>0</v>
      </c>
      <c r="N47" s="859">
        <f t="shared" si="15"/>
        <v>1706.7049999999997</v>
      </c>
    </row>
    <row r="48" spans="1:15" ht="33" customHeight="1">
      <c r="A48" s="840" t="s">
        <v>794</v>
      </c>
      <c r="B48" s="841">
        <f>B47+M28</f>
        <v>874.57500000000005</v>
      </c>
      <c r="C48" s="841">
        <f>C47+B48</f>
        <v>874.57500000000005</v>
      </c>
      <c r="D48" s="841">
        <f t="shared" ref="D48:H48" si="18">D47+C48</f>
        <v>874.57500000000005</v>
      </c>
      <c r="E48" s="841">
        <f t="shared" si="18"/>
        <v>941.68700000000001</v>
      </c>
      <c r="F48" s="841">
        <f t="shared" si="18"/>
        <v>1014.35</v>
      </c>
      <c r="G48" s="841">
        <f t="shared" si="18"/>
        <v>1127.3690000000001</v>
      </c>
      <c r="H48" s="841">
        <f t="shared" si="18"/>
        <v>1127.3690000000001</v>
      </c>
      <c r="I48" s="841">
        <f>I47+H48</f>
        <v>1260.2870000000003</v>
      </c>
      <c r="J48" s="841">
        <f t="shared" ref="J48:M48" si="19">J47+I48</f>
        <v>1260.2870000000003</v>
      </c>
      <c r="K48" s="841">
        <f t="shared" si="19"/>
        <v>2581.2799999999997</v>
      </c>
      <c r="L48" s="841">
        <f t="shared" si="19"/>
        <v>2581.2799999999997</v>
      </c>
      <c r="M48" s="841">
        <f t="shared" si="19"/>
        <v>2581.2799999999997</v>
      </c>
      <c r="N48" s="860">
        <f>SUM(B48:M48)*F18</f>
        <v>12981.299051406017</v>
      </c>
    </row>
    <row r="49" spans="1:15" ht="33" customHeight="1">
      <c r="A49" s="842" t="s">
        <v>805</v>
      </c>
      <c r="B49" s="843">
        <f>+B48*$C$18*$F$18</f>
        <v>4418.4367386821759</v>
      </c>
      <c r="C49" s="843">
        <f t="shared" ref="C49:M49" si="20">+C48*$C$18*$F$18</f>
        <v>4418.4367386821759</v>
      </c>
      <c r="D49" s="843">
        <f t="shared" si="20"/>
        <v>4418.4367386821759</v>
      </c>
      <c r="E49" s="843">
        <f t="shared" si="20"/>
        <v>4757.4929961860353</v>
      </c>
      <c r="F49" s="843">
        <f t="shared" si="20"/>
        <v>5124.5934378209586</v>
      </c>
      <c r="G49" s="843">
        <f t="shared" si="20"/>
        <v>5695.5762600707612</v>
      </c>
      <c r="H49" s="843">
        <f t="shared" si="20"/>
        <v>5695.5762600707612</v>
      </c>
      <c r="I49" s="843">
        <f t="shared" si="20"/>
        <v>6367.0907378824495</v>
      </c>
      <c r="J49" s="843">
        <f t="shared" si="20"/>
        <v>6367.0907378824495</v>
      </c>
      <c r="K49" s="843">
        <f t="shared" si="20"/>
        <v>13040.874007175515</v>
      </c>
      <c r="L49" s="843">
        <f t="shared" si="20"/>
        <v>13040.874007175515</v>
      </c>
      <c r="M49" s="843">
        <f t="shared" si="20"/>
        <v>13040.874007175515</v>
      </c>
      <c r="N49" s="844">
        <f>N48*$C$18</f>
        <v>86385.352667486484</v>
      </c>
      <c r="O49" s="822"/>
    </row>
    <row r="50" spans="1:15" ht="33" customHeight="1">
      <c r="A50" s="840" t="s">
        <v>807</v>
      </c>
      <c r="B50" s="845">
        <f>+B49+M30</f>
        <v>39175.672200424735</v>
      </c>
      <c r="C50" s="845">
        <f>+C49+B50</f>
        <v>43594.108939106911</v>
      </c>
      <c r="D50" s="845">
        <f t="shared" ref="D50:M50" si="21">+D49+C50</f>
        <v>48012.545677789087</v>
      </c>
      <c r="E50" s="845">
        <f t="shared" si="21"/>
        <v>52770.038673975119</v>
      </c>
      <c r="F50" s="845">
        <f t="shared" si="21"/>
        <v>57894.632111796076</v>
      </c>
      <c r="G50" s="845">
        <f t="shared" si="21"/>
        <v>63590.208371866836</v>
      </c>
      <c r="H50" s="845">
        <f t="shared" si="21"/>
        <v>69285.784631937597</v>
      </c>
      <c r="I50" s="845">
        <f t="shared" si="21"/>
        <v>75652.875369820045</v>
      </c>
      <c r="J50" s="845">
        <f t="shared" si="21"/>
        <v>82019.966107702494</v>
      </c>
      <c r="K50" s="845">
        <f t="shared" si="21"/>
        <v>95060.84011487801</v>
      </c>
      <c r="L50" s="845">
        <f t="shared" si="21"/>
        <v>108101.71412205353</v>
      </c>
      <c r="M50" s="845">
        <f t="shared" si="21"/>
        <v>121142.58812922904</v>
      </c>
      <c r="N50" s="846">
        <f>N49+N30</f>
        <v>121142.58812922903</v>
      </c>
    </row>
    <row r="51" spans="1:15" ht="15.6">
      <c r="A51" s="851" t="s">
        <v>795</v>
      </c>
      <c r="B51" s="852"/>
      <c r="C51" s="852"/>
      <c r="D51" s="852"/>
      <c r="E51" s="852"/>
      <c r="F51" s="852"/>
      <c r="G51" s="852"/>
      <c r="H51" s="852"/>
      <c r="I51" s="852"/>
      <c r="J51" s="852"/>
      <c r="K51" s="852"/>
      <c r="L51" s="852"/>
      <c r="M51" s="852"/>
      <c r="N51" s="853"/>
      <c r="O51" s="821"/>
    </row>
    <row r="52" spans="1:15" ht="15.6">
      <c r="A52" s="825" t="s">
        <v>796</v>
      </c>
      <c r="B52" s="847">
        <f>M30</f>
        <v>34757.235461742559</v>
      </c>
      <c r="C52" s="847">
        <f>+B50</f>
        <v>39175.672200424735</v>
      </c>
      <c r="D52" s="847">
        <f t="shared" ref="D52:M52" si="22">+C50</f>
        <v>43594.108939106911</v>
      </c>
      <c r="E52" s="847">
        <f t="shared" si="22"/>
        <v>48012.545677789087</v>
      </c>
      <c r="F52" s="847">
        <f t="shared" si="22"/>
        <v>52770.038673975119</v>
      </c>
      <c r="G52" s="847">
        <f t="shared" si="22"/>
        <v>57894.632111796076</v>
      </c>
      <c r="H52" s="847">
        <f t="shared" si="22"/>
        <v>63590.208371866836</v>
      </c>
      <c r="I52" s="847">
        <f t="shared" si="22"/>
        <v>69285.784631937597</v>
      </c>
      <c r="J52" s="847">
        <f t="shared" si="22"/>
        <v>75652.875369820045</v>
      </c>
      <c r="K52" s="847">
        <f t="shared" si="22"/>
        <v>82019.966107702494</v>
      </c>
      <c r="L52" s="847">
        <f t="shared" si="22"/>
        <v>95060.84011487801</v>
      </c>
      <c r="M52" s="847">
        <f t="shared" si="22"/>
        <v>108101.71412205353</v>
      </c>
      <c r="N52" s="826"/>
      <c r="O52" s="821"/>
    </row>
    <row r="53" spans="1:15" ht="15.6">
      <c r="A53" s="825" t="s">
        <v>797</v>
      </c>
      <c r="B53" s="848">
        <v>1.47E-2</v>
      </c>
      <c r="C53" s="848">
        <f>+B53</f>
        <v>1.47E-2</v>
      </c>
      <c r="D53" s="848">
        <f t="shared" ref="D53" si="23">+C53</f>
        <v>1.47E-2</v>
      </c>
      <c r="E53" s="848">
        <v>1.0999999999999999E-2</v>
      </c>
      <c r="F53" s="848">
        <v>1.0999999999999999E-2</v>
      </c>
      <c r="G53" s="848">
        <v>1.0999999999999999E-2</v>
      </c>
      <c r="H53" s="848">
        <v>1.0999999999999999E-2</v>
      </c>
      <c r="I53" s="848">
        <v>1.0999999999999999E-2</v>
      </c>
      <c r="J53" s="848">
        <v>1.0999999999999999E-2</v>
      </c>
      <c r="K53" s="848">
        <v>1.0999999999999999E-2</v>
      </c>
      <c r="L53" s="848">
        <v>1.0999999999999999E-2</v>
      </c>
      <c r="M53" s="848">
        <v>1.0999999999999999E-2</v>
      </c>
      <c r="N53" s="826"/>
      <c r="O53" s="821"/>
    </row>
    <row r="54" spans="1:15" ht="15.6">
      <c r="A54" s="825" t="s">
        <v>798</v>
      </c>
      <c r="B54" s="849">
        <v>31</v>
      </c>
      <c r="C54" s="849">
        <v>28</v>
      </c>
      <c r="D54" s="849">
        <v>31</v>
      </c>
      <c r="E54" s="849">
        <v>30</v>
      </c>
      <c r="F54" s="849">
        <v>31</v>
      </c>
      <c r="G54" s="849">
        <v>30</v>
      </c>
      <c r="H54" s="849">
        <v>31</v>
      </c>
      <c r="I54" s="849">
        <v>31</v>
      </c>
      <c r="J54" s="849">
        <v>30</v>
      </c>
      <c r="K54" s="849">
        <v>31</v>
      </c>
      <c r="L54" s="849">
        <v>30</v>
      </c>
      <c r="M54" s="849">
        <v>31</v>
      </c>
      <c r="N54" s="861">
        <f>SUM(B54:M54)</f>
        <v>365</v>
      </c>
      <c r="O54" s="821"/>
    </row>
    <row r="55" spans="1:15" ht="15.6">
      <c r="A55" s="850" t="s">
        <v>799</v>
      </c>
      <c r="B55" s="847">
        <f t="shared" ref="B55:M55" si="24">+B52*B53*B54/$N54</f>
        <v>43.394170410728997</v>
      </c>
      <c r="C55" s="847">
        <f t="shared" si="24"/>
        <v>44.17727856902691</v>
      </c>
      <c r="D55" s="847">
        <f t="shared" si="24"/>
        <v>54.42694642068772</v>
      </c>
      <c r="E55" s="847">
        <f t="shared" si="24"/>
        <v>43.408602941562734</v>
      </c>
      <c r="F55" s="847">
        <f t="shared" si="24"/>
        <v>49.300227911850726</v>
      </c>
      <c r="G55" s="847">
        <f t="shared" si="24"/>
        <v>52.343092046281377</v>
      </c>
      <c r="H55" s="847">
        <f t="shared" si="24"/>
        <v>59.408934396730395</v>
      </c>
      <c r="I55" s="847">
        <f t="shared" si="24"/>
        <v>64.730007012303346</v>
      </c>
      <c r="J55" s="847">
        <f t="shared" si="24"/>
        <v>68.398490060385242</v>
      </c>
      <c r="K55" s="847">
        <f t="shared" si="24"/>
        <v>76.626872445826166</v>
      </c>
      <c r="L55" s="847">
        <f t="shared" si="24"/>
        <v>85.945417090163673</v>
      </c>
      <c r="M55" s="847">
        <f t="shared" si="24"/>
        <v>100.99365620717876</v>
      </c>
      <c r="N55" s="826">
        <f>SUM(B55:M55)</f>
        <v>743.15369551272613</v>
      </c>
    </row>
    <row r="56" spans="1:15" ht="16.2" thickBot="1">
      <c r="A56" s="854" t="s">
        <v>800</v>
      </c>
      <c r="B56" s="855">
        <f>B55+M36</f>
        <v>204.25423000640168</v>
      </c>
      <c r="C56" s="856">
        <f>+B56+C55</f>
        <v>248.43150857542861</v>
      </c>
      <c r="D56" s="856">
        <f t="shared" ref="D56:M56" si="25">+C56+D55</f>
        <v>302.85845499611634</v>
      </c>
      <c r="E56" s="856">
        <f t="shared" si="25"/>
        <v>346.26705793767906</v>
      </c>
      <c r="F56" s="856">
        <f t="shared" si="25"/>
        <v>395.56728584952975</v>
      </c>
      <c r="G56" s="856">
        <f t="shared" si="25"/>
        <v>447.91037789581111</v>
      </c>
      <c r="H56" s="856">
        <f t="shared" si="25"/>
        <v>507.3193122925415</v>
      </c>
      <c r="I56" s="856">
        <f t="shared" si="25"/>
        <v>572.04931930484486</v>
      </c>
      <c r="J56" s="856">
        <f t="shared" si="25"/>
        <v>640.44780936523011</v>
      </c>
      <c r="K56" s="856">
        <f t="shared" si="25"/>
        <v>717.07468181105628</v>
      </c>
      <c r="L56" s="856">
        <f t="shared" si="25"/>
        <v>803.02009890121997</v>
      </c>
      <c r="M56" s="856">
        <f t="shared" si="25"/>
        <v>904.01375510839875</v>
      </c>
      <c r="N56" s="857"/>
    </row>
    <row r="58" spans="1:15">
      <c r="A58" s="823" t="s">
        <v>965</v>
      </c>
      <c r="B58" s="996">
        <f>$M$30*B53*B54/$N$54</f>
        <v>43.394170410728997</v>
      </c>
      <c r="C58" s="996">
        <f t="shared" ref="C58:M58" si="26">$M$30*C53*C54/$N$54</f>
        <v>39.194734564529412</v>
      </c>
      <c r="D58" s="996">
        <f t="shared" si="26"/>
        <v>43.394170410728997</v>
      </c>
      <c r="E58" s="996">
        <f t="shared" si="26"/>
        <v>31.424349869520665</v>
      </c>
      <c r="F58" s="996">
        <f t="shared" si="26"/>
        <v>32.471828198504689</v>
      </c>
      <c r="G58" s="996">
        <f t="shared" si="26"/>
        <v>31.424349869520665</v>
      </c>
      <c r="H58" s="996">
        <f t="shared" si="26"/>
        <v>32.471828198504689</v>
      </c>
      <c r="I58" s="996">
        <f t="shared" si="26"/>
        <v>32.471828198504689</v>
      </c>
      <c r="J58" s="996">
        <f t="shared" si="26"/>
        <v>31.424349869520665</v>
      </c>
      <c r="K58" s="996">
        <f t="shared" si="26"/>
        <v>32.471828198504689</v>
      </c>
      <c r="L58" s="996">
        <f t="shared" si="26"/>
        <v>31.424349869520665</v>
      </c>
      <c r="M58" s="996">
        <f t="shared" si="26"/>
        <v>32.471828198504689</v>
      </c>
    </row>
    <row r="59" spans="1:15">
      <c r="A59" s="823" t="s">
        <v>988</v>
      </c>
      <c r="C59" s="996">
        <f>(B50-$M$30)*C53*C54/$N$54</f>
        <v>4.9825440044974894</v>
      </c>
      <c r="D59" s="996">
        <f t="shared" ref="D59:M59" si="27">(C50-$M$30)*D53*D54/$N$54</f>
        <v>11.032776009958727</v>
      </c>
      <c r="E59" s="996">
        <f t="shared" si="27"/>
        <v>11.984253072042064</v>
      </c>
      <c r="F59" s="996">
        <f t="shared" si="27"/>
        <v>16.828399713346034</v>
      </c>
      <c r="G59" s="996">
        <f t="shared" si="27"/>
        <v>20.918742176760713</v>
      </c>
      <c r="H59" s="996">
        <f t="shared" si="27"/>
        <v>26.937106198225695</v>
      </c>
      <c r="I59" s="996">
        <f t="shared" si="27"/>
        <v>32.258178813798651</v>
      </c>
      <c r="J59" s="996">
        <f t="shared" si="27"/>
        <v>36.974140190864574</v>
      </c>
      <c r="K59" s="996">
        <f t="shared" si="27"/>
        <v>44.15504424732147</v>
      </c>
      <c r="L59" s="996">
        <f t="shared" si="27"/>
        <v>54.521067220643012</v>
      </c>
      <c r="M59" s="996">
        <f t="shared" si="27"/>
        <v>68.521828008674078</v>
      </c>
    </row>
    <row r="60" spans="1:15">
      <c r="A60" s="823" t="s">
        <v>26</v>
      </c>
      <c r="B60" s="997">
        <f>B58+B59</f>
        <v>43.394170410728997</v>
      </c>
      <c r="C60" s="997">
        <f t="shared" ref="C60:M60" si="28">C58+C59</f>
        <v>44.177278569026903</v>
      </c>
      <c r="D60" s="997">
        <f t="shared" si="28"/>
        <v>54.426946420687727</v>
      </c>
      <c r="E60" s="997">
        <f t="shared" si="28"/>
        <v>43.408602941562727</v>
      </c>
      <c r="F60" s="997">
        <f t="shared" si="28"/>
        <v>49.300227911850726</v>
      </c>
      <c r="G60" s="997">
        <f t="shared" si="28"/>
        <v>52.343092046281377</v>
      </c>
      <c r="H60" s="997">
        <f t="shared" si="28"/>
        <v>59.408934396730388</v>
      </c>
      <c r="I60" s="997">
        <f t="shared" si="28"/>
        <v>64.730007012303332</v>
      </c>
      <c r="J60" s="997">
        <f t="shared" si="28"/>
        <v>68.398490060385242</v>
      </c>
      <c r="K60" s="997">
        <f t="shared" si="28"/>
        <v>76.626872445826166</v>
      </c>
      <c r="L60" s="997">
        <f t="shared" si="28"/>
        <v>85.945417090163673</v>
      </c>
      <c r="M60" s="997">
        <f t="shared" si="28"/>
        <v>100.99365620717876</v>
      </c>
    </row>
    <row r="61" spans="1:15">
      <c r="A61" s="823" t="s">
        <v>957</v>
      </c>
      <c r="B61" s="997">
        <f>B60-B55</f>
        <v>0</v>
      </c>
      <c r="C61" s="997">
        <f t="shared" ref="C61:M61" si="29">C60-C55</f>
        <v>0</v>
      </c>
      <c r="D61" s="997">
        <f t="shared" si="29"/>
        <v>0</v>
      </c>
      <c r="E61" s="997">
        <f t="shared" si="29"/>
        <v>0</v>
      </c>
      <c r="F61" s="997">
        <f t="shared" si="29"/>
        <v>0</v>
      </c>
      <c r="G61" s="997">
        <f t="shared" si="29"/>
        <v>0</v>
      </c>
      <c r="H61" s="997">
        <f t="shared" si="29"/>
        <v>0</v>
      </c>
      <c r="I61" s="997">
        <f t="shared" si="29"/>
        <v>0</v>
      </c>
      <c r="J61" s="997">
        <f t="shared" si="29"/>
        <v>0</v>
      </c>
      <c r="K61" s="997">
        <f t="shared" si="29"/>
        <v>0</v>
      </c>
      <c r="L61" s="997">
        <f t="shared" si="29"/>
        <v>0</v>
      </c>
      <c r="M61" s="997">
        <f t="shared" si="29"/>
        <v>0</v>
      </c>
    </row>
    <row r="63" spans="1:15" customFormat="1" ht="15.6">
      <c r="A63" s="828" t="s">
        <v>812</v>
      </c>
      <c r="B63" s="829"/>
      <c r="C63" s="829"/>
      <c r="D63" s="829"/>
    </row>
    <row r="64" spans="1:15" customFormat="1" ht="16.2" thickBot="1">
      <c r="A64" s="829"/>
      <c r="B64" s="829"/>
      <c r="C64" s="829"/>
      <c r="D64" s="829"/>
    </row>
    <row r="65" spans="1:14" customFormat="1" ht="16.2" thickBot="1">
      <c r="A65" s="872"/>
      <c r="B65" s="873">
        <v>2014</v>
      </c>
      <c r="C65" s="873">
        <v>2015</v>
      </c>
      <c r="D65" s="874" t="s">
        <v>26</v>
      </c>
    </row>
    <row r="66" spans="1:14" customFormat="1" ht="15.6">
      <c r="A66" s="862" t="s">
        <v>808</v>
      </c>
      <c r="B66" s="863">
        <f>N23</f>
        <v>8856</v>
      </c>
      <c r="C66" s="863">
        <f>N42</f>
        <v>13681</v>
      </c>
      <c r="D66" s="864">
        <f>SUM(B66:C66)</f>
        <v>22537</v>
      </c>
    </row>
    <row r="67" spans="1:14" customFormat="1" ht="15.6">
      <c r="A67" s="862" t="s">
        <v>793</v>
      </c>
      <c r="B67" s="865">
        <f>N27</f>
        <v>874.57500000000005</v>
      </c>
      <c r="C67" s="865">
        <f>N47</f>
        <v>1706.7049999999997</v>
      </c>
      <c r="D67" s="866">
        <f>SUM(B67:C67)</f>
        <v>2581.2799999999997</v>
      </c>
    </row>
    <row r="68" spans="1:14" customFormat="1" ht="15.6">
      <c r="A68" s="862" t="s">
        <v>809</v>
      </c>
      <c r="B68" s="865">
        <f>N28</f>
        <v>5290.9388451778832</v>
      </c>
      <c r="C68" s="865">
        <f>N48</f>
        <v>12981.299051406017</v>
      </c>
      <c r="D68" s="866">
        <f>SUM(B68:C68)</f>
        <v>18272.237896583902</v>
      </c>
    </row>
    <row r="69" spans="1:14" customFormat="1" ht="15.6">
      <c r="A69" s="862" t="s">
        <v>810</v>
      </c>
      <c r="B69" s="867">
        <f>N29</f>
        <v>34757.235461742552</v>
      </c>
      <c r="C69" s="867">
        <f>N49</f>
        <v>86385.352667486484</v>
      </c>
      <c r="D69" s="868">
        <f>SUM(B69:C69)</f>
        <v>121142.58812922903</v>
      </c>
    </row>
    <row r="70" spans="1:14" customFormat="1" ht="15.6">
      <c r="A70" s="862" t="s">
        <v>43</v>
      </c>
      <c r="B70" s="867">
        <f>N35</f>
        <v>160.86005959567268</v>
      </c>
      <c r="C70" s="867">
        <f>N55</f>
        <v>743.15369551272613</v>
      </c>
      <c r="D70" s="868">
        <f>SUM(B70:C70)</f>
        <v>904.01375510839875</v>
      </c>
    </row>
    <row r="71" spans="1:14" customFormat="1" ht="16.2" thickBot="1">
      <c r="A71" s="869" t="s">
        <v>811</v>
      </c>
      <c r="B71" s="870">
        <f t="shared" ref="B71:C71" si="30">SUM(B69:B70)</f>
        <v>34918.095521338226</v>
      </c>
      <c r="C71" s="870">
        <f t="shared" si="30"/>
        <v>87128.506362999207</v>
      </c>
      <c r="D71" s="871">
        <f>SUM(D69:D70)</f>
        <v>122046.60188433743</v>
      </c>
    </row>
    <row r="72" spans="1:14" customFormat="1" ht="15.6">
      <c r="A72" s="829"/>
      <c r="B72" s="829"/>
      <c r="C72" s="829"/>
      <c r="D72" s="829"/>
    </row>
    <row r="73" spans="1:14" customFormat="1" ht="15.6">
      <c r="A73" s="829"/>
      <c r="B73" s="830">
        <f t="shared" ref="B73:D73" si="31">+B69/B68</f>
        <v>6.5692000000000004</v>
      </c>
      <c r="C73" s="830">
        <f t="shared" si="31"/>
        <v>6.6546000000000003</v>
      </c>
      <c r="D73" s="830">
        <f t="shared" si="31"/>
        <v>6.6298714374705749</v>
      </c>
    </row>
    <row r="75" spans="1:14" ht="15.6">
      <c r="A75" s="803" t="s">
        <v>826</v>
      </c>
      <c r="L75" s="805"/>
      <c r="M75" s="806"/>
      <c r="N75" s="806"/>
    </row>
    <row r="76" spans="1:14" ht="15.6">
      <c r="A76" s="803"/>
      <c r="B76" s="891"/>
      <c r="L76" s="808"/>
      <c r="M76" s="806"/>
      <c r="N76" s="806"/>
    </row>
    <row r="77" spans="1:14" ht="15.6">
      <c r="A77" s="1235" t="s">
        <v>774</v>
      </c>
      <c r="B77" s="810">
        <v>2016</v>
      </c>
      <c r="C77" s="810">
        <v>2017</v>
      </c>
      <c r="D77" s="809"/>
      <c r="E77" s="880" t="s">
        <v>821</v>
      </c>
      <c r="F77" s="880" t="s">
        <v>820</v>
      </c>
      <c r="G77" s="809"/>
      <c r="H77" s="809"/>
      <c r="I77" s="809"/>
      <c r="J77" s="809"/>
      <c r="K77" s="809"/>
      <c r="L77" s="811"/>
      <c r="M77" s="809"/>
      <c r="N77" s="812"/>
    </row>
    <row r="78" spans="1:14">
      <c r="A78" s="1236"/>
      <c r="B78" s="813">
        <f>'3.  Distribution Rates'!J65</f>
        <v>6.7526000000000002</v>
      </c>
      <c r="C78" s="813">
        <f>'3.  Distribution Rates'!K65</f>
        <v>0</v>
      </c>
      <c r="D78" s="809"/>
      <c r="E78" s="880">
        <v>2016</v>
      </c>
      <c r="F78" s="881">
        <f>'9. NTG Ratio calculation'!E16</f>
        <v>0.79225025322708609</v>
      </c>
      <c r="G78" s="889"/>
      <c r="H78" s="814"/>
      <c r="I78" s="814"/>
      <c r="J78" s="814"/>
      <c r="K78" s="809"/>
      <c r="L78" s="809"/>
      <c r="M78" s="815"/>
      <c r="N78" s="816"/>
    </row>
    <row r="79" spans="1:14" ht="16.2" thickBot="1">
      <c r="A79" s="817"/>
      <c r="B79" s="818"/>
      <c r="C79" s="819"/>
      <c r="D79" s="819"/>
      <c r="E79" s="819"/>
      <c r="F79" s="819"/>
      <c r="G79" s="819"/>
      <c r="H79" s="819"/>
      <c r="I79" s="819"/>
      <c r="J79" s="819"/>
      <c r="K79" s="819"/>
      <c r="L79" s="819"/>
      <c r="M79" s="819"/>
      <c r="N79" s="820"/>
    </row>
    <row r="80" spans="1:14" ht="15.6">
      <c r="A80" s="834">
        <v>2016</v>
      </c>
      <c r="B80" s="835" t="s">
        <v>775</v>
      </c>
      <c r="C80" s="835" t="s">
        <v>776</v>
      </c>
      <c r="D80" s="835" t="s">
        <v>777</v>
      </c>
      <c r="E80" s="835" t="s">
        <v>778</v>
      </c>
      <c r="F80" s="835" t="s">
        <v>779</v>
      </c>
      <c r="G80" s="835" t="s">
        <v>780</v>
      </c>
      <c r="H80" s="835" t="s">
        <v>781</v>
      </c>
      <c r="I80" s="835" t="s">
        <v>782</v>
      </c>
      <c r="J80" s="835" t="s">
        <v>783</v>
      </c>
      <c r="K80" s="835" t="s">
        <v>784</v>
      </c>
      <c r="L80" s="835" t="s">
        <v>785</v>
      </c>
      <c r="M80" s="835" t="s">
        <v>786</v>
      </c>
      <c r="N80" s="836" t="s">
        <v>26</v>
      </c>
    </row>
    <row r="81" spans="1:16" ht="15.6">
      <c r="A81" s="837" t="s">
        <v>787</v>
      </c>
      <c r="B81" s="34"/>
      <c r="C81" s="34"/>
      <c r="D81" s="34"/>
      <c r="E81" s="34"/>
      <c r="F81" s="34"/>
      <c r="G81" s="34"/>
      <c r="H81" s="34"/>
      <c r="I81" s="34"/>
      <c r="J81" s="34"/>
      <c r="K81" s="34"/>
      <c r="L81" s="34"/>
      <c r="M81" s="34"/>
      <c r="N81" s="838"/>
      <c r="P81" s="823" t="s">
        <v>830</v>
      </c>
    </row>
    <row r="82" spans="1:16" ht="15.6">
      <c r="A82" s="839" t="s">
        <v>788</v>
      </c>
      <c r="B82" s="832">
        <v>144</v>
      </c>
      <c r="C82" s="832"/>
      <c r="D82" s="832"/>
      <c r="E82" s="832">
        <v>83</v>
      </c>
      <c r="F82" s="832">
        <v>1656</v>
      </c>
      <c r="G82" s="832">
        <v>1313</v>
      </c>
      <c r="H82" s="832">
        <v>9</v>
      </c>
      <c r="I82" s="832"/>
      <c r="J82" s="832">
        <v>1363</v>
      </c>
      <c r="K82" s="832">
        <v>2210</v>
      </c>
      <c r="L82" s="832">
        <v>618</v>
      </c>
      <c r="M82" s="832"/>
      <c r="N82" s="858">
        <f>SUM(B82:M82)</f>
        <v>7396</v>
      </c>
      <c r="P82" s="823" t="s">
        <v>829</v>
      </c>
    </row>
    <row r="83" spans="1:16" ht="15.6">
      <c r="A83" s="839" t="s">
        <v>789</v>
      </c>
      <c r="B83" s="832">
        <f>M43+B82</f>
        <v>22681</v>
      </c>
      <c r="C83" s="832">
        <f t="shared" ref="C83:D83" si="32">C82+B83</f>
        <v>22681</v>
      </c>
      <c r="D83" s="832">
        <f t="shared" si="32"/>
        <v>22681</v>
      </c>
      <c r="E83" s="832">
        <f t="shared" ref="E83" si="33">E82+D83</f>
        <v>22764</v>
      </c>
      <c r="F83" s="832">
        <f t="shared" ref="F83" si="34">F82+E83</f>
        <v>24420</v>
      </c>
      <c r="G83" s="832">
        <f t="shared" ref="G83" si="35">G82+F83</f>
        <v>25733</v>
      </c>
      <c r="H83" s="832">
        <f t="shared" ref="H83" si="36">H82+G83</f>
        <v>25742</v>
      </c>
      <c r="I83" s="832">
        <f t="shared" ref="I83" si="37">I82+H83</f>
        <v>25742</v>
      </c>
      <c r="J83" s="832">
        <f t="shared" ref="J83" si="38">J82+I83</f>
        <v>27105</v>
      </c>
      <c r="K83" s="832">
        <f t="shared" ref="K83" si="39">K82+J83</f>
        <v>29315</v>
      </c>
      <c r="L83" s="832">
        <f t="shared" ref="L83" si="40">L82+K83</f>
        <v>29933</v>
      </c>
      <c r="M83" s="832">
        <f t="shared" ref="M83" si="41">M82+L83</f>
        <v>29933</v>
      </c>
      <c r="N83" s="858">
        <f>N82+N43</f>
        <v>29933</v>
      </c>
      <c r="P83" s="823"/>
    </row>
    <row r="84" spans="1:16" ht="15.6">
      <c r="A84" s="837" t="s">
        <v>790</v>
      </c>
      <c r="B84" s="832"/>
      <c r="C84" s="832"/>
      <c r="D84" s="832"/>
      <c r="E84" s="832"/>
      <c r="F84" s="832"/>
      <c r="G84" s="832"/>
      <c r="H84" s="832"/>
      <c r="I84" s="832"/>
      <c r="J84" s="832"/>
      <c r="K84" s="832"/>
      <c r="L84" s="832"/>
      <c r="M84" s="832"/>
      <c r="N84" s="858"/>
    </row>
    <row r="85" spans="1:16" ht="15.6">
      <c r="A85" s="831" t="s">
        <v>791</v>
      </c>
      <c r="B85" s="833">
        <v>14.805999999999999</v>
      </c>
      <c r="C85" s="833"/>
      <c r="D85" s="833"/>
      <c r="E85" s="833">
        <v>24.6</v>
      </c>
      <c r="F85" s="833">
        <v>215.08099999999999</v>
      </c>
      <c r="G85" s="833">
        <v>218.6</v>
      </c>
      <c r="H85" s="833">
        <v>1.6739999999999999</v>
      </c>
      <c r="I85" s="833"/>
      <c r="J85" s="833">
        <v>190.50700000000001</v>
      </c>
      <c r="K85" s="833">
        <v>373.82499999999999</v>
      </c>
      <c r="L85" s="833">
        <v>100.614</v>
      </c>
      <c r="M85" s="833"/>
      <c r="N85" s="859">
        <f>SUM(B85:M85)</f>
        <v>1139.7070000000001</v>
      </c>
    </row>
    <row r="86" spans="1:16" ht="15.6">
      <c r="A86" s="831" t="s">
        <v>792</v>
      </c>
      <c r="B86" s="833">
        <v>5.76</v>
      </c>
      <c r="C86" s="833"/>
      <c r="D86" s="833"/>
      <c r="E86" s="833">
        <v>10.132</v>
      </c>
      <c r="F86" s="833">
        <v>61.44</v>
      </c>
      <c r="G86" s="833">
        <v>68.64</v>
      </c>
      <c r="H86" s="833">
        <v>0.66</v>
      </c>
      <c r="I86" s="833"/>
      <c r="J86" s="833">
        <v>79.372600000000006</v>
      </c>
      <c r="K86" s="833">
        <v>135.56899999999999</v>
      </c>
      <c r="L86" s="833">
        <v>36.7121</v>
      </c>
      <c r="M86" s="833"/>
      <c r="N86" s="859">
        <f t="shared" ref="N86:N87" si="42">SUM(B86:M86)</f>
        <v>398.28569999999996</v>
      </c>
    </row>
    <row r="87" spans="1:16" ht="15.6">
      <c r="A87" s="831" t="s">
        <v>793</v>
      </c>
      <c r="B87" s="833">
        <f t="shared" ref="B87:M87" si="43">B85-B86</f>
        <v>9.0459999999999994</v>
      </c>
      <c r="C87" s="833">
        <f t="shared" si="43"/>
        <v>0</v>
      </c>
      <c r="D87" s="833">
        <f t="shared" si="43"/>
        <v>0</v>
      </c>
      <c r="E87" s="833">
        <f t="shared" si="43"/>
        <v>14.468000000000002</v>
      </c>
      <c r="F87" s="833">
        <f t="shared" si="43"/>
        <v>153.64099999999999</v>
      </c>
      <c r="G87" s="833">
        <f t="shared" si="43"/>
        <v>149.95999999999998</v>
      </c>
      <c r="H87" s="833">
        <f t="shared" si="43"/>
        <v>1.0139999999999998</v>
      </c>
      <c r="I87" s="833">
        <f t="shared" si="43"/>
        <v>0</v>
      </c>
      <c r="J87" s="833">
        <f t="shared" si="43"/>
        <v>111.1344</v>
      </c>
      <c r="K87" s="833">
        <f t="shared" si="43"/>
        <v>238.256</v>
      </c>
      <c r="L87" s="833">
        <f t="shared" si="43"/>
        <v>63.901900000000005</v>
      </c>
      <c r="M87" s="833">
        <f t="shared" si="43"/>
        <v>0</v>
      </c>
      <c r="N87" s="859">
        <f t="shared" si="42"/>
        <v>741.42129999999997</v>
      </c>
    </row>
    <row r="88" spans="1:16" ht="15.6">
      <c r="A88" s="840" t="s">
        <v>794</v>
      </c>
      <c r="B88" s="841">
        <f>M48+B87</f>
        <v>2590.3259999999996</v>
      </c>
      <c r="C88" s="841">
        <f t="shared" ref="C88:D88" si="44">C87+B88</f>
        <v>2590.3259999999996</v>
      </c>
      <c r="D88" s="841">
        <f t="shared" si="44"/>
        <v>2590.3259999999996</v>
      </c>
      <c r="E88" s="841">
        <f t="shared" ref="E88" si="45">E87+D88</f>
        <v>2604.7939999999994</v>
      </c>
      <c r="F88" s="841">
        <f t="shared" ref="F88" si="46">F87+E88</f>
        <v>2758.4349999999995</v>
      </c>
      <c r="G88" s="841">
        <f t="shared" ref="G88" si="47">G87+F88</f>
        <v>2908.3949999999995</v>
      </c>
      <c r="H88" s="841">
        <f t="shared" ref="H88" si="48">H87+G88</f>
        <v>2909.4089999999997</v>
      </c>
      <c r="I88" s="841">
        <f>I87+H88</f>
        <v>2909.4089999999997</v>
      </c>
      <c r="J88" s="841">
        <f t="shared" ref="J88" si="49">J87+I88</f>
        <v>3020.5433999999996</v>
      </c>
      <c r="K88" s="841">
        <f t="shared" ref="K88" si="50">K87+J88</f>
        <v>3258.7993999999994</v>
      </c>
      <c r="L88" s="841">
        <f t="shared" ref="L88" si="51">L87+K88</f>
        <v>3322.7012999999993</v>
      </c>
      <c r="M88" s="841">
        <f t="shared" ref="M88" si="52">M87+L88</f>
        <v>3322.7012999999993</v>
      </c>
      <c r="N88" s="860">
        <f>SUM(B88:M88)*F78</f>
        <v>27559.3483469493</v>
      </c>
    </row>
    <row r="89" spans="1:16" ht="15.6">
      <c r="A89" s="842" t="s">
        <v>805</v>
      </c>
      <c r="B89" s="843">
        <f t="shared" ref="B89:C89" si="53">+B88*$B$78*$F$78</f>
        <v>13857.594083441301</v>
      </c>
      <c r="C89" s="843">
        <f t="shared" si="53"/>
        <v>13857.594083441301</v>
      </c>
      <c r="D89" s="843">
        <f>+D88*$B$78*$F$78</f>
        <v>13857.594083441301</v>
      </c>
      <c r="E89" s="843">
        <f t="shared" ref="E89:M89" si="54">+E88*$B$78*$F$78</f>
        <v>13934.994252840532</v>
      </c>
      <c r="F89" s="843">
        <f t="shared" si="54"/>
        <v>14756.935048158961</v>
      </c>
      <c r="G89" s="843">
        <f t="shared" si="54"/>
        <v>15559.183417187745</v>
      </c>
      <c r="H89" s="843">
        <f t="shared" si="54"/>
        <v>15564.608062734529</v>
      </c>
      <c r="I89" s="843">
        <f t="shared" si="54"/>
        <v>15564.608062734529</v>
      </c>
      <c r="J89" s="843">
        <f t="shared" si="54"/>
        <v>16159.14921466166</v>
      </c>
      <c r="K89" s="843">
        <f t="shared" si="54"/>
        <v>17433.759026687014</v>
      </c>
      <c r="L89" s="843">
        <f t="shared" si="54"/>
        <v>17775.61815614047</v>
      </c>
      <c r="M89" s="843">
        <f t="shared" si="54"/>
        <v>17775.61815614047</v>
      </c>
      <c r="N89" s="844">
        <f>N88*$B$78</f>
        <v>186097.25564760985</v>
      </c>
    </row>
    <row r="90" spans="1:16" ht="15.6">
      <c r="A90" s="840" t="s">
        <v>853</v>
      </c>
      <c r="B90" s="845">
        <f>B89+M50</f>
        <v>135000.18221267033</v>
      </c>
      <c r="C90" s="845">
        <f t="shared" ref="C90:D90" si="55">+C89+B90</f>
        <v>148857.77629611164</v>
      </c>
      <c r="D90" s="845">
        <f t="shared" si="55"/>
        <v>162715.37037955294</v>
      </c>
      <c r="E90" s="845">
        <f t="shared" ref="E90" si="56">+E89+D90</f>
        <v>176650.36463239347</v>
      </c>
      <c r="F90" s="845">
        <f t="shared" ref="F90" si="57">+F89+E90</f>
        <v>191407.29968055242</v>
      </c>
      <c r="G90" s="845">
        <f t="shared" ref="G90" si="58">+G89+F90</f>
        <v>206966.48309774016</v>
      </c>
      <c r="H90" s="845">
        <f t="shared" ref="H90" si="59">+H89+G90</f>
        <v>222531.09116047469</v>
      </c>
      <c r="I90" s="845">
        <f t="shared" ref="I90" si="60">+I89+H90</f>
        <v>238095.69922320923</v>
      </c>
      <c r="J90" s="845">
        <f t="shared" ref="J90" si="61">+J89+I90</f>
        <v>254254.84843787088</v>
      </c>
      <c r="K90" s="845">
        <f t="shared" ref="K90" si="62">+K89+J90</f>
        <v>271688.60746455792</v>
      </c>
      <c r="L90" s="845">
        <f t="shared" ref="L90" si="63">+L89+K90</f>
        <v>289464.22562069842</v>
      </c>
      <c r="M90" s="845">
        <f t="shared" ref="M90" si="64">+M89+L90</f>
        <v>307239.84377683891</v>
      </c>
      <c r="N90" s="846">
        <f>N89</f>
        <v>186097.25564760985</v>
      </c>
    </row>
    <row r="91" spans="1:16" ht="15.6">
      <c r="A91" s="851" t="s">
        <v>795</v>
      </c>
      <c r="B91" s="852"/>
      <c r="C91" s="852"/>
      <c r="D91" s="852"/>
      <c r="E91" s="852"/>
      <c r="F91" s="852"/>
      <c r="G91" s="852"/>
      <c r="H91" s="852"/>
      <c r="I91" s="852"/>
      <c r="J91" s="852"/>
      <c r="K91" s="852"/>
      <c r="L91" s="852"/>
      <c r="M91" s="852"/>
      <c r="N91" s="853"/>
    </row>
    <row r="92" spans="1:16" ht="15.6">
      <c r="A92" s="825" t="s">
        <v>796</v>
      </c>
      <c r="B92" s="847">
        <f>M50</f>
        <v>121142.58812922904</v>
      </c>
      <c r="C92" s="847">
        <f>+B90</f>
        <v>135000.18221267033</v>
      </c>
      <c r="D92" s="847">
        <f t="shared" ref="D92" si="65">+C90</f>
        <v>148857.77629611164</v>
      </c>
      <c r="E92" s="847">
        <f t="shared" ref="E92" si="66">+D90</f>
        <v>162715.37037955294</v>
      </c>
      <c r="F92" s="847">
        <f t="shared" ref="F92" si="67">+E90</f>
        <v>176650.36463239347</v>
      </c>
      <c r="G92" s="847">
        <f t="shared" ref="G92" si="68">+F90</f>
        <v>191407.29968055242</v>
      </c>
      <c r="H92" s="847">
        <f t="shared" ref="H92" si="69">+G90</f>
        <v>206966.48309774016</v>
      </c>
      <c r="I92" s="847">
        <f t="shared" ref="I92" si="70">+H90</f>
        <v>222531.09116047469</v>
      </c>
      <c r="J92" s="847">
        <f t="shared" ref="J92" si="71">+I90</f>
        <v>238095.69922320923</v>
      </c>
      <c r="K92" s="847">
        <f t="shared" ref="K92" si="72">+J90</f>
        <v>254254.84843787088</v>
      </c>
      <c r="L92" s="847">
        <f t="shared" ref="L92" si="73">+K90</f>
        <v>271688.60746455792</v>
      </c>
      <c r="M92" s="847">
        <f t="shared" ref="M92" si="74">+L90</f>
        <v>289464.22562069842</v>
      </c>
      <c r="N92" s="826"/>
    </row>
    <row r="93" spans="1:16" ht="15.6">
      <c r="A93" s="825" t="s">
        <v>797</v>
      </c>
      <c r="B93" s="848">
        <v>1.0999999999999999E-2</v>
      </c>
      <c r="C93" s="848">
        <v>1.0999999999999999E-2</v>
      </c>
      <c r="D93" s="848">
        <v>1.0999999999999999E-2</v>
      </c>
      <c r="E93" s="848">
        <v>1.0999999999999999E-2</v>
      </c>
      <c r="F93" s="848">
        <v>1.0999999999999999E-2</v>
      </c>
      <c r="G93" s="848">
        <v>1.0999999999999999E-2</v>
      </c>
      <c r="H93" s="848">
        <v>1.0999999999999999E-2</v>
      </c>
      <c r="I93" s="848">
        <v>1.0999999999999999E-2</v>
      </c>
      <c r="J93" s="848">
        <v>1.0999999999999999E-2</v>
      </c>
      <c r="K93" s="848">
        <v>1.0999999999999999E-2</v>
      </c>
      <c r="L93" s="848">
        <v>1.0999999999999999E-2</v>
      </c>
      <c r="M93" s="848">
        <v>1.0999999999999999E-2</v>
      </c>
      <c r="N93" s="826"/>
    </row>
    <row r="94" spans="1:16" ht="15.6">
      <c r="A94" s="825" t="s">
        <v>798</v>
      </c>
      <c r="B94" s="849">
        <v>31</v>
      </c>
      <c r="C94" s="849">
        <v>29</v>
      </c>
      <c r="D94" s="849">
        <v>31</v>
      </c>
      <c r="E94" s="849">
        <v>30</v>
      </c>
      <c r="F94" s="849">
        <v>31</v>
      </c>
      <c r="G94" s="849">
        <v>30</v>
      </c>
      <c r="H94" s="849">
        <v>31</v>
      </c>
      <c r="I94" s="849">
        <v>31</v>
      </c>
      <c r="J94" s="849">
        <v>30</v>
      </c>
      <c r="K94" s="849">
        <v>31</v>
      </c>
      <c r="L94" s="849">
        <v>30</v>
      </c>
      <c r="M94" s="849">
        <v>31</v>
      </c>
      <c r="N94" s="861">
        <f>SUM(B94:M94)</f>
        <v>366</v>
      </c>
    </row>
    <row r="95" spans="1:16" ht="15.6">
      <c r="A95" s="850" t="s">
        <v>799</v>
      </c>
      <c r="B95" s="847">
        <f>+B92*B93*B94/$N$94</f>
        <v>112.86782118051121</v>
      </c>
      <c r="C95" s="847">
        <f t="shared" ref="C95:M95" si="75">+C92*C93*C94/$N$94</f>
        <v>117.664093240005</v>
      </c>
      <c r="D95" s="847">
        <f t="shared" si="75"/>
        <v>138.68989540156849</v>
      </c>
      <c r="E95" s="847">
        <f t="shared" si="75"/>
        <v>146.71057985041656</v>
      </c>
      <c r="F95" s="847">
        <f t="shared" si="75"/>
        <v>164.5840828952081</v>
      </c>
      <c r="G95" s="847">
        <f t="shared" si="75"/>
        <v>172.58035217098987</v>
      </c>
      <c r="H95" s="847">
        <f t="shared" si="75"/>
        <v>192.82942824133713</v>
      </c>
      <c r="I95" s="847">
        <f t="shared" si="75"/>
        <v>207.33088001563351</v>
      </c>
      <c r="J95" s="847">
        <f t="shared" si="75"/>
        <v>214.67645011928698</v>
      </c>
      <c r="K95" s="847">
        <f t="shared" si="75"/>
        <v>236.88771398173213</v>
      </c>
      <c r="L95" s="847">
        <f t="shared" si="75"/>
        <v>244.9651378778801</v>
      </c>
      <c r="M95" s="847">
        <f t="shared" si="75"/>
        <v>269.69207906190752</v>
      </c>
      <c r="N95" s="826">
        <f>SUM(B95:M95)</f>
        <v>2219.4785140364766</v>
      </c>
    </row>
    <row r="96" spans="1:16" ht="16.2" thickBot="1">
      <c r="A96" s="854" t="s">
        <v>800</v>
      </c>
      <c r="B96" s="855"/>
      <c r="C96" s="856">
        <f>+B96+C95</f>
        <v>117.664093240005</v>
      </c>
      <c r="D96" s="856">
        <f t="shared" ref="D96" si="76">+C96+D95</f>
        <v>256.35398864157349</v>
      </c>
      <c r="E96" s="856">
        <f t="shared" ref="E96" si="77">+D96+E95</f>
        <v>403.06456849199003</v>
      </c>
      <c r="F96" s="856">
        <f t="shared" ref="F96" si="78">+E96+F95</f>
        <v>567.64865138719813</v>
      </c>
      <c r="G96" s="856">
        <f t="shared" ref="G96" si="79">+F96+G95</f>
        <v>740.22900355818797</v>
      </c>
      <c r="H96" s="856">
        <f t="shared" ref="H96" si="80">+G96+H95</f>
        <v>933.05843179952512</v>
      </c>
      <c r="I96" s="856">
        <f t="shared" ref="I96" si="81">+H96+I95</f>
        <v>1140.3893118151586</v>
      </c>
      <c r="J96" s="856">
        <f t="shared" ref="J96" si="82">+I96+J95</f>
        <v>1355.0657619344456</v>
      </c>
      <c r="K96" s="856">
        <f t="shared" ref="K96" si="83">+J96+K95</f>
        <v>1591.9534759161777</v>
      </c>
      <c r="L96" s="856">
        <f t="shared" ref="L96" si="84">+K96+L95</f>
        <v>1836.9186137940578</v>
      </c>
      <c r="M96" s="856">
        <f t="shared" ref="M96" si="85">+L96+M95</f>
        <v>2106.6106928559652</v>
      </c>
      <c r="N96" s="857"/>
    </row>
    <row r="97" spans="1:15" ht="15.6">
      <c r="A97" s="817"/>
      <c r="B97" s="818"/>
      <c r="C97" s="819"/>
      <c r="D97" s="819"/>
      <c r="E97" s="819"/>
      <c r="F97" s="819"/>
      <c r="G97" s="819"/>
      <c r="H97" s="819"/>
      <c r="I97" s="819"/>
      <c r="J97" s="819"/>
      <c r="K97" s="819"/>
      <c r="L97" s="819"/>
      <c r="M97" s="819"/>
      <c r="N97" s="820"/>
    </row>
    <row r="98" spans="1:15" ht="15.6">
      <c r="A98" s="817" t="s">
        <v>965</v>
      </c>
      <c r="B98" s="996">
        <f>$M$30*B93*B94/$N$94</f>
        <v>32.383107356432276</v>
      </c>
      <c r="C98" s="996">
        <f t="shared" ref="C98:M98" si="86">$M$30*C93*C94/$N$94</f>
        <v>30.293874623759223</v>
      </c>
      <c r="D98" s="996">
        <f t="shared" si="86"/>
        <v>32.383107356432276</v>
      </c>
      <c r="E98" s="996">
        <f t="shared" si="86"/>
        <v>31.338490990095746</v>
      </c>
      <c r="F98" s="996">
        <f t="shared" si="86"/>
        <v>32.383107356432276</v>
      </c>
      <c r="G98" s="996">
        <f t="shared" si="86"/>
        <v>31.338490990095746</v>
      </c>
      <c r="H98" s="996">
        <f t="shared" si="86"/>
        <v>32.383107356432276</v>
      </c>
      <c r="I98" s="996">
        <f t="shared" si="86"/>
        <v>32.383107356432276</v>
      </c>
      <c r="J98" s="996">
        <f t="shared" si="86"/>
        <v>31.338490990095746</v>
      </c>
      <c r="K98" s="996">
        <f t="shared" si="86"/>
        <v>32.383107356432276</v>
      </c>
      <c r="L98" s="996">
        <f t="shared" si="86"/>
        <v>31.338490990095746</v>
      </c>
      <c r="M98" s="996">
        <f t="shared" si="86"/>
        <v>32.383107356432276</v>
      </c>
      <c r="N98" s="820"/>
    </row>
    <row r="99" spans="1:15" ht="15.6">
      <c r="A99" s="817" t="s">
        <v>966</v>
      </c>
      <c r="B99" s="998">
        <f>($M$50-$M$30)*B93*B94/$N$94</f>
        <v>80.484713824078938</v>
      </c>
      <c r="C99" s="998">
        <f t="shared" ref="C99:M99" si="87">($M$50-$M$30)*C93*C94/$N$94</f>
        <v>75.292151641880295</v>
      </c>
      <c r="D99" s="998">
        <f t="shared" si="87"/>
        <v>80.484713824078938</v>
      </c>
      <c r="E99" s="998">
        <f t="shared" si="87"/>
        <v>77.888432732979624</v>
      </c>
      <c r="F99" s="998">
        <f t="shared" si="87"/>
        <v>80.484713824078938</v>
      </c>
      <c r="G99" s="998">
        <f t="shared" si="87"/>
        <v>77.888432732979624</v>
      </c>
      <c r="H99" s="998">
        <f t="shared" si="87"/>
        <v>80.484713824078938</v>
      </c>
      <c r="I99" s="998">
        <f t="shared" si="87"/>
        <v>80.484713824078938</v>
      </c>
      <c r="J99" s="998">
        <f t="shared" si="87"/>
        <v>77.888432732979624</v>
      </c>
      <c r="K99" s="998">
        <f t="shared" si="87"/>
        <v>80.484713824078938</v>
      </c>
      <c r="L99" s="998">
        <f t="shared" si="87"/>
        <v>77.888432732979624</v>
      </c>
      <c r="M99" s="998">
        <f t="shared" si="87"/>
        <v>80.484713824078938</v>
      </c>
      <c r="N99" s="820"/>
    </row>
    <row r="100" spans="1:15" ht="15.6">
      <c r="A100" s="817" t="s">
        <v>989</v>
      </c>
      <c r="B100" s="818"/>
      <c r="C100" s="819">
        <f>(B90-$M$50)*C93*C94/$N$94</f>
        <v>12.078066974365495</v>
      </c>
      <c r="D100" s="819">
        <f t="shared" ref="D100:M100" si="88">(C90-$M$50)*D93*D94/$N$94</f>
        <v>25.822074221057282</v>
      </c>
      <c r="E100" s="819">
        <f t="shared" si="88"/>
        <v>37.48365612734122</v>
      </c>
      <c r="F100" s="819">
        <f t="shared" si="88"/>
        <v>51.716261714696905</v>
      </c>
      <c r="G100" s="819">
        <f t="shared" si="88"/>
        <v>63.35342844791451</v>
      </c>
      <c r="H100" s="819">
        <f t="shared" si="88"/>
        <v>79.961607060825926</v>
      </c>
      <c r="I100" s="819">
        <f t="shared" si="88"/>
        <v>94.463058835122325</v>
      </c>
      <c r="J100" s="819">
        <f t="shared" si="88"/>
        <v>105.44952639621165</v>
      </c>
      <c r="K100" s="819">
        <f t="shared" si="88"/>
        <v>124.01989280122093</v>
      </c>
      <c r="L100" s="819">
        <f t="shared" si="88"/>
        <v>135.73821415480472</v>
      </c>
      <c r="M100" s="819">
        <f t="shared" si="88"/>
        <v>156.82425788139633</v>
      </c>
      <c r="N100" s="820"/>
    </row>
    <row r="101" spans="1:15" ht="15.6">
      <c r="A101" s="817" t="s">
        <v>26</v>
      </c>
      <c r="B101" s="998">
        <f>SUM(B98:B100)</f>
        <v>112.86782118051121</v>
      </c>
      <c r="C101" s="998">
        <f t="shared" ref="C101:M101" si="89">SUM(C98:C100)</f>
        <v>117.66409324000502</v>
      </c>
      <c r="D101" s="998">
        <f t="shared" si="89"/>
        <v>138.68989540156849</v>
      </c>
      <c r="E101" s="998">
        <f t="shared" si="89"/>
        <v>146.71057985041659</v>
      </c>
      <c r="F101" s="998">
        <f t="shared" si="89"/>
        <v>164.58408289520813</v>
      </c>
      <c r="G101" s="998">
        <f t="shared" si="89"/>
        <v>172.5803521709899</v>
      </c>
      <c r="H101" s="998">
        <f t="shared" si="89"/>
        <v>192.82942824133715</v>
      </c>
      <c r="I101" s="998">
        <f t="shared" si="89"/>
        <v>207.33088001563354</v>
      </c>
      <c r="J101" s="998">
        <f t="shared" si="89"/>
        <v>214.67645011928704</v>
      </c>
      <c r="K101" s="998">
        <f t="shared" si="89"/>
        <v>236.88771398173213</v>
      </c>
      <c r="L101" s="998">
        <f t="shared" si="89"/>
        <v>244.9651378778801</v>
      </c>
      <c r="M101" s="998">
        <f t="shared" si="89"/>
        <v>269.69207906190752</v>
      </c>
      <c r="N101" s="820"/>
    </row>
    <row r="102" spans="1:15" ht="15.6">
      <c r="A102" s="817" t="s">
        <v>957</v>
      </c>
      <c r="B102" s="998">
        <f>B101-B95</f>
        <v>0</v>
      </c>
      <c r="C102" s="998">
        <f t="shared" ref="C102:M102" si="90">C101-C95</f>
        <v>0</v>
      </c>
      <c r="D102" s="998">
        <f t="shared" si="90"/>
        <v>0</v>
      </c>
      <c r="E102" s="998">
        <f t="shared" si="90"/>
        <v>0</v>
      </c>
      <c r="F102" s="998">
        <f t="shared" si="90"/>
        <v>0</v>
      </c>
      <c r="G102" s="998">
        <f t="shared" si="90"/>
        <v>0</v>
      </c>
      <c r="H102" s="998">
        <f t="shared" si="90"/>
        <v>0</v>
      </c>
      <c r="I102" s="998">
        <f t="shared" si="90"/>
        <v>0</v>
      </c>
      <c r="J102" s="998">
        <f t="shared" si="90"/>
        <v>0</v>
      </c>
      <c r="K102" s="998">
        <f t="shared" si="90"/>
        <v>0</v>
      </c>
      <c r="L102" s="998">
        <f t="shared" si="90"/>
        <v>0</v>
      </c>
      <c r="M102" s="998">
        <f t="shared" si="90"/>
        <v>0</v>
      </c>
      <c r="N102" s="820"/>
    </row>
    <row r="103" spans="1:15" ht="15.6">
      <c r="A103" s="817"/>
      <c r="B103" s="818"/>
      <c r="C103" s="819"/>
      <c r="D103" s="819"/>
      <c r="E103" s="819"/>
      <c r="F103" s="819"/>
      <c r="G103" s="819"/>
      <c r="H103" s="819"/>
      <c r="I103" s="819"/>
      <c r="J103" s="819"/>
      <c r="K103" s="819"/>
      <c r="L103" s="819"/>
      <c r="M103" s="819"/>
      <c r="N103" s="820"/>
    </row>
    <row r="104" spans="1:15" ht="15.6">
      <c r="A104" s="817"/>
      <c r="B104" s="818"/>
      <c r="C104" s="819"/>
      <c r="D104" s="819"/>
      <c r="E104" s="819"/>
      <c r="F104" s="819"/>
      <c r="G104" s="819"/>
      <c r="H104" s="819"/>
      <c r="I104" s="819"/>
      <c r="J104" s="819"/>
      <c r="K104" s="819"/>
      <c r="L104" s="819"/>
      <c r="M104" s="819"/>
      <c r="N104" s="820"/>
    </row>
    <row r="105" spans="1:15" ht="15.6">
      <c r="A105" s="803" t="s">
        <v>827</v>
      </c>
      <c r="L105" s="805"/>
      <c r="M105" s="806"/>
      <c r="N105" s="806"/>
    </row>
    <row r="106" spans="1:15" ht="16.2" thickBot="1">
      <c r="A106" s="817"/>
      <c r="B106" s="818"/>
      <c r="C106" s="819"/>
      <c r="D106" s="819"/>
      <c r="E106" s="819"/>
      <c r="F106" s="819"/>
      <c r="G106" s="819"/>
      <c r="H106" s="819"/>
      <c r="I106" s="819"/>
      <c r="J106" s="819"/>
      <c r="K106" s="819"/>
      <c r="L106" s="819"/>
      <c r="M106" s="819"/>
      <c r="N106" s="820"/>
    </row>
    <row r="107" spans="1:15" ht="15.6">
      <c r="A107" s="834">
        <v>2017</v>
      </c>
      <c r="B107" s="835" t="s">
        <v>775</v>
      </c>
      <c r="C107" s="835" t="s">
        <v>776</v>
      </c>
      <c r="D107" s="835" t="s">
        <v>777</v>
      </c>
      <c r="E107" s="835" t="s">
        <v>778</v>
      </c>
      <c r="F107" s="835" t="s">
        <v>779</v>
      </c>
      <c r="G107" s="835" t="s">
        <v>780</v>
      </c>
      <c r="H107" s="835" t="s">
        <v>781</v>
      </c>
      <c r="I107" s="835" t="s">
        <v>782</v>
      </c>
      <c r="J107" s="835" t="s">
        <v>783</v>
      </c>
      <c r="K107" s="835" t="s">
        <v>784</v>
      </c>
      <c r="L107" s="835" t="s">
        <v>785</v>
      </c>
      <c r="M107" s="835" t="s">
        <v>786</v>
      </c>
      <c r="N107" s="836" t="s">
        <v>26</v>
      </c>
    </row>
    <row r="108" spans="1:15" ht="15.6">
      <c r="A108" s="837" t="s">
        <v>787</v>
      </c>
      <c r="B108" s="34"/>
      <c r="C108" s="34"/>
      <c r="D108" s="34"/>
      <c r="E108" s="34"/>
      <c r="F108" s="34"/>
      <c r="G108" s="34"/>
      <c r="H108" s="34"/>
      <c r="I108" s="34"/>
      <c r="J108" s="34"/>
      <c r="K108" s="34"/>
      <c r="L108" s="34"/>
      <c r="M108" s="34"/>
      <c r="N108" s="838"/>
    </row>
    <row r="109" spans="1:15" ht="15.6">
      <c r="A109" s="839" t="s">
        <v>788</v>
      </c>
      <c r="B109" s="832"/>
      <c r="C109" s="832">
        <v>1907</v>
      </c>
      <c r="D109" s="832"/>
      <c r="E109" s="832"/>
      <c r="F109" s="832"/>
      <c r="G109" s="832"/>
      <c r="H109" s="832"/>
      <c r="I109" s="832">
        <v>108</v>
      </c>
      <c r="J109" s="832">
        <v>2231</v>
      </c>
      <c r="K109" s="832">
        <v>3581</v>
      </c>
      <c r="L109" s="898">
        <v>1935</v>
      </c>
      <c r="M109" s="892">
        <v>2906.8918918918916</v>
      </c>
      <c r="N109" s="858">
        <f>SUM(B109:M109)</f>
        <v>12668.891891891892</v>
      </c>
      <c r="O109" s="893" t="s">
        <v>832</v>
      </c>
    </row>
    <row r="110" spans="1:15" ht="15.6">
      <c r="A110" s="839" t="s">
        <v>789</v>
      </c>
      <c r="B110" s="832">
        <f>B109+M83</f>
        <v>29933</v>
      </c>
      <c r="C110" s="832">
        <f>C109+B110</f>
        <v>31840</v>
      </c>
      <c r="D110" s="832">
        <f t="shared" ref="D110" si="91">D109+C110</f>
        <v>31840</v>
      </c>
      <c r="E110" s="832">
        <f t="shared" ref="E110" si="92">E109+D110</f>
        <v>31840</v>
      </c>
      <c r="F110" s="832">
        <f t="shared" ref="F110" si="93">F109+E110</f>
        <v>31840</v>
      </c>
      <c r="G110" s="832">
        <f t="shared" ref="G110" si="94">G109+F110</f>
        <v>31840</v>
      </c>
      <c r="H110" s="832">
        <f t="shared" ref="H110" si="95">H109+G110</f>
        <v>31840</v>
      </c>
      <c r="I110" s="832">
        <f t="shared" ref="I110" si="96">I109+H110</f>
        <v>31948</v>
      </c>
      <c r="J110" s="832">
        <f t="shared" ref="J110" si="97">J109+I110</f>
        <v>34179</v>
      </c>
      <c r="K110" s="832">
        <f t="shared" ref="K110" si="98">K109+J110</f>
        <v>37760</v>
      </c>
      <c r="L110" s="898">
        <f t="shared" ref="L110" si="99">L109+K110</f>
        <v>39695</v>
      </c>
      <c r="M110" s="832">
        <f t="shared" ref="M110" si="100">M109+L110</f>
        <v>42601.891891891893</v>
      </c>
      <c r="N110" s="858">
        <f>N109+N83</f>
        <v>42601.891891891893</v>
      </c>
    </row>
    <row r="111" spans="1:15" ht="15.6">
      <c r="A111" s="837" t="s">
        <v>790</v>
      </c>
      <c r="B111" s="832"/>
      <c r="C111" s="832"/>
      <c r="D111" s="832"/>
      <c r="E111" s="832"/>
      <c r="F111" s="832"/>
      <c r="G111" s="832"/>
      <c r="H111" s="832"/>
      <c r="I111" s="832"/>
      <c r="J111" s="832"/>
      <c r="K111" s="832"/>
      <c r="L111" s="898"/>
      <c r="M111" s="832"/>
      <c r="N111" s="858"/>
    </row>
    <row r="112" spans="1:15" ht="15.6">
      <c r="A112" s="831" t="s">
        <v>791</v>
      </c>
      <c r="B112" s="833"/>
      <c r="C112" s="833">
        <v>309.64999999999998</v>
      </c>
      <c r="D112" s="833"/>
      <c r="E112" s="833"/>
      <c r="F112" s="833"/>
      <c r="G112" s="833"/>
      <c r="H112" s="833"/>
      <c r="I112" s="833">
        <v>11.34</v>
      </c>
      <c r="J112" s="833">
        <v>245.464</v>
      </c>
      <c r="K112" s="833">
        <v>447.70100000000002</v>
      </c>
      <c r="L112" s="899">
        <v>229.863</v>
      </c>
      <c r="M112" s="894">
        <v>484.02990239414709</v>
      </c>
      <c r="N112" s="859">
        <f>SUM(B112:M112)</f>
        <v>1728.0479023941471</v>
      </c>
    </row>
    <row r="113" spans="1:14" ht="15.6">
      <c r="A113" s="831" t="s">
        <v>792</v>
      </c>
      <c r="B113" s="833"/>
      <c r="C113" s="833">
        <v>115.752</v>
      </c>
      <c r="D113" s="833"/>
      <c r="E113" s="833"/>
      <c r="F113" s="833"/>
      <c r="G113" s="833"/>
      <c r="H113" s="833"/>
      <c r="I113" s="833">
        <v>4.6109999999999998</v>
      </c>
      <c r="J113" s="833">
        <v>100.91</v>
      </c>
      <c r="K113" s="833">
        <v>163.392</v>
      </c>
      <c r="L113" s="899">
        <v>98.090999999999994</v>
      </c>
      <c r="M113" s="894">
        <v>180.15706880797583</v>
      </c>
      <c r="N113" s="859">
        <f t="shared" ref="N113:N114" si="101">SUM(B113:M113)</f>
        <v>662.91306880797583</v>
      </c>
    </row>
    <row r="114" spans="1:14" ht="15.6">
      <c r="A114" s="831" t="s">
        <v>793</v>
      </c>
      <c r="B114" s="833">
        <f t="shared" ref="B114:D114" si="102">B112-B113</f>
        <v>0</v>
      </c>
      <c r="C114" s="833">
        <f t="shared" si="102"/>
        <v>193.89799999999997</v>
      </c>
      <c r="D114" s="833">
        <f t="shared" si="102"/>
        <v>0</v>
      </c>
      <c r="E114" s="833">
        <f>E112-E113</f>
        <v>0</v>
      </c>
      <c r="F114" s="833">
        <f t="shared" ref="F114:M114" si="103">F112-F113</f>
        <v>0</v>
      </c>
      <c r="G114" s="833">
        <f t="shared" si="103"/>
        <v>0</v>
      </c>
      <c r="H114" s="833">
        <f t="shared" si="103"/>
        <v>0</v>
      </c>
      <c r="I114" s="833">
        <f t="shared" si="103"/>
        <v>6.7290000000000001</v>
      </c>
      <c r="J114" s="833">
        <f t="shared" si="103"/>
        <v>144.554</v>
      </c>
      <c r="K114" s="833">
        <f t="shared" si="103"/>
        <v>284.30900000000003</v>
      </c>
      <c r="L114" s="833">
        <f t="shared" si="103"/>
        <v>131.77199999999999</v>
      </c>
      <c r="M114" s="833">
        <f t="shared" si="103"/>
        <v>303.87283358617128</v>
      </c>
      <c r="N114" s="859">
        <f t="shared" si="101"/>
        <v>1065.1348335861712</v>
      </c>
    </row>
    <row r="115" spans="1:14" ht="15.6">
      <c r="A115" s="840" t="s">
        <v>794</v>
      </c>
      <c r="B115" s="841">
        <f>B114+M88</f>
        <v>3322.7012999999993</v>
      </c>
      <c r="C115" s="841">
        <f>C114+B115</f>
        <v>3516.5992999999994</v>
      </c>
      <c r="D115" s="841">
        <f t="shared" ref="D115" si="104">D114+C115</f>
        <v>3516.5992999999994</v>
      </c>
      <c r="E115" s="841">
        <f t="shared" ref="E115" si="105">E114+D115</f>
        <v>3516.5992999999994</v>
      </c>
      <c r="F115" s="841">
        <f t="shared" ref="F115" si="106">F114+E115</f>
        <v>3516.5992999999994</v>
      </c>
      <c r="G115" s="841">
        <f t="shared" ref="G115" si="107">G114+F115</f>
        <v>3516.5992999999994</v>
      </c>
      <c r="H115" s="841">
        <f t="shared" ref="H115" si="108">H114+G115</f>
        <v>3516.5992999999994</v>
      </c>
      <c r="I115" s="841">
        <f>I114+H115</f>
        <v>3523.3282999999992</v>
      </c>
      <c r="J115" s="841">
        <f t="shared" ref="J115" si="109">J114+I115</f>
        <v>3667.8822999999993</v>
      </c>
      <c r="K115" s="841">
        <f t="shared" ref="K115" si="110">K114+J115</f>
        <v>3952.1912999999995</v>
      </c>
      <c r="L115" s="841">
        <f t="shared" ref="L115" si="111">L114+K115</f>
        <v>4083.9632999999994</v>
      </c>
      <c r="M115" s="841">
        <f t="shared" ref="M115" si="112">M114+L115</f>
        <v>4387.8361335861709</v>
      </c>
      <c r="N115" s="860">
        <f>SUM(B115:M115)*F78</f>
        <v>34888.719285496038</v>
      </c>
    </row>
    <row r="116" spans="1:14" ht="15.6">
      <c r="A116" s="842" t="s">
        <v>805</v>
      </c>
      <c r="B116" s="843">
        <f>+B115*$C$78*$F$78</f>
        <v>0</v>
      </c>
      <c r="C116" s="843">
        <f t="shared" ref="C116:M116" si="113">+C115*$C$78*$F$78</f>
        <v>0</v>
      </c>
      <c r="D116" s="843">
        <f t="shared" si="113"/>
        <v>0</v>
      </c>
      <c r="E116" s="843">
        <f t="shared" si="113"/>
        <v>0</v>
      </c>
      <c r="F116" s="843">
        <f t="shared" si="113"/>
        <v>0</v>
      </c>
      <c r="G116" s="843">
        <f t="shared" si="113"/>
        <v>0</v>
      </c>
      <c r="H116" s="843">
        <f t="shared" si="113"/>
        <v>0</v>
      </c>
      <c r="I116" s="843">
        <f t="shared" si="113"/>
        <v>0</v>
      </c>
      <c r="J116" s="843">
        <f t="shared" si="113"/>
        <v>0</v>
      </c>
      <c r="K116" s="843">
        <f t="shared" si="113"/>
        <v>0</v>
      </c>
      <c r="L116" s="843">
        <f t="shared" si="113"/>
        <v>0</v>
      </c>
      <c r="M116" s="843">
        <f t="shared" si="113"/>
        <v>0</v>
      </c>
      <c r="N116" s="844">
        <f>N115*$C$78</f>
        <v>0</v>
      </c>
    </row>
    <row r="117" spans="1:14" ht="15.6">
      <c r="A117" s="840" t="s">
        <v>854</v>
      </c>
      <c r="B117" s="845">
        <f>+B116+M90</f>
        <v>307239.84377683891</v>
      </c>
      <c r="C117" s="845">
        <f>+C116+B117</f>
        <v>307239.84377683891</v>
      </c>
      <c r="D117" s="845">
        <f t="shared" ref="D117" si="114">+D116+C117</f>
        <v>307239.84377683891</v>
      </c>
      <c r="E117" s="845">
        <f t="shared" ref="E117" si="115">+E116+D117</f>
        <v>307239.84377683891</v>
      </c>
      <c r="F117" s="845">
        <f t="shared" ref="F117" si="116">+F116+E117</f>
        <v>307239.84377683891</v>
      </c>
      <c r="G117" s="845">
        <f t="shared" ref="G117" si="117">+G116+F117</f>
        <v>307239.84377683891</v>
      </c>
      <c r="H117" s="845">
        <f t="shared" ref="H117" si="118">+H116+G117</f>
        <v>307239.84377683891</v>
      </c>
      <c r="I117" s="845">
        <f t="shared" ref="I117" si="119">+I116+H117</f>
        <v>307239.84377683891</v>
      </c>
      <c r="J117" s="845">
        <f t="shared" ref="J117" si="120">+J116+I117</f>
        <v>307239.84377683891</v>
      </c>
      <c r="K117" s="845">
        <f t="shared" ref="K117" si="121">+K116+J117</f>
        <v>307239.84377683891</v>
      </c>
      <c r="L117" s="845">
        <f t="shared" ref="L117" si="122">+L116+K117</f>
        <v>307239.84377683891</v>
      </c>
      <c r="M117" s="845">
        <f t="shared" ref="M117" si="123">+M116+L117</f>
        <v>307239.84377683891</v>
      </c>
      <c r="N117" s="846">
        <f>N116+N90</f>
        <v>186097.25564760985</v>
      </c>
    </row>
    <row r="118" spans="1:14" ht="15.6">
      <c r="A118" s="851" t="s">
        <v>795</v>
      </c>
      <c r="B118" s="852"/>
      <c r="C118" s="852"/>
      <c r="D118" s="852"/>
      <c r="E118" s="852"/>
      <c r="F118" s="852"/>
      <c r="G118" s="852"/>
      <c r="H118" s="852"/>
      <c r="I118" s="852"/>
      <c r="J118" s="852"/>
      <c r="K118" s="852"/>
      <c r="L118" s="852"/>
      <c r="M118" s="852"/>
      <c r="N118" s="853"/>
    </row>
    <row r="119" spans="1:14" ht="15.6">
      <c r="A119" s="825" t="s">
        <v>796</v>
      </c>
      <c r="B119" s="847">
        <f>M90</f>
        <v>307239.84377683891</v>
      </c>
      <c r="C119" s="847">
        <f>+B117</f>
        <v>307239.84377683891</v>
      </c>
      <c r="D119" s="847">
        <f t="shared" ref="D119" si="124">+C117</f>
        <v>307239.84377683891</v>
      </c>
      <c r="E119" s="847">
        <f t="shared" ref="E119" si="125">+D117</f>
        <v>307239.84377683891</v>
      </c>
      <c r="F119" s="847">
        <f t="shared" ref="F119" si="126">+E117</f>
        <v>307239.84377683891</v>
      </c>
      <c r="G119" s="847">
        <f t="shared" ref="G119" si="127">+F117</f>
        <v>307239.84377683891</v>
      </c>
      <c r="H119" s="847">
        <f t="shared" ref="H119" si="128">+G117</f>
        <v>307239.84377683891</v>
      </c>
      <c r="I119" s="847">
        <f t="shared" ref="I119" si="129">+H117</f>
        <v>307239.84377683891</v>
      </c>
      <c r="J119" s="847">
        <f t="shared" ref="J119" si="130">+I117</f>
        <v>307239.84377683891</v>
      </c>
      <c r="K119" s="847">
        <f t="shared" ref="K119" si="131">+J117</f>
        <v>307239.84377683891</v>
      </c>
      <c r="L119" s="847">
        <f t="shared" ref="L119" si="132">+K117</f>
        <v>307239.84377683891</v>
      </c>
      <c r="M119" s="847">
        <f t="shared" ref="M119" si="133">+L117</f>
        <v>307239.84377683891</v>
      </c>
      <c r="N119" s="826"/>
    </row>
    <row r="120" spans="1:14" ht="15.6">
      <c r="A120" s="825" t="s">
        <v>797</v>
      </c>
      <c r="B120" s="848">
        <v>1.0999999999999999E-2</v>
      </c>
      <c r="C120" s="848">
        <v>1.0999999999999999E-2</v>
      </c>
      <c r="D120" s="848">
        <v>1.0999999999999999E-2</v>
      </c>
      <c r="E120" s="848">
        <v>1.0999999999999999E-2</v>
      </c>
      <c r="F120" s="848">
        <v>1.0999999999999999E-2</v>
      </c>
      <c r="G120" s="848">
        <v>1.0999999999999999E-2</v>
      </c>
      <c r="H120" s="848">
        <v>1.0999999999999999E-2</v>
      </c>
      <c r="I120" s="848">
        <v>1.0999999999999999E-2</v>
      </c>
      <c r="J120" s="848">
        <v>1.0999999999999999E-2</v>
      </c>
      <c r="K120" s="848">
        <v>1.4999999999999999E-2</v>
      </c>
      <c r="L120" s="848">
        <v>1.4999999999999999E-2</v>
      </c>
      <c r="M120" s="848">
        <v>1.4999999999999999E-2</v>
      </c>
      <c r="N120" s="826"/>
    </row>
    <row r="121" spans="1:14" ht="15.6">
      <c r="A121" s="825" t="s">
        <v>798</v>
      </c>
      <c r="B121" s="849">
        <v>31</v>
      </c>
      <c r="C121" s="849">
        <v>28</v>
      </c>
      <c r="D121" s="849">
        <v>31</v>
      </c>
      <c r="E121" s="849">
        <v>30</v>
      </c>
      <c r="F121" s="849">
        <v>31</v>
      </c>
      <c r="G121" s="849">
        <v>30</v>
      </c>
      <c r="H121" s="849">
        <v>31</v>
      </c>
      <c r="I121" s="849">
        <v>31</v>
      </c>
      <c r="J121" s="849">
        <v>30</v>
      </c>
      <c r="K121" s="849">
        <v>31</v>
      </c>
      <c r="L121" s="849">
        <v>30</v>
      </c>
      <c r="M121" s="849">
        <v>31</v>
      </c>
      <c r="N121" s="861">
        <f>SUM(B121:M121)</f>
        <v>365</v>
      </c>
    </row>
    <row r="122" spans="1:14" ht="15.6">
      <c r="A122" s="850" t="s">
        <v>799</v>
      </c>
      <c r="B122" s="847">
        <f t="shared" ref="B122:M122" si="134">+B119*B120*B121/$N121</f>
        <v>287.03777185726597</v>
      </c>
      <c r="C122" s="847">
        <f t="shared" si="134"/>
        <v>259.25992296785313</v>
      </c>
      <c r="D122" s="847">
        <f t="shared" si="134"/>
        <v>287.03777185726597</v>
      </c>
      <c r="E122" s="847">
        <f t="shared" si="134"/>
        <v>277.77848889412832</v>
      </c>
      <c r="F122" s="847">
        <f t="shared" si="134"/>
        <v>287.03777185726597</v>
      </c>
      <c r="G122" s="847">
        <f t="shared" si="134"/>
        <v>277.77848889412832</v>
      </c>
      <c r="H122" s="847">
        <f t="shared" si="134"/>
        <v>287.03777185726597</v>
      </c>
      <c r="I122" s="847">
        <f t="shared" si="134"/>
        <v>287.03777185726597</v>
      </c>
      <c r="J122" s="847">
        <f t="shared" si="134"/>
        <v>277.77848889412832</v>
      </c>
      <c r="K122" s="847">
        <f t="shared" si="134"/>
        <v>391.41514344172623</v>
      </c>
      <c r="L122" s="847">
        <f t="shared" si="134"/>
        <v>378.78884849199318</v>
      </c>
      <c r="M122" s="847">
        <f t="shared" si="134"/>
        <v>391.41514344172623</v>
      </c>
      <c r="N122" s="826">
        <f>SUM(B122:M122)</f>
        <v>3689.4033843120133</v>
      </c>
    </row>
    <row r="123" spans="1:14" ht="16.2" thickBot="1">
      <c r="A123" s="854" t="s">
        <v>800</v>
      </c>
      <c r="B123" s="855">
        <f>B122+M96</f>
        <v>2393.6484647132311</v>
      </c>
      <c r="C123" s="856">
        <f>+B123+C122</f>
        <v>2652.9083876810842</v>
      </c>
      <c r="D123" s="856">
        <f t="shared" ref="D123" si="135">+C123+D122</f>
        <v>2939.94615953835</v>
      </c>
      <c r="E123" s="856">
        <f t="shared" ref="E123" si="136">+D123+E122</f>
        <v>3217.7246484324783</v>
      </c>
      <c r="F123" s="856">
        <f t="shared" ref="F123" si="137">+E123+F122</f>
        <v>3504.7624202897441</v>
      </c>
      <c r="G123" s="856">
        <f t="shared" ref="G123" si="138">+F123+G122</f>
        <v>3782.5409091838724</v>
      </c>
      <c r="H123" s="856">
        <f t="shared" ref="H123" si="139">+G123+H122</f>
        <v>4069.5786810411382</v>
      </c>
      <c r="I123" s="856">
        <f t="shared" ref="I123" si="140">+H123+I122</f>
        <v>4356.6164528984045</v>
      </c>
      <c r="J123" s="856">
        <f t="shared" ref="J123" si="141">+I123+J122</f>
        <v>4634.3949417925332</v>
      </c>
      <c r="K123" s="856">
        <f t="shared" ref="K123" si="142">+J123+K122</f>
        <v>5025.8100852342595</v>
      </c>
      <c r="L123" s="856">
        <f t="shared" ref="L123" si="143">+K123+L122</f>
        <v>5404.5989337262527</v>
      </c>
      <c r="M123" s="856">
        <f t="shared" ref="M123" si="144">+L123+M122</f>
        <v>5796.0140771679789</v>
      </c>
      <c r="N123" s="857"/>
    </row>
    <row r="125" spans="1:14">
      <c r="A125" s="817" t="s">
        <v>965</v>
      </c>
      <c r="B125" s="996">
        <f>$M$30*B120*B121/$N$121</f>
        <v>32.471828198504689</v>
      </c>
      <c r="C125" s="996">
        <f>$M$30*C120*C121/$N$121</f>
        <v>29.32939321155262</v>
      </c>
      <c r="D125" s="996">
        <f t="shared" ref="D125:M125" si="145">$M$30*D120*D121/$N$121</f>
        <v>32.471828198504689</v>
      </c>
      <c r="E125" s="996">
        <f t="shared" si="145"/>
        <v>31.424349869520665</v>
      </c>
      <c r="F125" s="996">
        <f t="shared" si="145"/>
        <v>32.471828198504689</v>
      </c>
      <c r="G125" s="996">
        <f t="shared" si="145"/>
        <v>31.424349869520665</v>
      </c>
      <c r="H125" s="996">
        <f t="shared" si="145"/>
        <v>32.471828198504689</v>
      </c>
      <c r="I125" s="996">
        <f t="shared" si="145"/>
        <v>32.471828198504689</v>
      </c>
      <c r="J125" s="996">
        <f t="shared" si="145"/>
        <v>31.424349869520665</v>
      </c>
      <c r="K125" s="996">
        <f t="shared" si="145"/>
        <v>44.279765725233666</v>
      </c>
      <c r="L125" s="996">
        <f t="shared" si="145"/>
        <v>42.851386185709998</v>
      </c>
      <c r="M125" s="996">
        <f t="shared" si="145"/>
        <v>44.279765725233666</v>
      </c>
    </row>
    <row r="126" spans="1:14">
      <c r="A126" s="817" t="s">
        <v>966</v>
      </c>
      <c r="B126" s="998">
        <f>($M$50-$M$30)*B120*B121/$N$121</f>
        <v>80.705219889350388</v>
      </c>
      <c r="C126" s="998">
        <f>($M$50-$M$30)*C120*C121/$N$121</f>
        <v>72.895037319413248</v>
      </c>
      <c r="D126" s="998">
        <f t="shared" ref="D126:M126" si="146">($M$50-$M$30)*D120*D121/$N$121</f>
        <v>80.705219889350388</v>
      </c>
      <c r="E126" s="998">
        <f t="shared" si="146"/>
        <v>78.101825699371346</v>
      </c>
      <c r="F126" s="998">
        <f t="shared" si="146"/>
        <v>80.705219889350388</v>
      </c>
      <c r="G126" s="998">
        <f t="shared" si="146"/>
        <v>78.101825699371346</v>
      </c>
      <c r="H126" s="998">
        <f t="shared" si="146"/>
        <v>80.705219889350388</v>
      </c>
      <c r="I126" s="998">
        <f t="shared" si="146"/>
        <v>80.705219889350388</v>
      </c>
      <c r="J126" s="998">
        <f t="shared" si="146"/>
        <v>78.101825699371346</v>
      </c>
      <c r="K126" s="998">
        <f t="shared" si="146"/>
        <v>110.05257257638688</v>
      </c>
      <c r="L126" s="998">
        <f t="shared" si="146"/>
        <v>106.50248959005181</v>
      </c>
      <c r="M126" s="998">
        <f t="shared" si="146"/>
        <v>110.05257257638688</v>
      </c>
    </row>
    <row r="127" spans="1:14">
      <c r="A127" s="817" t="s">
        <v>967</v>
      </c>
      <c r="B127" s="998">
        <f>($M$90-$M$50)*B120*B121/$N$121</f>
        <v>173.86072376941087</v>
      </c>
      <c r="C127" s="998">
        <f>($M$90-$M$50)*C120*C121/$N$121</f>
        <v>157.03549243688721</v>
      </c>
      <c r="D127" s="998">
        <f t="shared" ref="D127:M127" si="147">($M$90-$M$50)*D120*D121/$N$121</f>
        <v>173.86072376941087</v>
      </c>
      <c r="E127" s="998">
        <f t="shared" si="147"/>
        <v>168.25231332523632</v>
      </c>
      <c r="F127" s="998">
        <f t="shared" si="147"/>
        <v>173.86072376941087</v>
      </c>
      <c r="G127" s="998">
        <f t="shared" si="147"/>
        <v>168.25231332523632</v>
      </c>
      <c r="H127" s="998">
        <f t="shared" si="147"/>
        <v>173.86072376941087</v>
      </c>
      <c r="I127" s="998">
        <f t="shared" si="147"/>
        <v>173.86072376941087</v>
      </c>
      <c r="J127" s="998">
        <f t="shared" si="147"/>
        <v>168.25231332523632</v>
      </c>
      <c r="K127" s="998">
        <f t="shared" si="147"/>
        <v>237.08280514010571</v>
      </c>
      <c r="L127" s="998">
        <f t="shared" si="147"/>
        <v>229.43497271623136</v>
      </c>
      <c r="M127" s="998">
        <f t="shared" si="147"/>
        <v>237.08280514010571</v>
      </c>
    </row>
    <row r="128" spans="1:14">
      <c r="A128" s="817" t="s">
        <v>990</v>
      </c>
      <c r="C128" s="996">
        <f>(B117-$M$90)*C120*C121/$N$121</f>
        <v>0</v>
      </c>
      <c r="D128" s="996">
        <f t="shared" ref="D128:M128" si="148">(C117-$M$90)*D120*D121/$N$121</f>
        <v>0</v>
      </c>
      <c r="E128" s="996">
        <f t="shared" si="148"/>
        <v>0</v>
      </c>
      <c r="F128" s="996">
        <f t="shared" si="148"/>
        <v>0</v>
      </c>
      <c r="G128" s="996">
        <f t="shared" si="148"/>
        <v>0</v>
      </c>
      <c r="H128" s="996">
        <f t="shared" si="148"/>
        <v>0</v>
      </c>
      <c r="I128" s="996">
        <f t="shared" si="148"/>
        <v>0</v>
      </c>
      <c r="J128" s="996">
        <f t="shared" si="148"/>
        <v>0</v>
      </c>
      <c r="K128" s="996">
        <f t="shared" si="148"/>
        <v>0</v>
      </c>
      <c r="L128" s="996">
        <f t="shared" si="148"/>
        <v>0</v>
      </c>
      <c r="M128" s="996">
        <f t="shared" si="148"/>
        <v>0</v>
      </c>
    </row>
    <row r="129" spans="1:14">
      <c r="A129" s="823" t="s">
        <v>26</v>
      </c>
      <c r="B129" s="996">
        <f>SUM(B125:B128)</f>
        <v>287.03777185726597</v>
      </c>
      <c r="C129" s="996">
        <f t="shared" ref="C129:M129" si="149">SUM(C125:C128)</f>
        <v>259.25992296785307</v>
      </c>
      <c r="D129" s="996">
        <f t="shared" si="149"/>
        <v>287.03777185726597</v>
      </c>
      <c r="E129" s="996">
        <f t="shared" si="149"/>
        <v>277.77848889412832</v>
      </c>
      <c r="F129" s="996">
        <f t="shared" si="149"/>
        <v>287.03777185726597</v>
      </c>
      <c r="G129" s="996">
        <f t="shared" si="149"/>
        <v>277.77848889412832</v>
      </c>
      <c r="H129" s="996">
        <f t="shared" si="149"/>
        <v>287.03777185726597</v>
      </c>
      <c r="I129" s="996">
        <f t="shared" si="149"/>
        <v>287.03777185726597</v>
      </c>
      <c r="J129" s="996">
        <f t="shared" si="149"/>
        <v>277.77848889412832</v>
      </c>
      <c r="K129" s="996">
        <f t="shared" si="149"/>
        <v>391.41514344172629</v>
      </c>
      <c r="L129" s="996">
        <f t="shared" si="149"/>
        <v>378.78884849199318</v>
      </c>
      <c r="M129" s="996">
        <f t="shared" si="149"/>
        <v>391.41514344172629</v>
      </c>
    </row>
    <row r="130" spans="1:14">
      <c r="A130" s="823" t="s">
        <v>957</v>
      </c>
      <c r="B130" s="997">
        <f>B129-B122</f>
        <v>0</v>
      </c>
      <c r="C130" s="997">
        <f t="shared" ref="C130:M130" si="150">C129-C122</f>
        <v>0</v>
      </c>
      <c r="D130" s="997">
        <f t="shared" si="150"/>
        <v>0</v>
      </c>
      <c r="E130" s="997">
        <f t="shared" si="150"/>
        <v>0</v>
      </c>
      <c r="F130" s="997">
        <f t="shared" si="150"/>
        <v>0</v>
      </c>
      <c r="G130" s="997">
        <f t="shared" si="150"/>
        <v>0</v>
      </c>
      <c r="H130" s="997">
        <f t="shared" si="150"/>
        <v>0</v>
      </c>
      <c r="I130" s="997">
        <f t="shared" si="150"/>
        <v>0</v>
      </c>
      <c r="J130" s="997">
        <f t="shared" si="150"/>
        <v>0</v>
      </c>
      <c r="K130" s="997">
        <f t="shared" si="150"/>
        <v>0</v>
      </c>
      <c r="L130" s="997">
        <f t="shared" si="150"/>
        <v>0</v>
      </c>
      <c r="M130" s="997">
        <f t="shared" si="150"/>
        <v>0</v>
      </c>
    </row>
    <row r="132" spans="1:14" ht="15.6">
      <c r="A132" s="828" t="s">
        <v>828</v>
      </c>
      <c r="B132" s="829"/>
      <c r="C132" s="829"/>
      <c r="D132" s="829"/>
      <c r="E132"/>
      <c r="F132"/>
      <c r="G132"/>
      <c r="H132"/>
      <c r="I132"/>
      <c r="J132"/>
      <c r="K132"/>
      <c r="L132"/>
      <c r="M132"/>
      <c r="N132"/>
    </row>
    <row r="133" spans="1:14" ht="16.2" thickBot="1">
      <c r="A133" s="829"/>
      <c r="B133" s="829"/>
      <c r="C133" s="829"/>
      <c r="D133" s="829"/>
      <c r="E133"/>
      <c r="F133"/>
      <c r="G133"/>
      <c r="H133"/>
      <c r="I133"/>
      <c r="J133"/>
      <c r="K133"/>
      <c r="L133"/>
      <c r="M133"/>
      <c r="N133"/>
    </row>
    <row r="134" spans="1:14" ht="16.2" thickBot="1">
      <c r="A134" s="872"/>
      <c r="B134" s="873">
        <v>2016</v>
      </c>
      <c r="C134" s="873">
        <v>2017</v>
      </c>
      <c r="D134" s="874" t="s">
        <v>26</v>
      </c>
      <c r="E134"/>
      <c r="F134"/>
      <c r="G134"/>
      <c r="H134"/>
      <c r="I134"/>
      <c r="J134"/>
      <c r="K134"/>
      <c r="L134"/>
      <c r="M134"/>
      <c r="N134"/>
    </row>
    <row r="135" spans="1:14" ht="15.6">
      <c r="A135" s="862" t="s">
        <v>808</v>
      </c>
      <c r="B135" s="863">
        <f>N83</f>
        <v>29933</v>
      </c>
      <c r="C135" s="863">
        <f>N109</f>
        <v>12668.891891891892</v>
      </c>
      <c r="D135" s="864">
        <f>SUM(B135:C135)</f>
        <v>42601.891891891893</v>
      </c>
      <c r="E135"/>
      <c r="F135"/>
      <c r="G135"/>
      <c r="H135"/>
      <c r="I135"/>
      <c r="J135"/>
      <c r="K135"/>
      <c r="L135"/>
      <c r="M135"/>
      <c r="N135"/>
    </row>
    <row r="136" spans="1:14" ht="15.6">
      <c r="A136" s="862" t="s">
        <v>793</v>
      </c>
      <c r="B136" s="865">
        <f>N87</f>
        <v>741.42129999999997</v>
      </c>
      <c r="C136" s="865">
        <f>N114</f>
        <v>1065.1348335861712</v>
      </c>
      <c r="D136" s="866">
        <f>SUM(B136:C136)</f>
        <v>1806.5561335861712</v>
      </c>
      <c r="E136"/>
      <c r="F136"/>
      <c r="G136"/>
      <c r="H136"/>
      <c r="I136"/>
      <c r="J136"/>
      <c r="K136"/>
      <c r="L136"/>
      <c r="M136"/>
      <c r="N136"/>
    </row>
    <row r="137" spans="1:14" ht="15.6">
      <c r="A137" s="862" t="s">
        <v>809</v>
      </c>
      <c r="B137" s="865">
        <f>N88</f>
        <v>27559.3483469493</v>
      </c>
      <c r="C137" s="865">
        <f>N115</f>
        <v>34888.719285496038</v>
      </c>
      <c r="D137" s="866">
        <f>SUM(B137:C137)</f>
        <v>62448.067632445338</v>
      </c>
      <c r="E137"/>
      <c r="F137"/>
      <c r="G137"/>
      <c r="H137"/>
      <c r="I137"/>
      <c r="J137"/>
      <c r="K137"/>
      <c r="L137"/>
      <c r="M137"/>
      <c r="N137"/>
    </row>
    <row r="138" spans="1:14" ht="15.6">
      <c r="A138" s="862" t="s">
        <v>810</v>
      </c>
      <c r="B138" s="867">
        <f>N89</f>
        <v>186097.25564760985</v>
      </c>
      <c r="C138" s="867">
        <f>N116</f>
        <v>0</v>
      </c>
      <c r="D138" s="868">
        <f>SUM(B138:C138)</f>
        <v>186097.25564760985</v>
      </c>
      <c r="E138"/>
      <c r="F138"/>
      <c r="G138"/>
      <c r="H138"/>
      <c r="I138"/>
      <c r="J138"/>
      <c r="K138"/>
      <c r="L138"/>
      <c r="M138"/>
      <c r="N138"/>
    </row>
    <row r="139" spans="1:14" ht="15.6">
      <c r="A139" s="862" t="s">
        <v>43</v>
      </c>
      <c r="B139" s="867">
        <f>N95</f>
        <v>2219.4785140364766</v>
      </c>
      <c r="C139" s="867">
        <f>N122</f>
        <v>3689.4033843120133</v>
      </c>
      <c r="D139" s="868">
        <f>SUM(B139:C139)</f>
        <v>5908.8818983484898</v>
      </c>
      <c r="E139"/>
      <c r="F139"/>
      <c r="G139"/>
      <c r="H139"/>
      <c r="I139"/>
      <c r="J139"/>
      <c r="K139"/>
      <c r="L139"/>
      <c r="M139"/>
      <c r="N139"/>
    </row>
    <row r="140" spans="1:14" ht="16.2" thickBot="1">
      <c r="A140" s="869" t="s">
        <v>811</v>
      </c>
      <c r="B140" s="870">
        <f t="shared" ref="B140:C140" si="151">SUM(B138:B139)</f>
        <v>188316.73416164634</v>
      </c>
      <c r="C140" s="870">
        <f t="shared" si="151"/>
        <v>3689.4033843120133</v>
      </c>
      <c r="D140" s="871">
        <f>SUM(D138:D139)</f>
        <v>192006.13754595834</v>
      </c>
      <c r="E140"/>
      <c r="F140"/>
      <c r="G140"/>
      <c r="H140"/>
      <c r="I140"/>
      <c r="J140"/>
      <c r="K140"/>
      <c r="L140"/>
      <c r="M140"/>
      <c r="N140"/>
    </row>
    <row r="141" spans="1:14" ht="15.6">
      <c r="A141" s="829"/>
      <c r="B141" s="829"/>
      <c r="C141" s="829"/>
      <c r="D141" s="829"/>
      <c r="E141"/>
      <c r="F141"/>
      <c r="G141"/>
      <c r="H141"/>
      <c r="I141"/>
      <c r="J141"/>
      <c r="K141"/>
      <c r="L141"/>
      <c r="M141"/>
      <c r="N141"/>
    </row>
    <row r="142" spans="1:14" ht="15.6">
      <c r="A142" s="829"/>
      <c r="B142" s="830">
        <f t="shared" ref="B142:D142" si="152">+B138/B137</f>
        <v>6.7526000000000002</v>
      </c>
      <c r="C142" s="830">
        <f t="shared" si="152"/>
        <v>0</v>
      </c>
      <c r="D142" s="830">
        <f t="shared" si="152"/>
        <v>2.980032252445898</v>
      </c>
      <c r="E142"/>
      <c r="F142"/>
      <c r="G142"/>
      <c r="H142"/>
      <c r="I142"/>
      <c r="J142"/>
      <c r="K142"/>
      <c r="L142"/>
      <c r="M142"/>
      <c r="N142"/>
    </row>
    <row r="144" spans="1:14">
      <c r="B144" s="823"/>
      <c r="C144" s="823"/>
      <c r="D144" s="823"/>
      <c r="E144" s="823"/>
      <c r="F144" s="823"/>
      <c r="G144" s="823"/>
      <c r="H144" s="823"/>
      <c r="I144" s="823"/>
      <c r="J144" s="823"/>
      <c r="K144" s="823"/>
      <c r="L144" s="823"/>
      <c r="M144" s="823"/>
    </row>
    <row r="145" spans="2:13">
      <c r="B145" s="915"/>
      <c r="C145" s="915"/>
      <c r="D145" s="915"/>
      <c r="E145" s="915"/>
      <c r="F145" s="915"/>
      <c r="G145" s="915"/>
      <c r="H145" s="915"/>
      <c r="I145" s="915"/>
      <c r="J145" s="915"/>
      <c r="K145" s="915"/>
      <c r="L145" s="915"/>
      <c r="M145" s="915"/>
    </row>
  </sheetData>
  <mergeCells count="2">
    <mergeCell ref="A17:A18"/>
    <mergeCell ref="A77:A78"/>
  </mergeCells>
  <pageMargins left="0.7" right="0.7" top="0.75" bottom="0.75" header="0.3" footer="0.3"/>
  <pageSetup scale="40" orientation="landscape" r:id="rId1"/>
  <rowBreaks count="1" manualBreakCount="1">
    <brk id="74" max="1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6"/>
  <sheetViews>
    <sheetView topLeftCell="A7" workbookViewId="0">
      <selection activeCell="G18" sqref="G18"/>
    </sheetView>
  </sheetViews>
  <sheetFormatPr defaultRowHeight="14.4"/>
  <cols>
    <col min="1" max="7" width="22" style="907" customWidth="1"/>
    <col min="8" max="18" width="10.109375" bestFit="1" customWidth="1"/>
  </cols>
  <sheetData>
    <row r="3" spans="1:18" ht="15" thickBot="1">
      <c r="A3" s="906"/>
    </row>
    <row r="4" spans="1:18" ht="28.2" thickBot="1">
      <c r="A4" s="900" t="s">
        <v>833</v>
      </c>
      <c r="B4" s="901" t="s">
        <v>834</v>
      </c>
      <c r="C4" s="901" t="s">
        <v>835</v>
      </c>
      <c r="D4" s="901" t="s">
        <v>836</v>
      </c>
      <c r="E4" s="901" t="s">
        <v>837</v>
      </c>
      <c r="F4" s="901" t="s">
        <v>838</v>
      </c>
      <c r="G4" s="901" t="s">
        <v>839</v>
      </c>
      <c r="H4" s="909">
        <v>2018</v>
      </c>
      <c r="I4" s="909">
        <v>2019</v>
      </c>
      <c r="J4" s="909">
        <v>2020</v>
      </c>
      <c r="K4" s="909">
        <v>2021</v>
      </c>
      <c r="L4" s="909">
        <v>2022</v>
      </c>
      <c r="M4" s="909">
        <v>2023</v>
      </c>
      <c r="N4" s="909">
        <v>2024</v>
      </c>
      <c r="O4" s="909">
        <v>2025</v>
      </c>
      <c r="P4" s="909">
        <v>2026</v>
      </c>
      <c r="Q4" s="909">
        <v>2027</v>
      </c>
      <c r="R4" s="909">
        <v>2028</v>
      </c>
    </row>
    <row r="5" spans="1:18" ht="55.8" thickBot="1">
      <c r="A5" s="902">
        <v>118488</v>
      </c>
      <c r="B5" s="903" t="s">
        <v>840</v>
      </c>
      <c r="C5" s="904">
        <v>42215</v>
      </c>
      <c r="D5" s="905">
        <v>6049567</v>
      </c>
      <c r="E5" s="905">
        <v>5731384</v>
      </c>
      <c r="F5" s="905">
        <v>4077739</v>
      </c>
      <c r="G5" s="903" t="s">
        <v>841</v>
      </c>
      <c r="H5" s="905">
        <f>F5</f>
        <v>4077739</v>
      </c>
      <c r="I5" s="905">
        <f>H5</f>
        <v>4077739</v>
      </c>
      <c r="J5" s="905">
        <f t="shared" ref="J5:O5" si="0">I5</f>
        <v>4077739</v>
      </c>
      <c r="K5" s="905">
        <f t="shared" si="0"/>
        <v>4077739</v>
      </c>
      <c r="L5" s="905">
        <f t="shared" si="0"/>
        <v>4077739</v>
      </c>
      <c r="M5" s="905">
        <f t="shared" si="0"/>
        <v>4077739</v>
      </c>
      <c r="N5" s="905">
        <f t="shared" si="0"/>
        <v>4077739</v>
      </c>
      <c r="O5" s="905">
        <f t="shared" si="0"/>
        <v>4077739</v>
      </c>
      <c r="P5" s="905">
        <f>O5*0.8697</f>
        <v>3546409.6083</v>
      </c>
      <c r="Q5" s="905">
        <f>O5*0.8201</f>
        <v>3344153.7539000004</v>
      </c>
      <c r="R5" s="905">
        <f>O5*0.3458</f>
        <v>1410082.1462000001</v>
      </c>
    </row>
    <row r="6" spans="1:18" ht="15" thickBot="1">
      <c r="A6" s="902">
        <v>136829</v>
      </c>
      <c r="B6" s="903" t="s">
        <v>842</v>
      </c>
      <c r="C6" s="904">
        <v>42307</v>
      </c>
      <c r="D6" s="905">
        <v>6438647</v>
      </c>
      <c r="E6" s="905">
        <v>7934352</v>
      </c>
      <c r="F6" s="905">
        <v>6297130</v>
      </c>
      <c r="G6" s="903" t="s">
        <v>843</v>
      </c>
      <c r="H6" s="905">
        <f>F6</f>
        <v>6297130</v>
      </c>
      <c r="I6" s="905">
        <f>H6</f>
        <v>6297130</v>
      </c>
      <c r="J6" s="905">
        <f t="shared" ref="J6:R6" si="1">I6</f>
        <v>6297130</v>
      </c>
      <c r="K6" s="905">
        <f t="shared" si="1"/>
        <v>6297130</v>
      </c>
      <c r="L6" s="905">
        <f t="shared" si="1"/>
        <v>6297130</v>
      </c>
      <c r="M6" s="905">
        <f t="shared" si="1"/>
        <v>6297130</v>
      </c>
      <c r="N6" s="905">
        <f t="shared" si="1"/>
        <v>6297130</v>
      </c>
      <c r="O6" s="905">
        <f t="shared" si="1"/>
        <v>6297130</v>
      </c>
      <c r="P6" s="905">
        <f t="shared" si="1"/>
        <v>6297130</v>
      </c>
      <c r="Q6" s="905">
        <f t="shared" si="1"/>
        <v>6297130</v>
      </c>
      <c r="R6" s="905">
        <f t="shared" si="1"/>
        <v>6297130</v>
      </c>
    </row>
    <row r="7" spans="1:18" ht="15" thickBot="1">
      <c r="A7" s="902">
        <v>149745</v>
      </c>
      <c r="B7" s="903" t="s">
        <v>844</v>
      </c>
      <c r="C7" s="904">
        <v>42580</v>
      </c>
      <c r="D7" s="905">
        <v>1444940</v>
      </c>
      <c r="E7" s="905">
        <v>1603304</v>
      </c>
      <c r="F7" s="905">
        <v>1270218</v>
      </c>
      <c r="G7" s="903" t="s">
        <v>845</v>
      </c>
      <c r="H7" s="905">
        <f>F7</f>
        <v>1270218</v>
      </c>
      <c r="I7" s="905">
        <f>H7</f>
        <v>1270218</v>
      </c>
      <c r="J7" s="905">
        <f t="shared" ref="J7:R7" si="2">I7</f>
        <v>1270218</v>
      </c>
      <c r="K7" s="905">
        <f t="shared" si="2"/>
        <v>1270218</v>
      </c>
      <c r="L7" s="905">
        <f t="shared" si="2"/>
        <v>1270218</v>
      </c>
      <c r="M7" s="905">
        <f t="shared" si="2"/>
        <v>1270218</v>
      </c>
      <c r="N7" s="905">
        <f t="shared" si="2"/>
        <v>1270218</v>
      </c>
      <c r="O7" s="905">
        <f t="shared" si="2"/>
        <v>1270218</v>
      </c>
      <c r="P7" s="905">
        <f t="shared" si="2"/>
        <v>1270218</v>
      </c>
      <c r="Q7" s="905">
        <f t="shared" si="2"/>
        <v>1270218</v>
      </c>
      <c r="R7" s="905">
        <f t="shared" si="2"/>
        <v>1270218</v>
      </c>
    </row>
    <row r="8" spans="1:18" ht="15" hidden="1" thickBot="1">
      <c r="A8" s="902">
        <v>143257</v>
      </c>
      <c r="B8" s="903" t="s">
        <v>846</v>
      </c>
      <c r="C8" s="904">
        <v>42551</v>
      </c>
      <c r="D8" s="905">
        <v>1095083</v>
      </c>
      <c r="E8" s="905">
        <v>1215103</v>
      </c>
      <c r="F8" s="905">
        <v>900782</v>
      </c>
      <c r="G8" s="903" t="s">
        <v>845</v>
      </c>
      <c r="H8" s="908"/>
      <c r="I8" s="908"/>
      <c r="J8" s="908"/>
      <c r="K8" s="908"/>
      <c r="L8" s="908"/>
      <c r="M8" s="908"/>
      <c r="N8" s="908"/>
      <c r="O8" s="908"/>
    </row>
    <row r="9" spans="1:18" ht="42" hidden="1" thickBot="1">
      <c r="A9" s="902">
        <v>128008</v>
      </c>
      <c r="B9" s="903" t="s">
        <v>847</v>
      </c>
      <c r="C9" s="904">
        <v>42704</v>
      </c>
      <c r="D9" s="905">
        <v>16910715</v>
      </c>
      <c r="E9" s="905">
        <v>18507361</v>
      </c>
      <c r="F9" s="905">
        <v>13378448</v>
      </c>
      <c r="G9" s="903" t="s">
        <v>848</v>
      </c>
      <c r="H9" s="908"/>
      <c r="I9" s="908"/>
      <c r="J9" s="908"/>
      <c r="K9" s="908"/>
      <c r="L9" s="908"/>
      <c r="M9" s="908"/>
      <c r="N9" s="908"/>
      <c r="O9" s="908"/>
    </row>
    <row r="10" spans="1:18" ht="15" hidden="1" thickBot="1">
      <c r="A10" s="902">
        <v>134184</v>
      </c>
      <c r="B10" s="903" t="s">
        <v>849</v>
      </c>
      <c r="C10" s="904">
        <v>42339</v>
      </c>
      <c r="D10" s="905">
        <v>10535699</v>
      </c>
      <c r="E10" s="905">
        <v>12983154</v>
      </c>
      <c r="F10" s="905">
        <v>10067645</v>
      </c>
      <c r="G10" s="903" t="s">
        <v>843</v>
      </c>
      <c r="H10" s="908"/>
      <c r="I10" s="908"/>
      <c r="J10" s="908"/>
      <c r="K10" s="908"/>
      <c r="L10" s="908"/>
      <c r="M10" s="908"/>
      <c r="N10" s="908"/>
      <c r="O10" s="908"/>
    </row>
    <row r="12" spans="1:18">
      <c r="A12" s="907" t="s">
        <v>851</v>
      </c>
    </row>
    <row r="13" spans="1:18">
      <c r="E13" s="907" t="s">
        <v>850</v>
      </c>
      <c r="F13" s="907" t="s">
        <v>852</v>
      </c>
    </row>
    <row r="14" spans="1:18">
      <c r="A14" s="1240">
        <v>2015</v>
      </c>
      <c r="B14" s="910" t="s">
        <v>840</v>
      </c>
      <c r="C14" s="911">
        <f t="shared" ref="C14:D16" si="3">E5</f>
        <v>5731384</v>
      </c>
      <c r="D14" s="911">
        <f t="shared" si="3"/>
        <v>4077739</v>
      </c>
      <c r="E14" s="912">
        <f>D14/C14</f>
        <v>0.71147544816400365</v>
      </c>
      <c r="F14" s="1237">
        <f>(D14+D15)/(C14+C15)</f>
        <v>0.75918845497966592</v>
      </c>
      <c r="G14" s="1238">
        <f>AVERAGE(F14:F16)</f>
        <v>0.775719354103376</v>
      </c>
    </row>
    <row r="15" spans="1:18">
      <c r="A15" s="1241"/>
      <c r="B15" s="910" t="s">
        <v>842</v>
      </c>
      <c r="C15" s="911">
        <f t="shared" si="3"/>
        <v>7934352</v>
      </c>
      <c r="D15" s="911">
        <f t="shared" si="3"/>
        <v>6297130</v>
      </c>
      <c r="E15" s="912">
        <f>D15/C15</f>
        <v>0.79365397451486897</v>
      </c>
      <c r="F15" s="1237"/>
      <c r="G15" s="1239"/>
    </row>
    <row r="16" spans="1:18">
      <c r="A16" s="910">
        <v>2016</v>
      </c>
      <c r="B16" s="910" t="s">
        <v>844</v>
      </c>
      <c r="C16" s="911">
        <f t="shared" si="3"/>
        <v>1603304</v>
      </c>
      <c r="D16" s="911">
        <f t="shared" si="3"/>
        <v>1270218</v>
      </c>
      <c r="E16" s="912">
        <f>D16/C16</f>
        <v>0.79225025322708609</v>
      </c>
      <c r="F16" s="912">
        <f>E16</f>
        <v>0.79225025322708609</v>
      </c>
      <c r="G16" s="1239"/>
    </row>
  </sheetData>
  <mergeCells count="3">
    <mergeCell ref="F14:F15"/>
    <mergeCell ref="G14:G16"/>
    <mergeCell ref="A14:A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E400F-7E62-4171-8F2E-C68B3CF85768}">
  <ds:schemaRefs>
    <ds:schemaRef ds:uri="http://schemas.microsoft.com/office/2006/documentManagement/types"/>
    <ds:schemaRef ds:uri="http://purl.org/dc/elements/1.1/"/>
    <ds:schemaRef ds:uri="c7144278-a604-49a7-8187-9642ca59cb2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01f4ed2e-8ed5-4f01-addc-53cbf92106b5"/>
    <ds:schemaRef ds:uri="http://purl.org/dc/dcmitype/"/>
    <ds:schemaRef ds:uri="http://purl.org/dc/terms/"/>
  </ds:schemaRefs>
</ds:datastoreItem>
</file>

<file path=customXml/itemProps2.xml><?xml version="1.0" encoding="utf-8"?>
<ds:datastoreItem xmlns:ds="http://schemas.openxmlformats.org/officeDocument/2006/customXml" ds:itemID="{F177D4F5-E740-4583-82F4-0A3C497CA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BD9C7E-620C-40A5-8F57-3B806409D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Contents Navigator</vt:lpstr>
      <vt:lpstr>LRAMVA Schematic</vt:lpstr>
      <vt:lpstr>DropDownList</vt:lpstr>
      <vt:lpstr>JE12321 2014</vt:lpstr>
      <vt:lpstr>JE12322 2015</vt:lpstr>
      <vt:lpstr>JE12323 2016</vt:lpstr>
      <vt:lpstr>JE12324 2017 Q4</vt:lpstr>
      <vt:lpstr>JE12326 2017 Q3 Rev</vt:lpstr>
      <vt:lpstr>JE12335 Transfer Bal</vt:lpstr>
      <vt:lpstr>Summary</vt:lpstr>
      <vt:lpstr>JE Summary</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9. NTG Ratio calculation</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'7-d.  2014'!Print_Area</vt:lpstr>
      <vt:lpstr>'7-e.  2015'!Print_Area</vt:lpstr>
      <vt:lpstr>'8. SL Adjustment'!Print_Area</vt:lpstr>
      <vt:lpstr>'Contents Navigator'!Print_Area</vt:lpstr>
      <vt:lpstr>'JE12335 Transfer Bal'!Print_Area</vt:lpstr>
      <vt:lpstr>'LRAMVA Schematic'!Print_Area</vt:lpstr>
      <vt:lpstr>'4.  2011-2014 LRAM'!Print_Titles</vt:lpstr>
      <vt:lpstr>'JE12335 Transfer Bal'!Print_Titles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2018-01-07T16:23:00Z</cp:lastPrinted>
  <dcterms:created xsi:type="dcterms:W3CDTF">2012-03-05T18:56:04Z</dcterms:created>
  <dcterms:modified xsi:type="dcterms:W3CDTF">2018-06-21T20:47:54Z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