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83.xml" ContentType="application/vnd.openxmlformats-officedocument.spreadsheetml.externalLink+xml"/>
  <Override PartName="/xl/externalLinks/externalLink84.xml" ContentType="application/vnd.openxmlformats-officedocument.spreadsheetml.externalLink+xml"/>
  <Override PartName="/xl/externalLinks/externalLink85.xml" ContentType="application/vnd.openxmlformats-officedocument.spreadsheetml.externalLink+xml"/>
  <Override PartName="/xl/externalLinks/externalLink86.xml" ContentType="application/vnd.openxmlformats-officedocument.spreadsheetml.externalLink+xml"/>
  <Override PartName="/xl/externalLinks/externalLink87.xml" ContentType="application/vnd.openxmlformats-officedocument.spreadsheetml.externalLink+xml"/>
  <Override PartName="/xl/externalLinks/externalLink88.xml" ContentType="application/vnd.openxmlformats-officedocument.spreadsheetml.externalLink+xml"/>
  <Override PartName="/xl/externalLinks/externalLink89.xml" ContentType="application/vnd.openxmlformats-officedocument.spreadsheetml.externalLink+xml"/>
  <Override PartName="/xl/externalLinks/externalLink90.xml" ContentType="application/vnd.openxmlformats-officedocument.spreadsheetml.externalLink+xml"/>
  <Override PartName="/xl/externalLinks/externalLink91.xml" ContentType="application/vnd.openxmlformats-officedocument.spreadsheetml.externalLink+xml"/>
  <Override PartName="/xl/externalLinks/externalLink92.xml" ContentType="application/vnd.openxmlformats-officedocument.spreadsheetml.externalLink+xml"/>
  <Override PartName="/xl/externalLinks/externalLink93.xml" ContentType="application/vnd.openxmlformats-officedocument.spreadsheetml.externalLink+xml"/>
  <Override PartName="/xl/externalLinks/externalLink94.xml" ContentType="application/vnd.openxmlformats-officedocument.spreadsheetml.externalLink+xml"/>
  <Override PartName="/xl/externalLinks/externalLink95.xml" ContentType="application/vnd.openxmlformats-officedocument.spreadsheetml.externalLink+xml"/>
  <Override PartName="/xl/externalLinks/externalLink96.xml" ContentType="application/vnd.openxmlformats-officedocument.spreadsheetml.externalLink+xml"/>
  <Override PartName="/xl/externalLinks/externalLink97.xml" ContentType="application/vnd.openxmlformats-officedocument.spreadsheetml.externalLink+xml"/>
  <Override PartName="/xl/externalLinks/externalLink98.xml" ContentType="application/vnd.openxmlformats-officedocument.spreadsheetml.externalLink+xml"/>
  <Override PartName="/xl/externalLinks/externalLink99.xml" ContentType="application/vnd.openxmlformats-officedocument.spreadsheetml.externalLink+xml"/>
  <Override PartName="/xl/externalLinks/externalLink100.xml" ContentType="application/vnd.openxmlformats-officedocument.spreadsheetml.externalLink+xml"/>
  <Override PartName="/xl/externalLinks/externalLink101.xml" ContentType="application/vnd.openxmlformats-officedocument.spreadsheetml.externalLink+xml"/>
  <Override PartName="/xl/externalLinks/externalLink102.xml" ContentType="application/vnd.openxmlformats-officedocument.spreadsheetml.externalLink+xml"/>
  <Override PartName="/xl/externalLinks/externalLink103.xml" ContentType="application/vnd.openxmlformats-officedocument.spreadsheetml.externalLink+xml"/>
  <Override PartName="/xl/externalLinks/externalLink104.xml" ContentType="application/vnd.openxmlformats-officedocument.spreadsheetml.externalLink+xml"/>
  <Override PartName="/xl/externalLinks/externalLink105.xml" ContentType="application/vnd.openxmlformats-officedocument.spreadsheetml.externalLink+xml"/>
  <Override PartName="/xl/externalLinks/externalLink106.xml" ContentType="application/vnd.openxmlformats-officedocument.spreadsheetml.externalLink+xml"/>
  <Override PartName="/xl/externalLinks/externalLink107.xml" ContentType="application/vnd.openxmlformats-officedocument.spreadsheetml.externalLink+xml"/>
  <Override PartName="/xl/externalLinks/externalLink108.xml" ContentType="application/vnd.openxmlformats-officedocument.spreadsheetml.externalLink+xml"/>
  <Override PartName="/xl/externalLinks/externalLink109.xml" ContentType="application/vnd.openxmlformats-officedocument.spreadsheetml.externalLink+xml"/>
  <Override PartName="/xl/externalLinks/externalLink110.xml" ContentType="application/vnd.openxmlformats-officedocument.spreadsheetml.externalLink+xml"/>
  <Override PartName="/xl/externalLinks/externalLink111.xml" ContentType="application/vnd.openxmlformats-officedocument.spreadsheetml.externalLink+xml"/>
  <Override PartName="/xl/externalLinks/externalLink112.xml" ContentType="application/vnd.openxmlformats-officedocument.spreadsheetml.externalLink+xml"/>
  <Override PartName="/xl/externalLinks/externalLink113.xml" ContentType="application/vnd.openxmlformats-officedocument.spreadsheetml.externalLink+xml"/>
  <Override PartName="/xl/externalLinks/externalLink11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I:\Rate Submissions\2019\Wrapping up the Application\Appendices\"/>
    </mc:Choice>
  </mc:AlternateContent>
  <xr:revisionPtr revIDLastSave="0" documentId="10_ncr:100000_{F6030E5F-DA2B-42EB-AEA5-36B458496AE1}" xr6:coauthVersionLast="31" xr6:coauthVersionMax="31" xr10:uidLastSave="{00000000-0000-0000-0000-000000000000}"/>
  <bookViews>
    <workbookView xWindow="0" yWindow="0" windowWidth="20490" windowHeight="7545" activeTab="3" xr2:uid="{00000000-000D-0000-FFFF-FFFF00000000}"/>
  </bookViews>
  <sheets>
    <sheet name="1.GA Detailed Analysis" sheetId="5" r:id="rId1"/>
    <sheet name="2.RPP True-up" sheetId="3" r:id="rId2"/>
    <sheet name="3.IESO Invoice Analysis" sheetId="7" r:id="rId3"/>
    <sheet name="4.UBR Retailer Contract" sheetId="4" r:id="rId4"/>
    <sheet name="Sheet1" sheetId="1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  <externalReference r:id="rId94"/>
    <externalReference r:id="rId95"/>
    <externalReference r:id="rId96"/>
    <externalReference r:id="rId97"/>
    <externalReference r:id="rId98"/>
    <externalReference r:id="rId99"/>
    <externalReference r:id="rId100"/>
    <externalReference r:id="rId101"/>
    <externalReference r:id="rId102"/>
    <externalReference r:id="rId103"/>
    <externalReference r:id="rId104"/>
    <externalReference r:id="rId105"/>
    <externalReference r:id="rId106"/>
    <externalReference r:id="rId107"/>
    <externalReference r:id="rId108"/>
    <externalReference r:id="rId109"/>
    <externalReference r:id="rId110"/>
    <externalReference r:id="rId111"/>
    <externalReference r:id="rId112"/>
    <externalReference r:id="rId113"/>
    <externalReference r:id="rId114"/>
    <externalReference r:id="rId115"/>
    <externalReference r:id="rId116"/>
    <externalReference r:id="rId117"/>
    <externalReference r:id="rId118"/>
    <externalReference r:id="rId119"/>
  </externalReferences>
  <definedNames>
    <definedName name="BI_LDCLIST" localSheetId="0">#REF!</definedName>
    <definedName name="BI_LDCLIST" localSheetId="2">#REF!</definedName>
    <definedName name="BI_LDCLIST">#REF!</definedName>
    <definedName name="BridgeYear">'[1]LDC Info'!$E$26</definedName>
    <definedName name="contactf" localSheetId="0">#REF!</definedName>
    <definedName name="contactf" localSheetId="2">#REF!</definedName>
    <definedName name="contactf">#REF!</definedName>
    <definedName name="Cust3a">'[2]6. Class A Consumption Data'!$C$25</definedName>
    <definedName name="CustomerAdministration" localSheetId="0">[2]lists!#REF!</definedName>
    <definedName name="CustomerAdministration" localSheetId="2">[2]lists!#REF!</definedName>
    <definedName name="CustomerAdministration">[2]lists!#REF!</definedName>
    <definedName name="EBNUMBER">'[1]LDC Info'!$E$16</definedName>
    <definedName name="G1LD">'[2]6. Class A Consumption Data'!$C$14</definedName>
    <definedName name="G1LDCBR" localSheetId="2">#REF!</definedName>
    <definedName name="G1LDCBR">#REF!</definedName>
    <definedName name="GARate" localSheetId="0">#REF!</definedName>
    <definedName name="GARate" localSheetId="2">#REF!</definedName>
    <definedName name="GARate" localSheetId="3">#REF!</definedName>
    <definedName name="GARate">#REF!</definedName>
    <definedName name="Group1Desposing" localSheetId="0">'[2]4. Billing Det. for Def-Var'!#REF!</definedName>
    <definedName name="Group1Desposing" localSheetId="2">'[2]4. Billing Det. for Def-Var'!#REF!</definedName>
    <definedName name="Group1Desposing">'[2]4. Billing Det. for Def-Var'!#REF!</definedName>
    <definedName name="histdate">[3]Financials!$E$76</definedName>
    <definedName name="Incr2000" localSheetId="0">#REF!</definedName>
    <definedName name="Incr2000" localSheetId="2">#REF!</definedName>
    <definedName name="Incr2000">#REF!</definedName>
    <definedName name="Lakeland_SA">'[2]2016 List'!$C$13:$C$14</definedName>
    <definedName name="LDCList">OFFSET('[4]2016 List'!$A$1,0,0,COUNTA('[4]2016 List'!$A:$A),1)</definedName>
    <definedName name="LIMIT" localSheetId="0">#REF!</definedName>
    <definedName name="LIMIT" localSheetId="2">#REF!</definedName>
    <definedName name="LIMIT">#REF!</definedName>
    <definedName name="listdata">'[2]4. Billing Det. for Def-Var'!$A$17:$A$20</definedName>
    <definedName name="ListOfLDC" localSheetId="0">OFFSET([5]List!$A$1,0,0,COUNTA([5]List!$A:$A),1)</definedName>
    <definedName name="ListOfLDC" localSheetId="2">OFFSET([6]List!$A$1,0,0,COUNTA([6]List!$A:$A),1)</definedName>
    <definedName name="ListOfLDC">OFFSET([7]List!$A$1,0,0,COUNTA([7]List!$A:$A),1)</definedName>
    <definedName name="man_beg_bud" localSheetId="0">#REF!</definedName>
    <definedName name="man_beg_bud" localSheetId="2">#REF!</definedName>
    <definedName name="man_beg_bud">#REF!</definedName>
    <definedName name="man_end_bud" localSheetId="0">#REF!</definedName>
    <definedName name="man_end_bud" localSheetId="2">#REF!</definedName>
    <definedName name="man_end_bud">#REF!</definedName>
    <definedName name="man12ACT" localSheetId="0">#REF!</definedName>
    <definedName name="man12ACT" localSheetId="2">#REF!</definedName>
    <definedName name="man12ACT">#REF!</definedName>
    <definedName name="MANBUD" localSheetId="0">#REF!</definedName>
    <definedName name="MANBUD" localSheetId="2">#REF!</definedName>
    <definedName name="MANBUD">#REF!</definedName>
    <definedName name="manCYACT" localSheetId="0">#REF!</definedName>
    <definedName name="manCYACT" localSheetId="2">#REF!</definedName>
    <definedName name="manCYACT">#REF!</definedName>
    <definedName name="manCYBUD" localSheetId="0">#REF!</definedName>
    <definedName name="manCYBUD" localSheetId="2">#REF!</definedName>
    <definedName name="manCYBUD">#REF!</definedName>
    <definedName name="manCYF" localSheetId="0">#REF!</definedName>
    <definedName name="manCYF" localSheetId="2">#REF!</definedName>
    <definedName name="manCYF">#REF!</definedName>
    <definedName name="MANEND" localSheetId="0">#REF!</definedName>
    <definedName name="MANEND" localSheetId="2">#REF!</definedName>
    <definedName name="MANEND">#REF!</definedName>
    <definedName name="manNYbud" localSheetId="0">#REF!</definedName>
    <definedName name="manNYbud" localSheetId="2">#REF!</definedName>
    <definedName name="manNYbud">#REF!</definedName>
    <definedName name="manpower_costs" localSheetId="0">#REF!</definedName>
    <definedName name="manpower_costs" localSheetId="2">#REF!</definedName>
    <definedName name="manpower_costs">#REF!</definedName>
    <definedName name="manPYACT" localSheetId="0">#REF!</definedName>
    <definedName name="manPYACT" localSheetId="2">#REF!</definedName>
    <definedName name="manPYACT">#REF!</definedName>
    <definedName name="MANSTART" localSheetId="0">#REF!</definedName>
    <definedName name="MANSTART" localSheetId="2">#REF!</definedName>
    <definedName name="MANSTART">#REF!</definedName>
    <definedName name="mat_beg_bud" localSheetId="0">#REF!</definedName>
    <definedName name="mat_beg_bud" localSheetId="2">#REF!</definedName>
    <definedName name="mat_beg_bud">#REF!</definedName>
    <definedName name="mat_end_bud" localSheetId="0">#REF!</definedName>
    <definedName name="mat_end_bud" localSheetId="2">#REF!</definedName>
    <definedName name="mat_end_bud">#REF!</definedName>
    <definedName name="mat12ACT" localSheetId="0">#REF!</definedName>
    <definedName name="mat12ACT" localSheetId="2">#REF!</definedName>
    <definedName name="mat12ACT">#REF!</definedName>
    <definedName name="MATBUD" localSheetId="0">#REF!</definedName>
    <definedName name="MATBUD" localSheetId="2">#REF!</definedName>
    <definedName name="MATBUD">#REF!</definedName>
    <definedName name="matCYACT" localSheetId="0">#REF!</definedName>
    <definedName name="matCYACT" localSheetId="2">#REF!</definedName>
    <definedName name="matCYACT">#REF!</definedName>
    <definedName name="matCYBUD" localSheetId="0">#REF!</definedName>
    <definedName name="matCYBUD" localSheetId="2">#REF!</definedName>
    <definedName name="matCYBUD">#REF!</definedName>
    <definedName name="matCYF" localSheetId="0">#REF!</definedName>
    <definedName name="matCYF" localSheetId="2">#REF!</definedName>
    <definedName name="matCYF">#REF!</definedName>
    <definedName name="MATEND" localSheetId="0">#REF!</definedName>
    <definedName name="MATEND" localSheetId="2">#REF!</definedName>
    <definedName name="MATEND">#REF!</definedName>
    <definedName name="material_costs" localSheetId="0">#REF!</definedName>
    <definedName name="material_costs" localSheetId="2">#REF!</definedName>
    <definedName name="material_costs">#REF!</definedName>
    <definedName name="matNYbud" localSheetId="0">#REF!</definedName>
    <definedName name="matNYbud" localSheetId="2">#REF!</definedName>
    <definedName name="matNYbud">#REF!</definedName>
    <definedName name="matPYACT" localSheetId="0">#REF!</definedName>
    <definedName name="matPYACT" localSheetId="2">#REF!</definedName>
    <definedName name="matPYACT">#REF!</definedName>
    <definedName name="MATSTART" localSheetId="0">#REF!</definedName>
    <definedName name="MATSTART" localSheetId="2">#REF!</definedName>
    <definedName name="MATSTART">#REF!</definedName>
    <definedName name="MidPeak">'[2]17. Regulatory Charges'!$D$24</definedName>
    <definedName name="OffPeak">'[2]17. Regulatory Charges'!$D$23</definedName>
    <definedName name="OnPeak">'[2]17. Regulatory Charges'!$D$25</definedName>
    <definedName name="oth_beg_bud" localSheetId="0">#REF!</definedName>
    <definedName name="oth_beg_bud" localSheetId="2">#REF!</definedName>
    <definedName name="oth_beg_bud">#REF!</definedName>
    <definedName name="oth_end_bud" localSheetId="0">#REF!</definedName>
    <definedName name="oth_end_bud" localSheetId="2">#REF!</definedName>
    <definedName name="oth_end_bud">#REF!</definedName>
    <definedName name="oth12ACT" localSheetId="0">#REF!</definedName>
    <definedName name="oth12ACT" localSheetId="2">#REF!</definedName>
    <definedName name="oth12ACT">#REF!</definedName>
    <definedName name="othCYACT" localSheetId="0">#REF!</definedName>
    <definedName name="othCYACT" localSheetId="2">#REF!</definedName>
    <definedName name="othCYACT">#REF!</definedName>
    <definedName name="othCYBUD" localSheetId="0">#REF!</definedName>
    <definedName name="othCYBUD" localSheetId="2">#REF!</definedName>
    <definedName name="othCYBUD">#REF!</definedName>
    <definedName name="othCYF" localSheetId="0">#REF!</definedName>
    <definedName name="othCYF" localSheetId="2">#REF!</definedName>
    <definedName name="othCYF">#REF!</definedName>
    <definedName name="OTHEND" localSheetId="0">#REF!</definedName>
    <definedName name="OTHEND" localSheetId="2">#REF!</definedName>
    <definedName name="OTHEND">#REF!</definedName>
    <definedName name="other_costs" localSheetId="0">#REF!</definedName>
    <definedName name="other_costs" localSheetId="2">#REF!</definedName>
    <definedName name="other_costs">#REF!</definedName>
    <definedName name="OTHERBUD" localSheetId="0">#REF!</definedName>
    <definedName name="OTHERBUD" localSheetId="2">#REF!</definedName>
    <definedName name="OTHERBUD">#REF!</definedName>
    <definedName name="othNYbud" localSheetId="0">#REF!</definedName>
    <definedName name="othNYbud" localSheetId="2">#REF!</definedName>
    <definedName name="othNYbud">#REF!</definedName>
    <definedName name="othPYACT" localSheetId="0">#REF!</definedName>
    <definedName name="othPYACT" localSheetId="2">#REF!</definedName>
    <definedName name="othPYACT">#REF!</definedName>
    <definedName name="OTHSTART" localSheetId="0">#REF!</definedName>
    <definedName name="OTHSTART" localSheetId="2">#REF!</definedName>
    <definedName name="OTHSTART">#REF!</definedName>
    <definedName name="print_end" localSheetId="0">#REF!</definedName>
    <definedName name="print_end" localSheetId="2">#REF!</definedName>
    <definedName name="print_end">#REF!</definedName>
    <definedName name="RATE_CLASSES">[8]lists!$A$1:$A$104</definedName>
    <definedName name="ratebase">'[2]8. STS - Tax Change'!$N$19</definedName>
    <definedName name="ratedescription">[9]hidden1!$D$1:$D$122</definedName>
    <definedName name="RebaseYear">'[1]LDC Info'!$E$28</definedName>
    <definedName name="SALBENF" localSheetId="0">#REF!</definedName>
    <definedName name="SALBENF" localSheetId="2">#REF!</definedName>
    <definedName name="SALBENF">#REF!</definedName>
    <definedName name="salreg" localSheetId="0">#REF!</definedName>
    <definedName name="salreg" localSheetId="2">#REF!</definedName>
    <definedName name="salreg">#REF!</definedName>
    <definedName name="SALREGF" localSheetId="0">#REF!</definedName>
    <definedName name="SALREGF" localSheetId="2">#REF!</definedName>
    <definedName name="SALREGF">#REF!</definedName>
    <definedName name="SME">'[2]17. Regulatory Charges'!$D$33</definedName>
    <definedName name="StartEnd" localSheetId="0">[2]Database!#REF!</definedName>
    <definedName name="StartEnd" localSheetId="2">[2]Database!#REF!</definedName>
    <definedName name="StartEnd">[2]Database!#REF!</definedName>
    <definedName name="TEMPA" localSheetId="0">#REF!</definedName>
    <definedName name="TEMPA" localSheetId="2">#REF!</definedName>
    <definedName name="TEMPA">#REF!</definedName>
    <definedName name="TestYear">'[1]LDC Info'!$E$24</definedName>
    <definedName name="total_dept" localSheetId="0">#REF!</definedName>
    <definedName name="total_dept" localSheetId="2">#REF!</definedName>
    <definedName name="total_dept">#REF!</definedName>
    <definedName name="total_manpower" localSheetId="0">#REF!</definedName>
    <definedName name="total_manpower" localSheetId="2">#REF!</definedName>
    <definedName name="total_manpower">#REF!</definedName>
    <definedName name="total_material" localSheetId="0">#REF!</definedName>
    <definedName name="total_material" localSheetId="2">#REF!</definedName>
    <definedName name="total_material">#REF!</definedName>
    <definedName name="total_other" localSheetId="0">#REF!</definedName>
    <definedName name="total_other" localSheetId="2">#REF!</definedName>
    <definedName name="total_other">#REF!</definedName>
    <definedName name="total_transportation" localSheetId="0">#REF!</definedName>
    <definedName name="total_transportation" localSheetId="2">#REF!</definedName>
    <definedName name="total_transportation">#REF!</definedName>
    <definedName name="TRANBUD" localSheetId="0">#REF!</definedName>
    <definedName name="TRANBUD" localSheetId="2">#REF!</definedName>
    <definedName name="TRANBUD">#REF!</definedName>
    <definedName name="TRANEND" localSheetId="0">#REF!</definedName>
    <definedName name="TRANEND" localSheetId="2">#REF!</definedName>
    <definedName name="TRANEND">#REF!</definedName>
    <definedName name="transportation_costs" localSheetId="0">#REF!</definedName>
    <definedName name="transportation_costs" localSheetId="2">#REF!</definedName>
    <definedName name="transportation_costs">#REF!</definedName>
    <definedName name="TRANSTART" localSheetId="0">#REF!</definedName>
    <definedName name="TRANSTART" localSheetId="2">#REF!</definedName>
    <definedName name="TRANSTART">#REF!</definedName>
    <definedName name="trn_beg_bud" localSheetId="0">#REF!</definedName>
    <definedName name="trn_beg_bud" localSheetId="2">#REF!</definedName>
    <definedName name="trn_beg_bud">#REF!</definedName>
    <definedName name="trn_end_bud" localSheetId="0">#REF!</definedName>
    <definedName name="trn_end_bud" localSheetId="2">#REF!</definedName>
    <definedName name="trn_end_bud">#REF!</definedName>
    <definedName name="trn12ACT" localSheetId="0">#REF!</definedName>
    <definedName name="trn12ACT" localSheetId="2">#REF!</definedName>
    <definedName name="trn12ACT">#REF!</definedName>
    <definedName name="trnCYACT" localSheetId="0">#REF!</definedName>
    <definedName name="trnCYACT" localSheetId="2">#REF!</definedName>
    <definedName name="trnCYACT">#REF!</definedName>
    <definedName name="trnCYBUD" localSheetId="0">#REF!</definedName>
    <definedName name="trnCYBUD" localSheetId="2">#REF!</definedName>
    <definedName name="trnCYBUD">#REF!</definedName>
    <definedName name="trnCYF" localSheetId="0">#REF!</definedName>
    <definedName name="trnCYF" localSheetId="2">#REF!</definedName>
    <definedName name="trnCYF">#REF!</definedName>
    <definedName name="trnNYbud" localSheetId="0">#REF!</definedName>
    <definedName name="trnNYbud" localSheetId="2">#REF!</definedName>
    <definedName name="trnNYbud">#REF!</definedName>
    <definedName name="trnPYACT" localSheetId="0">#REF!</definedName>
    <definedName name="trnPYACT" localSheetId="2">#REF!</definedName>
    <definedName name="trnPYACT">#REF!</definedName>
    <definedName name="Units1" localSheetId="0">[2]lists!#REF!</definedName>
    <definedName name="Units1" localSheetId="2">[2]lists!#REF!</definedName>
    <definedName name="Units1">[2]lists!#REF!</definedName>
    <definedName name="Units2" localSheetId="0">[2]lists!#REF!</definedName>
    <definedName name="Units2" localSheetId="2">[2]lists!#REF!</definedName>
    <definedName name="Units2">[2]lists!#REF!</definedName>
    <definedName name="Utility">[3]Financials!$A$1</definedName>
    <definedName name="utitliy1">[10]Financials!$A$1</definedName>
    <definedName name="WAGBENF" localSheetId="0">#REF!</definedName>
    <definedName name="WAGBENF" localSheetId="2">#REF!</definedName>
    <definedName name="WAGBENF">#REF!</definedName>
    <definedName name="wagdob" localSheetId="0">#REF!</definedName>
    <definedName name="wagdob" localSheetId="2">#REF!</definedName>
    <definedName name="wagdob">#REF!</definedName>
    <definedName name="wagdobf" localSheetId="0">#REF!</definedName>
    <definedName name="wagdobf" localSheetId="2">#REF!</definedName>
    <definedName name="wagdobf">#REF!</definedName>
    <definedName name="wagreg" localSheetId="0">#REF!</definedName>
    <definedName name="wagreg" localSheetId="2">#REF!</definedName>
    <definedName name="wagreg">#REF!</definedName>
    <definedName name="wagregf" localSheetId="0">#REF!</definedName>
    <definedName name="wagregf" localSheetId="2">#REF!</definedName>
    <definedName name="wagregf">#REF!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2" i="3" l="1"/>
  <c r="F62" i="7" l="1"/>
  <c r="H61" i="7"/>
  <c r="I61" i="7" s="1"/>
  <c r="D28" i="7" s="1"/>
  <c r="G28" i="7" s="1"/>
  <c r="D61" i="7"/>
  <c r="C61" i="7"/>
  <c r="H60" i="7"/>
  <c r="I60" i="7" s="1"/>
  <c r="D27" i="7" s="1"/>
  <c r="G27" i="7" s="1"/>
  <c r="D60" i="7"/>
  <c r="C60" i="7"/>
  <c r="H59" i="7"/>
  <c r="I59" i="7" s="1"/>
  <c r="D26" i="7" s="1"/>
  <c r="G26" i="7" s="1"/>
  <c r="D59" i="7"/>
  <c r="C59" i="7"/>
  <c r="E59" i="7" s="1"/>
  <c r="H58" i="7"/>
  <c r="I58" i="7" s="1"/>
  <c r="D25" i="7" s="1"/>
  <c r="G25" i="7" s="1"/>
  <c r="D58" i="7"/>
  <c r="C58" i="7"/>
  <c r="H57" i="7"/>
  <c r="I57" i="7" s="1"/>
  <c r="D24" i="7" s="1"/>
  <c r="G24" i="7" s="1"/>
  <c r="D57" i="7"/>
  <c r="C57" i="7"/>
  <c r="H56" i="7"/>
  <c r="I56" i="7" s="1"/>
  <c r="D23" i="7" s="1"/>
  <c r="G23" i="7" s="1"/>
  <c r="D56" i="7"/>
  <c r="C56" i="7"/>
  <c r="H55" i="7"/>
  <c r="I55" i="7" s="1"/>
  <c r="D22" i="7" s="1"/>
  <c r="G22" i="7" s="1"/>
  <c r="D55" i="7"/>
  <c r="C55" i="7"/>
  <c r="E55" i="7" s="1"/>
  <c r="H54" i="7"/>
  <c r="I54" i="7" s="1"/>
  <c r="D21" i="7" s="1"/>
  <c r="G21" i="7" s="1"/>
  <c r="D54" i="7"/>
  <c r="C54" i="7"/>
  <c r="H53" i="7"/>
  <c r="I53" i="7" s="1"/>
  <c r="D20" i="7" s="1"/>
  <c r="G20" i="7" s="1"/>
  <c r="D53" i="7"/>
  <c r="C53" i="7"/>
  <c r="H52" i="7"/>
  <c r="I52" i="7" s="1"/>
  <c r="D19" i="7" s="1"/>
  <c r="G19" i="7" s="1"/>
  <c r="D52" i="7"/>
  <c r="C52" i="7"/>
  <c r="H51" i="7"/>
  <c r="I51" i="7" s="1"/>
  <c r="D18" i="7" s="1"/>
  <c r="G18" i="7" s="1"/>
  <c r="C51" i="7"/>
  <c r="E51" i="7" s="1"/>
  <c r="H50" i="7"/>
  <c r="I50" i="7" s="1"/>
  <c r="D17" i="7" s="1"/>
  <c r="G17" i="7" s="1"/>
  <c r="C50" i="7"/>
  <c r="F48" i="7"/>
  <c r="H47" i="7"/>
  <c r="I47" i="7" s="1"/>
  <c r="D47" i="7"/>
  <c r="C47" i="7"/>
  <c r="H46" i="7"/>
  <c r="I46" i="7" s="1"/>
  <c r="D15" i="7" s="1"/>
  <c r="G15" i="7" s="1"/>
  <c r="C46" i="7"/>
  <c r="E46" i="7" s="1"/>
  <c r="G46" i="7" s="1"/>
  <c r="H45" i="7"/>
  <c r="I45" i="7" s="1"/>
  <c r="D14" i="7" s="1"/>
  <c r="G14" i="7" s="1"/>
  <c r="C45" i="7"/>
  <c r="E45" i="7" s="1"/>
  <c r="H44" i="7"/>
  <c r="I44" i="7" s="1"/>
  <c r="D13" i="7" s="1"/>
  <c r="G13" i="7" s="1"/>
  <c r="D44" i="7"/>
  <c r="C44" i="7"/>
  <c r="E44" i="7" s="1"/>
  <c r="G44" i="7" s="1"/>
  <c r="H43" i="7"/>
  <c r="I43" i="7" s="1"/>
  <c r="D12" i="7" s="1"/>
  <c r="G12" i="7" s="1"/>
  <c r="D43" i="7"/>
  <c r="C43" i="7"/>
  <c r="H42" i="7"/>
  <c r="I42" i="7" s="1"/>
  <c r="D11" i="7" s="1"/>
  <c r="G11" i="7" s="1"/>
  <c r="D42" i="7"/>
  <c r="C42" i="7"/>
  <c r="H41" i="7"/>
  <c r="I41" i="7" s="1"/>
  <c r="D10" i="7" s="1"/>
  <c r="G10" i="7" s="1"/>
  <c r="D41" i="7"/>
  <c r="C41" i="7"/>
  <c r="H40" i="7"/>
  <c r="I40" i="7" s="1"/>
  <c r="D9" i="7" s="1"/>
  <c r="G9" i="7" s="1"/>
  <c r="D40" i="7"/>
  <c r="C40" i="7"/>
  <c r="H39" i="7"/>
  <c r="I39" i="7" s="1"/>
  <c r="D8" i="7" s="1"/>
  <c r="G8" i="7" s="1"/>
  <c r="C39" i="7"/>
  <c r="E39" i="7" s="1"/>
  <c r="H38" i="7"/>
  <c r="I38" i="7" s="1"/>
  <c r="D7" i="7" s="1"/>
  <c r="G7" i="7" s="1"/>
  <c r="D38" i="7"/>
  <c r="C38" i="7"/>
  <c r="H37" i="7"/>
  <c r="I37" i="7" s="1"/>
  <c r="D6" i="7" s="1"/>
  <c r="G6" i="7" s="1"/>
  <c r="D37" i="7"/>
  <c r="C37" i="7"/>
  <c r="H36" i="7"/>
  <c r="I36" i="7" s="1"/>
  <c r="D5" i="7" s="1"/>
  <c r="G5" i="7" s="1"/>
  <c r="C36" i="7"/>
  <c r="E36" i="7" s="1"/>
  <c r="C28" i="7"/>
  <c r="F28" i="7" s="1"/>
  <c r="C27" i="7"/>
  <c r="F27" i="7" s="1"/>
  <c r="C26" i="7"/>
  <c r="F26" i="7" s="1"/>
  <c r="C25" i="7"/>
  <c r="F25" i="7" s="1"/>
  <c r="C24" i="7"/>
  <c r="F24" i="7" s="1"/>
  <c r="C23" i="7"/>
  <c r="F23" i="7" s="1"/>
  <c r="C22" i="7"/>
  <c r="F22" i="7" s="1"/>
  <c r="C21" i="7"/>
  <c r="F21" i="7" s="1"/>
  <c r="C20" i="7"/>
  <c r="F20" i="7" s="1"/>
  <c r="C19" i="7"/>
  <c r="F19" i="7" s="1"/>
  <c r="C18" i="7"/>
  <c r="F18" i="7" s="1"/>
  <c r="C17" i="7"/>
  <c r="F17" i="7" s="1"/>
  <c r="D16" i="7"/>
  <c r="G16" i="7" s="1"/>
  <c r="C16" i="7"/>
  <c r="F16" i="7" s="1"/>
  <c r="C15" i="7"/>
  <c r="F15" i="7" s="1"/>
  <c r="C14" i="7"/>
  <c r="F14" i="7" s="1"/>
  <c r="C13" i="7"/>
  <c r="F13" i="7" s="1"/>
  <c r="C12" i="7"/>
  <c r="F12" i="7" s="1"/>
  <c r="C11" i="7"/>
  <c r="F11" i="7" s="1"/>
  <c r="C10" i="7"/>
  <c r="F10" i="7" s="1"/>
  <c r="C9" i="7"/>
  <c r="F9" i="7" s="1"/>
  <c r="C8" i="7"/>
  <c r="F8" i="7" s="1"/>
  <c r="C7" i="7"/>
  <c r="F7" i="7" s="1"/>
  <c r="C6" i="7"/>
  <c r="F6" i="7" s="1"/>
  <c r="C5" i="7"/>
  <c r="F5" i="7" s="1"/>
  <c r="E38" i="7" l="1"/>
  <c r="E47" i="7"/>
  <c r="J47" i="7" s="1"/>
  <c r="E52" i="7"/>
  <c r="G52" i="7" s="1"/>
  <c r="E56" i="7"/>
  <c r="G56" i="7" s="1"/>
  <c r="E60" i="7"/>
  <c r="E40" i="7"/>
  <c r="J40" i="7" s="1"/>
  <c r="J51" i="7"/>
  <c r="E61" i="7"/>
  <c r="G61" i="7" s="1"/>
  <c r="J38" i="7"/>
  <c r="J59" i="7"/>
  <c r="E37" i="7"/>
  <c r="J37" i="7" s="1"/>
  <c r="E54" i="7"/>
  <c r="G54" i="7" s="1"/>
  <c r="E58" i="7"/>
  <c r="G58" i="7" s="1"/>
  <c r="D48" i="7"/>
  <c r="J55" i="7"/>
  <c r="E57" i="7"/>
  <c r="G57" i="7" s="1"/>
  <c r="J44" i="7"/>
  <c r="G47" i="7"/>
  <c r="E53" i="7"/>
  <c r="G53" i="7" s="1"/>
  <c r="G59" i="7"/>
  <c r="E41" i="7"/>
  <c r="E43" i="7"/>
  <c r="J43" i="7" s="1"/>
  <c r="D62" i="7"/>
  <c r="G55" i="7"/>
  <c r="G39" i="7"/>
  <c r="J39" i="7"/>
  <c r="G36" i="7"/>
  <c r="J36" i="7"/>
  <c r="G45" i="7"/>
  <c r="J45" i="7"/>
  <c r="E50" i="7"/>
  <c r="C62" i="7"/>
  <c r="F63" i="7" s="1"/>
  <c r="G51" i="7"/>
  <c r="G38" i="7"/>
  <c r="J46" i="7"/>
  <c r="E42" i="7"/>
  <c r="J52" i="7"/>
  <c r="G60" i="7"/>
  <c r="J60" i="7"/>
  <c r="J56" i="7" l="1"/>
  <c r="J61" i="7"/>
  <c r="G40" i="7"/>
  <c r="J54" i="7"/>
  <c r="G43" i="7"/>
  <c r="J58" i="7"/>
  <c r="G37" i="7"/>
  <c r="E48" i="7"/>
  <c r="J57" i="7"/>
  <c r="J53" i="7"/>
  <c r="J41" i="7"/>
  <c r="G41" i="7"/>
  <c r="G50" i="7"/>
  <c r="G62" i="7" s="1"/>
  <c r="J50" i="7"/>
  <c r="E62" i="7"/>
  <c r="G42" i="7"/>
  <c r="G48" i="7" s="1"/>
  <c r="J42" i="7"/>
  <c r="M31" i="5" l="1"/>
  <c r="M27" i="5"/>
  <c r="G27" i="5"/>
  <c r="P25" i="5"/>
  <c r="I25" i="5"/>
  <c r="H25" i="5"/>
  <c r="R25" i="5" s="1"/>
  <c r="C25" i="5"/>
  <c r="B25" i="5"/>
  <c r="P24" i="5"/>
  <c r="I24" i="5"/>
  <c r="H24" i="5"/>
  <c r="R24" i="5" s="1"/>
  <c r="C24" i="5"/>
  <c r="D25" i="5" s="1"/>
  <c r="B24" i="5"/>
  <c r="P23" i="5"/>
  <c r="I23" i="5"/>
  <c r="H23" i="5"/>
  <c r="C23" i="5"/>
  <c r="D24" i="5" s="1"/>
  <c r="B23" i="5"/>
  <c r="P22" i="5"/>
  <c r="I22" i="5"/>
  <c r="H22" i="5"/>
  <c r="R22" i="5" s="1"/>
  <c r="C22" i="5"/>
  <c r="D23" i="5" s="1"/>
  <c r="B22" i="5"/>
  <c r="P21" i="5"/>
  <c r="I21" i="5"/>
  <c r="H21" i="5"/>
  <c r="R21" i="5" s="1"/>
  <c r="C21" i="5"/>
  <c r="D22" i="5" s="1"/>
  <c r="B21" i="5"/>
  <c r="P20" i="5"/>
  <c r="I20" i="5"/>
  <c r="H20" i="5"/>
  <c r="R20" i="5" s="1"/>
  <c r="C20" i="5"/>
  <c r="D21" i="5" s="1"/>
  <c r="B20" i="5"/>
  <c r="P19" i="5"/>
  <c r="I19" i="5"/>
  <c r="H19" i="5"/>
  <c r="C19" i="5"/>
  <c r="B19" i="5"/>
  <c r="P18" i="5"/>
  <c r="I18" i="5"/>
  <c r="H18" i="5"/>
  <c r="R18" i="5" s="1"/>
  <c r="C18" i="5"/>
  <c r="B18" i="5"/>
  <c r="P17" i="5"/>
  <c r="I17" i="5"/>
  <c r="H17" i="5"/>
  <c r="R17" i="5" s="1"/>
  <c r="C17" i="5"/>
  <c r="B17" i="5"/>
  <c r="P16" i="5"/>
  <c r="I16" i="5"/>
  <c r="H16" i="5"/>
  <c r="R16" i="5" s="1"/>
  <c r="C16" i="5"/>
  <c r="B16" i="5"/>
  <c r="P15" i="5"/>
  <c r="I15" i="5"/>
  <c r="H15" i="5"/>
  <c r="R15" i="5" s="1"/>
  <c r="C15" i="5"/>
  <c r="B15" i="5"/>
  <c r="P14" i="5"/>
  <c r="I14" i="5"/>
  <c r="H14" i="5"/>
  <c r="D14" i="5"/>
  <c r="C14" i="5"/>
  <c r="E14" i="5" s="1"/>
  <c r="B14" i="5"/>
  <c r="J7" i="5"/>
  <c r="J5" i="5"/>
  <c r="J4" i="5"/>
  <c r="J6" i="5" s="1"/>
  <c r="Q14" i="5" l="1"/>
  <c r="Q18" i="5"/>
  <c r="Q16" i="5"/>
  <c r="Q20" i="5"/>
  <c r="Q17" i="5"/>
  <c r="J18" i="5"/>
  <c r="Q21" i="5"/>
  <c r="J22" i="5"/>
  <c r="J23" i="5"/>
  <c r="Q23" i="5"/>
  <c r="L5" i="5"/>
  <c r="Q15" i="5"/>
  <c r="J19" i="5"/>
  <c r="F21" i="5"/>
  <c r="K21" i="5" s="1"/>
  <c r="J21" i="5"/>
  <c r="Q24" i="5"/>
  <c r="F25" i="5"/>
  <c r="L25" i="5" s="1"/>
  <c r="J25" i="5"/>
  <c r="L7" i="5"/>
  <c r="H26" i="5"/>
  <c r="B26" i="5"/>
  <c r="J17" i="5"/>
  <c r="Q19" i="5"/>
  <c r="Q22" i="5"/>
  <c r="Q25" i="5"/>
  <c r="R19" i="5"/>
  <c r="I26" i="5"/>
  <c r="R14" i="5"/>
  <c r="J16" i="5"/>
  <c r="J20" i="5"/>
  <c r="J24" i="5"/>
  <c r="G25" i="5"/>
  <c r="R23" i="5"/>
  <c r="J14" i="5"/>
  <c r="J15" i="5"/>
  <c r="O14" i="5"/>
  <c r="F22" i="5"/>
  <c r="L22" i="5" s="1"/>
  <c r="L21" i="5"/>
  <c r="E22" i="5"/>
  <c r="O22" i="5"/>
  <c r="F24" i="5"/>
  <c r="E24" i="5"/>
  <c r="O24" i="5"/>
  <c r="E23" i="5"/>
  <c r="O23" i="5"/>
  <c r="L6" i="5"/>
  <c r="J8" i="5"/>
  <c r="L8" i="5" s="1"/>
  <c r="E21" i="5"/>
  <c r="O21" i="5"/>
  <c r="F23" i="5"/>
  <c r="E25" i="5"/>
  <c r="O25" i="5"/>
  <c r="F14" i="5"/>
  <c r="G22" i="5"/>
  <c r="G23" i="5"/>
  <c r="G24" i="5"/>
  <c r="C26" i="5"/>
  <c r="P26" i="5"/>
  <c r="G21" i="5"/>
  <c r="D15" i="5"/>
  <c r="O15" i="5" s="1"/>
  <c r="D16" i="5"/>
  <c r="O16" i="5" s="1"/>
  <c r="D17" i="5"/>
  <c r="O17" i="5" s="1"/>
  <c r="D18" i="5"/>
  <c r="O18" i="5" s="1"/>
  <c r="D19" i="5"/>
  <c r="O19" i="5" s="1"/>
  <c r="D20" i="5"/>
  <c r="G20" i="5" s="1"/>
  <c r="G14" i="5"/>
  <c r="B28" i="5" l="1"/>
  <c r="K25" i="5"/>
  <c r="M25" i="5" s="1"/>
  <c r="K22" i="5"/>
  <c r="G16" i="5"/>
  <c r="J26" i="5"/>
  <c r="F20" i="5"/>
  <c r="K20" i="5" s="1"/>
  <c r="E16" i="5"/>
  <c r="E17" i="5"/>
  <c r="G15" i="5"/>
  <c r="L20" i="5"/>
  <c r="K14" i="5"/>
  <c r="L14" i="5"/>
  <c r="F18" i="5"/>
  <c r="F16" i="5"/>
  <c r="M21" i="5"/>
  <c r="E19" i="5"/>
  <c r="L23" i="5"/>
  <c r="K23" i="5"/>
  <c r="F15" i="5"/>
  <c r="L24" i="5"/>
  <c r="K24" i="5"/>
  <c r="M22" i="5"/>
  <c r="G19" i="5"/>
  <c r="E20" i="5"/>
  <c r="O20" i="5"/>
  <c r="O26" i="5" s="1"/>
  <c r="G18" i="5"/>
  <c r="G17" i="5"/>
  <c r="F19" i="5"/>
  <c r="F17" i="5"/>
  <c r="E15" i="5"/>
  <c r="E18" i="5"/>
  <c r="D26" i="5"/>
  <c r="E26" i="5" s="1"/>
  <c r="G26" i="5" l="1"/>
  <c r="G28" i="5" s="1"/>
  <c r="F26" i="5"/>
  <c r="F28" i="5" s="1"/>
  <c r="L16" i="5"/>
  <c r="K16" i="5"/>
  <c r="M20" i="5"/>
  <c r="L17" i="5"/>
  <c r="K17" i="5"/>
  <c r="M23" i="5"/>
  <c r="L18" i="5"/>
  <c r="K18" i="5"/>
  <c r="M14" i="5"/>
  <c r="K15" i="5"/>
  <c r="L15" i="5"/>
  <c r="L19" i="5"/>
  <c r="K19" i="5"/>
  <c r="M24" i="5"/>
  <c r="M18" i="5" l="1"/>
  <c r="K26" i="5"/>
  <c r="O27" i="5" s="1"/>
  <c r="L26" i="5"/>
  <c r="M19" i="5"/>
  <c r="M16" i="5"/>
  <c r="M15" i="5"/>
  <c r="M17" i="5"/>
  <c r="M26" i="5" l="1"/>
  <c r="M28" i="5" s="1"/>
  <c r="M32" i="5" s="1"/>
  <c r="D27" i="4"/>
  <c r="E27" i="4" s="1"/>
  <c r="D26" i="4"/>
  <c r="E26" i="4" s="1"/>
  <c r="F26" i="4" s="1"/>
  <c r="D25" i="4"/>
  <c r="E25" i="4" s="1"/>
  <c r="F25" i="4" s="1"/>
  <c r="D24" i="4"/>
  <c r="E24" i="4" s="1"/>
  <c r="F24" i="4" s="1"/>
  <c r="D23" i="4"/>
  <c r="E23" i="4" s="1"/>
  <c r="F23" i="4" s="1"/>
  <c r="D22" i="4"/>
  <c r="C22" i="4"/>
  <c r="B22" i="4"/>
  <c r="D21" i="4"/>
  <c r="C21" i="4"/>
  <c r="B21" i="4"/>
  <c r="D20" i="4"/>
  <c r="C20" i="4"/>
  <c r="B20" i="4"/>
  <c r="D19" i="4"/>
  <c r="C19" i="4"/>
  <c r="B19" i="4"/>
  <c r="D18" i="4"/>
  <c r="C18" i="4"/>
  <c r="B18" i="4"/>
  <c r="D17" i="4"/>
  <c r="C17" i="4"/>
  <c r="B17" i="4"/>
  <c r="D16" i="4"/>
  <c r="C16" i="4"/>
  <c r="B16" i="4"/>
  <c r="D15" i="4"/>
  <c r="C15" i="4"/>
  <c r="B15" i="4"/>
  <c r="H15" i="4" s="1"/>
  <c r="D14" i="4"/>
  <c r="C14" i="4"/>
  <c r="B14" i="4"/>
  <c r="D13" i="4"/>
  <c r="C13" i="4"/>
  <c r="B13" i="4"/>
  <c r="D12" i="4"/>
  <c r="C12" i="4"/>
  <c r="B12" i="4"/>
  <c r="D11" i="4"/>
  <c r="C11" i="4"/>
  <c r="B11" i="4"/>
  <c r="D10" i="4"/>
  <c r="C10" i="4"/>
  <c r="B10" i="4"/>
  <c r="D9" i="4"/>
  <c r="C9" i="4"/>
  <c r="B9" i="4"/>
  <c r="D8" i="4"/>
  <c r="C8" i="4"/>
  <c r="B8" i="4"/>
  <c r="D7" i="4"/>
  <c r="C7" i="4"/>
  <c r="B7" i="4"/>
  <c r="D6" i="4"/>
  <c r="C6" i="4"/>
  <c r="B6" i="4"/>
  <c r="D5" i="4"/>
  <c r="C5" i="4"/>
  <c r="E5" i="4" s="1"/>
  <c r="B5" i="4"/>
  <c r="D4" i="4"/>
  <c r="C4" i="4"/>
  <c r="B4" i="4"/>
  <c r="D3" i="4"/>
  <c r="C3" i="4"/>
  <c r="B3" i="4"/>
  <c r="H3" i="4" s="1"/>
  <c r="L83" i="3"/>
  <c r="M83" i="3" s="1"/>
  <c r="F50" i="3"/>
  <c r="E50" i="3"/>
  <c r="C50" i="3"/>
  <c r="B50" i="3"/>
  <c r="F49" i="3"/>
  <c r="E49" i="3"/>
  <c r="C49" i="3"/>
  <c r="B49" i="3"/>
  <c r="F48" i="3"/>
  <c r="E48" i="3"/>
  <c r="C48" i="3"/>
  <c r="B48" i="3"/>
  <c r="F47" i="3"/>
  <c r="E47" i="3"/>
  <c r="C47" i="3"/>
  <c r="B47" i="3"/>
  <c r="F46" i="3"/>
  <c r="E46" i="3"/>
  <c r="C46" i="3"/>
  <c r="B46" i="3"/>
  <c r="D46" i="3" s="1"/>
  <c r="H46" i="3" s="1"/>
  <c r="F45" i="3"/>
  <c r="E45" i="3"/>
  <c r="C45" i="3"/>
  <c r="B45" i="3"/>
  <c r="D45" i="3" s="1"/>
  <c r="H45" i="3" s="1"/>
  <c r="F44" i="3"/>
  <c r="E44" i="3"/>
  <c r="C44" i="3"/>
  <c r="B44" i="3"/>
  <c r="D44" i="3" s="1"/>
  <c r="H44" i="3" s="1"/>
  <c r="F43" i="3"/>
  <c r="E43" i="3"/>
  <c r="C43" i="3"/>
  <c r="B43" i="3"/>
  <c r="F42" i="3"/>
  <c r="E42" i="3"/>
  <c r="C42" i="3"/>
  <c r="B42" i="3"/>
  <c r="F41" i="3"/>
  <c r="E41" i="3"/>
  <c r="C41" i="3"/>
  <c r="B41" i="3"/>
  <c r="F40" i="3"/>
  <c r="E40" i="3"/>
  <c r="C40" i="3"/>
  <c r="B40" i="3"/>
  <c r="F39" i="3"/>
  <c r="E39" i="3"/>
  <c r="C39" i="3"/>
  <c r="B39" i="3"/>
  <c r="C36" i="3"/>
  <c r="B36" i="3"/>
  <c r="J32" i="3"/>
  <c r="F31" i="3"/>
  <c r="E31" i="3"/>
  <c r="B31" i="3"/>
  <c r="F30" i="3"/>
  <c r="E30" i="3"/>
  <c r="B30" i="3"/>
  <c r="F25" i="3"/>
  <c r="E25" i="3"/>
  <c r="B25" i="3"/>
  <c r="H25" i="3" s="1"/>
  <c r="F24" i="3"/>
  <c r="E24" i="3"/>
  <c r="B24" i="3"/>
  <c r="H24" i="3" s="1"/>
  <c r="F23" i="3"/>
  <c r="E23" i="3"/>
  <c r="B23" i="3"/>
  <c r="F18" i="3"/>
  <c r="E18" i="3"/>
  <c r="B18" i="3"/>
  <c r="F17" i="3"/>
  <c r="E17" i="3"/>
  <c r="B17" i="3"/>
  <c r="H17" i="3" s="1"/>
  <c r="F16" i="3"/>
  <c r="E16" i="3"/>
  <c r="B16" i="3"/>
  <c r="H16" i="3" s="1"/>
  <c r="F11" i="3"/>
  <c r="E11" i="3"/>
  <c r="B11" i="3"/>
  <c r="F10" i="3"/>
  <c r="E10" i="3"/>
  <c r="B10" i="3"/>
  <c r="F9" i="3"/>
  <c r="E9" i="3"/>
  <c r="B9" i="3"/>
  <c r="F4" i="3"/>
  <c r="E4" i="3"/>
  <c r="B4" i="3"/>
  <c r="H4" i="3" s="1"/>
  <c r="F3" i="3"/>
  <c r="E3" i="3"/>
  <c r="B3" i="3"/>
  <c r="F2" i="3"/>
  <c r="E2" i="3"/>
  <c r="B2" i="3"/>
  <c r="H3" i="3" l="1"/>
  <c r="H23" i="3"/>
  <c r="H11" i="3"/>
  <c r="H10" i="3"/>
  <c r="H18" i="3"/>
  <c r="H30" i="3"/>
  <c r="E9" i="4"/>
  <c r="F9" i="4" s="1"/>
  <c r="E13" i="4"/>
  <c r="F13" i="4" s="1"/>
  <c r="E22" i="4"/>
  <c r="G2" i="3"/>
  <c r="C51" i="3"/>
  <c r="D48" i="3"/>
  <c r="H48" i="3" s="1"/>
  <c r="D49" i="3"/>
  <c r="H49" i="3" s="1"/>
  <c r="D50" i="3"/>
  <c r="H50" i="3" s="1"/>
  <c r="F5" i="4"/>
  <c r="E6" i="4"/>
  <c r="F6" i="4" s="1"/>
  <c r="E10" i="4"/>
  <c r="F10" i="4" s="1"/>
  <c r="E14" i="4"/>
  <c r="F14" i="4" s="1"/>
  <c r="E4" i="4"/>
  <c r="F4" i="4" s="1"/>
  <c r="E20" i="4"/>
  <c r="F20" i="4" s="1"/>
  <c r="G30" i="3"/>
  <c r="I30" i="3" s="1"/>
  <c r="D39" i="3"/>
  <c r="H39" i="3" s="1"/>
  <c r="D42" i="3"/>
  <c r="H42" i="3" s="1"/>
  <c r="E18" i="4"/>
  <c r="F18" i="4" s="1"/>
  <c r="G50" i="3"/>
  <c r="B12" i="3"/>
  <c r="E3" i="4"/>
  <c r="F3" i="4" s="1"/>
  <c r="I8" i="4" s="1"/>
  <c r="E15" i="4"/>
  <c r="F15" i="4" s="1"/>
  <c r="I7" i="4" s="1"/>
  <c r="B5" i="3"/>
  <c r="B33" i="3"/>
  <c r="D43" i="3"/>
  <c r="H43" i="3" s="1"/>
  <c r="G11" i="3"/>
  <c r="I11" i="3" s="1"/>
  <c r="G16" i="3"/>
  <c r="I16" i="3" s="1"/>
  <c r="D47" i="3"/>
  <c r="H47" i="3" s="1"/>
  <c r="E8" i="4"/>
  <c r="F8" i="4" s="1"/>
  <c r="E12" i="4"/>
  <c r="F12" i="4" s="1"/>
  <c r="B26" i="3"/>
  <c r="G4" i="3"/>
  <c r="I4" i="3" s="1"/>
  <c r="G9" i="3"/>
  <c r="G24" i="3"/>
  <c r="I24" i="3" s="1"/>
  <c r="J24" i="3" s="1"/>
  <c r="G25" i="3"/>
  <c r="I25" i="3" s="1"/>
  <c r="J25" i="3" s="1"/>
  <c r="B51" i="3"/>
  <c r="D41" i="3"/>
  <c r="H41" i="3" s="1"/>
  <c r="E7" i="4"/>
  <c r="F7" i="4" s="1"/>
  <c r="E11" i="4"/>
  <c r="F11" i="4" s="1"/>
  <c r="E19" i="4"/>
  <c r="F19" i="4" s="1"/>
  <c r="E17" i="4"/>
  <c r="F17" i="4" s="1"/>
  <c r="F22" i="4"/>
  <c r="E16" i="4"/>
  <c r="F16" i="4" s="1"/>
  <c r="E21" i="4"/>
  <c r="F21" i="4" s="1"/>
  <c r="F27" i="4"/>
  <c r="I24" i="4" s="1"/>
  <c r="G47" i="3"/>
  <c r="G46" i="3"/>
  <c r="J46" i="3" s="1"/>
  <c r="G44" i="3"/>
  <c r="I44" i="3" s="1"/>
  <c r="G40" i="3"/>
  <c r="G45" i="3"/>
  <c r="J45" i="3" s="1"/>
  <c r="H26" i="3"/>
  <c r="G48" i="3"/>
  <c r="G41" i="3"/>
  <c r="H19" i="3"/>
  <c r="G42" i="3"/>
  <c r="G43" i="3"/>
  <c r="J50" i="3"/>
  <c r="I50" i="3"/>
  <c r="G3" i="3"/>
  <c r="I3" i="3" s="1"/>
  <c r="G10" i="3"/>
  <c r="G18" i="3"/>
  <c r="B19" i="3"/>
  <c r="G23" i="3"/>
  <c r="D40" i="3"/>
  <c r="H2" i="3"/>
  <c r="H9" i="3"/>
  <c r="G17" i="3"/>
  <c r="I17" i="3" s="1"/>
  <c r="J17" i="3" s="1"/>
  <c r="G31" i="3"/>
  <c r="H31" i="3"/>
  <c r="G33" i="3" l="1"/>
  <c r="J43" i="3"/>
  <c r="J42" i="3"/>
  <c r="I48" i="3"/>
  <c r="I15" i="4"/>
  <c r="J15" i="4" s="1"/>
  <c r="I46" i="3"/>
  <c r="I41" i="3"/>
  <c r="J48" i="3"/>
  <c r="I9" i="4"/>
  <c r="I47" i="3"/>
  <c r="I3" i="4"/>
  <c r="J3" i="4" s="1"/>
  <c r="J47" i="3"/>
  <c r="G19" i="3"/>
  <c r="J41" i="3"/>
  <c r="I25" i="4"/>
  <c r="I26" i="4" s="1"/>
  <c r="G12" i="3"/>
  <c r="I42" i="3"/>
  <c r="I45" i="3"/>
  <c r="G26" i="3"/>
  <c r="I26" i="3" s="1"/>
  <c r="I10" i="3"/>
  <c r="J44" i="3"/>
  <c r="I18" i="3"/>
  <c r="J18" i="3" s="1"/>
  <c r="J16" i="3"/>
  <c r="I43" i="3"/>
  <c r="G49" i="3"/>
  <c r="I31" i="3"/>
  <c r="J31" i="3" s="1"/>
  <c r="H5" i="3"/>
  <c r="I2" i="3"/>
  <c r="I6" i="3" s="1"/>
  <c r="H40" i="3"/>
  <c r="D51" i="3"/>
  <c r="J30" i="3"/>
  <c r="I23" i="3"/>
  <c r="G5" i="3"/>
  <c r="G39" i="3"/>
  <c r="I9" i="3"/>
  <c r="H12" i="3"/>
  <c r="I12" i="3" s="1"/>
  <c r="I19" i="3"/>
  <c r="H33" i="3"/>
  <c r="I33" i="3" s="1"/>
  <c r="I13" i="3" l="1"/>
  <c r="J13" i="3" s="1"/>
  <c r="I34" i="3"/>
  <c r="I5" i="3"/>
  <c r="I20" i="3"/>
  <c r="J6" i="3"/>
  <c r="G51" i="3"/>
  <c r="J39" i="3"/>
  <c r="I39" i="3"/>
  <c r="I27" i="3"/>
  <c r="J23" i="3"/>
  <c r="J40" i="3"/>
  <c r="I40" i="3"/>
  <c r="H51" i="3"/>
  <c r="J49" i="3"/>
  <c r="I49" i="3"/>
  <c r="I51" i="3" l="1"/>
  <c r="I52" i="3"/>
</calcChain>
</file>

<file path=xl/sharedStrings.xml><?xml version="1.0" encoding="utf-8"?>
<sst xmlns="http://schemas.openxmlformats.org/spreadsheetml/2006/main" count="207" uniqueCount="126">
  <si>
    <t>V2</t>
  </si>
  <si>
    <t xml:space="preserve">Input cells </t>
  </si>
  <si>
    <t>Allocation Method for Class B RSVA-Global Adjustment.</t>
  </si>
  <si>
    <t>IRM Total Metered</t>
  </si>
  <si>
    <t>kWh</t>
  </si>
  <si>
    <t>remove wmp</t>
  </si>
  <si>
    <t xml:space="preserve">IRM RPP </t>
  </si>
  <si>
    <t>IRM Non RPP</t>
  </si>
  <si>
    <t>remove WMP</t>
  </si>
  <si>
    <t>IRM Class A</t>
  </si>
  <si>
    <t>IRM Net Class B</t>
  </si>
  <si>
    <t>Class B (Non RPP and Non Class A) RSVA GA Analysis - Allocation Method</t>
  </si>
  <si>
    <t>Billed Class B Non-RPP Spot</t>
  </si>
  <si>
    <t>Actual Month</t>
  </si>
  <si>
    <t>Previous Month</t>
  </si>
  <si>
    <t>UBR trued-up</t>
  </si>
  <si>
    <t>kWh True-up</t>
  </si>
  <si>
    <t>UBR true-up</t>
  </si>
  <si>
    <t>First Estimate GA Rate</t>
  </si>
  <si>
    <t>Actual  GA Rate</t>
  </si>
  <si>
    <t>Retail - Final</t>
  </si>
  <si>
    <t>Class B Non-RPP</t>
  </si>
  <si>
    <t>Est. Variance</t>
  </si>
  <si>
    <t>kWh *</t>
  </si>
  <si>
    <t>Unbilled kWh</t>
  </si>
  <si>
    <t>$</t>
  </si>
  <si>
    <t>$/kWh</t>
  </si>
  <si>
    <t>@ 1st Estimate GA</t>
  </si>
  <si>
    <t>@ Actual GA</t>
  </si>
  <si>
    <t>Retail less Final</t>
  </si>
  <si>
    <t>M=N+BxG-(CxH at previous month rate)</t>
  </si>
  <si>
    <t>N</t>
  </si>
  <si>
    <t>A</t>
  </si>
  <si>
    <t>B</t>
  </si>
  <si>
    <t>C</t>
  </si>
  <si>
    <t>D=B-C</t>
  </si>
  <si>
    <t>E=A+B-C</t>
  </si>
  <si>
    <t>F</t>
  </si>
  <si>
    <t>G</t>
  </si>
  <si>
    <t>H</t>
  </si>
  <si>
    <t>I=G-H</t>
  </si>
  <si>
    <t>J=E x G</t>
  </si>
  <si>
    <t>K=E x H</t>
  </si>
  <si>
    <t>L=K-J</t>
  </si>
  <si>
    <t>Billed 1st estimate (query)+UBR true-up</t>
  </si>
  <si>
    <t>Query - Billed</t>
  </si>
  <si>
    <t>Billed Average Rate</t>
  </si>
  <si>
    <t>1st estimate</t>
  </si>
  <si>
    <t>2017 IRM Rate Continuity Schedule Amount</t>
  </si>
  <si>
    <t>Difference</t>
  </si>
  <si>
    <t>A-B</t>
  </si>
  <si>
    <t>LDC's Materiality Threshold</t>
  </si>
  <si>
    <t>Reconciling Items</t>
  </si>
  <si>
    <t>May</t>
  </si>
  <si>
    <t>Kwh submitted</t>
  </si>
  <si>
    <t>Estimated GA Rate</t>
  </si>
  <si>
    <t>Actual GA Rate</t>
  </si>
  <si>
    <t>Estimated GA Amount</t>
  </si>
  <si>
    <t>Actual GA Amount</t>
  </si>
  <si>
    <t>True-Up</t>
  </si>
  <si>
    <t>October</t>
  </si>
  <si>
    <t>November</t>
  </si>
  <si>
    <t>December</t>
  </si>
  <si>
    <t>Total</t>
  </si>
  <si>
    <t>Included in the 2016 balance and disposed in 2018 IRM</t>
  </si>
  <si>
    <t>January</t>
  </si>
  <si>
    <t>February</t>
  </si>
  <si>
    <t>March</t>
  </si>
  <si>
    <t>payment to IESO</t>
  </si>
  <si>
    <t>Payment from IESO</t>
  </si>
  <si>
    <t>April</t>
  </si>
  <si>
    <t>June</t>
  </si>
  <si>
    <t>July</t>
  </si>
  <si>
    <t>August</t>
  </si>
  <si>
    <t>September</t>
  </si>
  <si>
    <t>Actual UBR kWh</t>
  </si>
  <si>
    <t>kWh Actual (accrued for UBR)</t>
  </si>
  <si>
    <t>In blue table below</t>
  </si>
  <si>
    <t>Actual UBR Billed (latter half of load month) kWh</t>
  </si>
  <si>
    <t>Settled Amount including initial true up</t>
  </si>
  <si>
    <t>Actual Billed (load month) GA Amount</t>
  </si>
  <si>
    <t>Actual True-Up [$] based on Actual UBR minus estimated UBR</t>
  </si>
  <si>
    <t>2017 less 2016</t>
  </si>
  <si>
    <t>Month</t>
  </si>
  <si>
    <t>UBR Customers with Retailer UBR $</t>
  </si>
  <si>
    <t>UBR Customers with Retailer UBR kWh</t>
  </si>
  <si>
    <t>GA 1st estimate</t>
  </si>
  <si>
    <t>UBR Cust. With Retailer kWh @ 1st estimate</t>
  </si>
  <si>
    <t>D = B x C</t>
  </si>
  <si>
    <t>E = A - D</t>
  </si>
  <si>
    <t>True-up @ average</t>
  </si>
  <si>
    <t>True-up @ 1st Estimate</t>
  </si>
  <si>
    <t>Diff.</t>
  </si>
  <si>
    <t>Add: Dec 2016</t>
  </si>
  <si>
    <t>Less: Dec 2015</t>
  </si>
  <si>
    <t>Began using GA 1st estimate for July UBR.</t>
  </si>
  <si>
    <t>Add: Dec 2017</t>
  </si>
  <si>
    <t>Less: Dec 2016</t>
  </si>
  <si>
    <t>http://www.ieso.ca/en/sector-participants/settlements/global-adjustment-for-class-b</t>
  </si>
  <si>
    <t>2017 Class B GA Rate Comparison</t>
  </si>
  <si>
    <t>IESO Invoice 148 Class B GA Rate (less embedded gen)</t>
  </si>
  <si>
    <t>IESO Invoice 148 Class B GA Rate (incl. embedded gen)</t>
  </si>
  <si>
    <t>IESO Actual GA Rate on website</t>
  </si>
  <si>
    <t>Difference 1</t>
  </si>
  <si>
    <t>Difference 2</t>
  </si>
  <si>
    <t>D = A - C</t>
  </si>
  <si>
    <t>E = B - C</t>
  </si>
  <si>
    <t>Guelph Hydro STPP &amp; IESO Invoice GA Calculation</t>
  </si>
  <si>
    <t>STPP 148 Detail</t>
  </si>
  <si>
    <t>STPP 148 Adjustments</t>
  </si>
  <si>
    <t>STPP Total 148</t>
  </si>
  <si>
    <t>148 per IESO Invoice</t>
  </si>
  <si>
    <t>148 Difference</t>
  </si>
  <si>
    <t>STPP Class B + Embedded Generation [MWh]</t>
  </si>
  <si>
    <t>IESO Invoice 148 Class B GA Rate</t>
  </si>
  <si>
    <t>STPP 148 Class B GA Rate</t>
  </si>
  <si>
    <t>C = A + B</t>
  </si>
  <si>
    <t>D</t>
  </si>
  <si>
    <t>E = D - C</t>
  </si>
  <si>
    <t>G = D/F/1000</t>
  </si>
  <si>
    <t>H = C/F/1000</t>
  </si>
  <si>
    <t>IESO overbilled CT 148. IESO applied total of Class A + B MWh as Class B MWh. IESO forgot embedded generation MWh. Adjustments appear in July 2017 invoice.</t>
  </si>
  <si>
    <t>$2.904MM credit adjustment to reverse CT 148 errors from June 2017. Check June 30, 2017 STPF file.</t>
  </si>
  <si>
    <t>Source</t>
  </si>
  <si>
    <t>IESO Invoice vs. STPP</t>
  </si>
  <si>
    <t>2017 Global Adjustment Analysis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</si>
</sst>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164" formatCode="_(* #,##0_);_(* \(#,##0\);_(* &quot;-&quot;??_);_(@_)"/>
    <numFmt numFmtId="165" formatCode="0.0%"/>
    <numFmt numFmtId="166" formatCode="_-* #,##0.00_-;\-* #,##0.00_-;_-* &quot;-&quot;??_-;_-@_-"/>
    <numFmt numFmtId="167" formatCode="&quot;$&quot;#,##0.00000_);[Red]\(&quot;$&quot;#,##0.00000\)"/>
    <numFmt numFmtId="168" formatCode="&quot;$&quot;#,##0.00;[Red]&quot;$&quot;#,##0.00"/>
    <numFmt numFmtId="169" formatCode="&quot;$&quot;#,##0.00000;[Red]\-&quot;$&quot;#,##0.00000"/>
    <numFmt numFmtId="170" formatCode="&quot;$&quot;#,##0;[Red]\-&quot;$&quot;#,##0"/>
    <numFmt numFmtId="171" formatCode="&quot;$&quot;#,##0.00;[Red]\-&quot;$&quot;#,##0.00"/>
    <numFmt numFmtId="172" formatCode="&quot;$&quot;#,##0.00"/>
    <numFmt numFmtId="173" formatCode="_-&quot;$&quot;* #,##0.00_-;\-&quot;$&quot;* #,##0.00_-;_-&quot;$&quot;* &quot;-&quot;??_-;_-@_-"/>
    <numFmt numFmtId="174" formatCode="&quot;$&quot;#,##0.00000"/>
    <numFmt numFmtId="175" formatCode="0.00000"/>
    <numFmt numFmtId="176" formatCode="&quot;$&quot;#,##0.00000_);\(&quot;$&quot;#,##0.00000\)"/>
  </numFmts>
  <fonts count="3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4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sz val="10"/>
      <color rgb="FF0070C0"/>
      <name val="Times New Roman"/>
      <family val="1"/>
    </font>
    <font>
      <sz val="11"/>
      <color indexed="8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</font>
    <font>
      <b/>
      <sz val="10"/>
      <color indexed="8"/>
      <name val="Times New Roman"/>
      <family val="1"/>
    </font>
    <font>
      <b/>
      <sz val="10"/>
      <name val="Times New Roman"/>
      <family val="1"/>
    </font>
    <font>
      <b/>
      <sz val="11"/>
      <name val="Times New Roman"/>
      <family val="1"/>
    </font>
    <font>
      <sz val="13.2"/>
      <color rgb="FF1E7D83"/>
      <name val="Inherit"/>
    </font>
    <font>
      <sz val="11"/>
      <color rgb="FF333333"/>
      <name val="Whitney SSm A"/>
    </font>
    <font>
      <b/>
      <sz val="14"/>
      <color theme="1"/>
      <name val="Calibri"/>
      <family val="2"/>
      <scheme val="minor"/>
    </font>
    <font>
      <sz val="10"/>
      <color indexed="63"/>
      <name val="Arial"/>
      <family val="2"/>
    </font>
    <font>
      <sz val="10"/>
      <color rgb="FF333333"/>
      <name val="Arial"/>
      <family val="2"/>
    </font>
    <font>
      <b/>
      <sz val="11"/>
      <color rgb="FFFF0000"/>
      <name val="Calibri"/>
      <family val="2"/>
      <scheme val="minor"/>
    </font>
    <font>
      <sz val="10"/>
      <color theme="0"/>
      <name val="Arial"/>
      <family val="2"/>
    </font>
    <font>
      <sz val="10"/>
      <color rgb="FF000000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color rgb="FFFF0000"/>
      <name val="Arial"/>
      <family val="2"/>
    </font>
    <font>
      <u/>
      <sz val="11"/>
      <color theme="10"/>
      <name val="Calibri"/>
      <family val="2"/>
      <scheme val="minor"/>
    </font>
    <font>
      <b/>
      <sz val="16"/>
      <color theme="1"/>
      <name val="Arial"/>
      <family val="2"/>
    </font>
    <font>
      <b/>
      <sz val="1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4F4F4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4B3A8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7">
    <xf numFmtId="0" fontId="0" fillId="0" borderId="0"/>
    <xf numFmtId="0" fontId="3" fillId="0" borderId="0"/>
    <xf numFmtId="9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7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28" fillId="0" borderId="0" applyNumberFormat="0" applyFill="0" applyBorder="0" applyAlignment="0" applyProtection="0"/>
  </cellStyleXfs>
  <cellXfs count="278">
    <xf numFmtId="0" fontId="0" fillId="0" borderId="0" xfId="0"/>
    <xf numFmtId="0" fontId="3" fillId="0" borderId="0" xfId="1" applyAlignment="1">
      <alignment vertical="center"/>
    </xf>
    <xf numFmtId="0" fontId="4" fillId="0" borderId="0" xfId="1" applyFont="1" applyAlignment="1">
      <alignment horizontal="center" vertical="center"/>
    </xf>
    <xf numFmtId="0" fontId="3" fillId="0" borderId="0" xfId="1" applyFill="1" applyAlignment="1">
      <alignment vertical="center"/>
    </xf>
    <xf numFmtId="40" fontId="3" fillId="0" borderId="0" xfId="1" applyNumberFormat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6" fillId="0" borderId="0" xfId="0" applyFont="1"/>
    <xf numFmtId="0" fontId="6" fillId="0" borderId="0" xfId="0" applyFont="1" applyFill="1"/>
    <xf numFmtId="0" fontId="6" fillId="0" borderId="2" xfId="0" applyFont="1" applyBorder="1" applyAlignment="1">
      <alignment horizontal="centerContinuous" vertical="center"/>
    </xf>
    <xf numFmtId="0" fontId="6" fillId="0" borderId="3" xfId="0" applyFont="1" applyBorder="1" applyAlignment="1">
      <alignment horizontal="centerContinuous" vertical="center"/>
    </xf>
    <xf numFmtId="0" fontId="7" fillId="0" borderId="4" xfId="0" applyFont="1" applyBorder="1" applyAlignment="1">
      <alignment horizontal="centerContinuous"/>
    </xf>
    <xf numFmtId="0" fontId="6" fillId="0" borderId="4" xfId="0" applyFont="1" applyBorder="1" applyAlignment="1">
      <alignment horizontal="centerContinuous"/>
    </xf>
    <xf numFmtId="0" fontId="6" fillId="0" borderId="5" xfId="0" applyFont="1" applyBorder="1" applyAlignment="1">
      <alignment horizontal="centerContinuous"/>
    </xf>
    <xf numFmtId="0" fontId="6" fillId="0" borderId="6" xfId="0" applyFont="1" applyBorder="1" applyAlignment="1">
      <alignment horizontal="centerContinuous" vertical="center"/>
    </xf>
    <xf numFmtId="0" fontId="7" fillId="0" borderId="6" xfId="0" applyFont="1" applyBorder="1" applyAlignment="1">
      <alignment horizontal="centerContinuous"/>
    </xf>
    <xf numFmtId="0" fontId="6" fillId="0" borderId="6" xfId="1" applyFont="1" applyBorder="1" applyAlignment="1">
      <alignment horizontal="centerContinuous" vertical="center"/>
    </xf>
    <xf numFmtId="164" fontId="8" fillId="2" borderId="5" xfId="0" applyNumberFormat="1" applyFont="1" applyFill="1" applyBorder="1" applyAlignment="1">
      <alignment vertical="center"/>
    </xf>
    <xf numFmtId="0" fontId="6" fillId="0" borderId="6" xfId="0" applyFont="1" applyBorder="1" applyAlignment="1">
      <alignment horizontal="center" vertical="center"/>
    </xf>
    <xf numFmtId="9" fontId="6" fillId="0" borderId="6" xfId="2" applyFont="1" applyBorder="1" applyAlignment="1">
      <alignment horizontal="right" vertical="center"/>
    </xf>
    <xf numFmtId="165" fontId="6" fillId="0" borderId="6" xfId="2" applyNumberFormat="1" applyFont="1" applyBorder="1" applyAlignment="1">
      <alignment horizontal="right" vertical="center"/>
    </xf>
    <xf numFmtId="164" fontId="6" fillId="0" borderId="5" xfId="0" applyNumberFormat="1" applyFont="1" applyBorder="1" applyAlignment="1">
      <alignment vertical="center"/>
    </xf>
    <xf numFmtId="0" fontId="6" fillId="0" borderId="7" xfId="0" applyFont="1" applyBorder="1" applyAlignment="1">
      <alignment horizontal="centerContinuous" vertical="center"/>
    </xf>
    <xf numFmtId="0" fontId="7" fillId="0" borderId="7" xfId="0" applyFont="1" applyBorder="1" applyAlignment="1">
      <alignment horizontal="centerContinuous" vertical="center"/>
    </xf>
    <xf numFmtId="0" fontId="6" fillId="0" borderId="7" xfId="1" applyFont="1" applyBorder="1" applyAlignment="1">
      <alignment horizontal="centerContinuous" vertical="center"/>
    </xf>
    <xf numFmtId="164" fontId="8" fillId="2" borderId="8" xfId="0" applyNumberFormat="1" applyFont="1" applyFill="1" applyBorder="1" applyAlignment="1">
      <alignment vertical="center"/>
    </xf>
    <xf numFmtId="0" fontId="6" fillId="0" borderId="7" xfId="0" applyFont="1" applyBorder="1" applyAlignment="1">
      <alignment horizontal="center" vertical="center"/>
    </xf>
    <xf numFmtId="165" fontId="6" fillId="0" borderId="7" xfId="2" applyNumberFormat="1" applyFont="1" applyBorder="1" applyAlignment="1">
      <alignment horizontal="right" vertical="center"/>
    </xf>
    <xf numFmtId="0" fontId="6" fillId="0" borderId="9" xfId="0" applyFont="1" applyBorder="1" applyAlignment="1">
      <alignment horizontal="centerContinuous" vertical="center"/>
    </xf>
    <xf numFmtId="0" fontId="6" fillId="0" borderId="10" xfId="0" applyFont="1" applyBorder="1" applyAlignment="1">
      <alignment horizontal="centerContinuous" vertical="center"/>
    </xf>
    <xf numFmtId="0" fontId="7" fillId="0" borderId="10" xfId="0" applyFont="1" applyBorder="1" applyAlignment="1">
      <alignment horizontal="centerContinuous" vertical="center"/>
    </xf>
    <xf numFmtId="0" fontId="6" fillId="0" borderId="11" xfId="1" applyFont="1" applyBorder="1" applyAlignment="1">
      <alignment horizontal="centerContinuous" vertical="center"/>
    </xf>
    <xf numFmtId="164" fontId="6" fillId="0" borderId="11" xfId="0" applyNumberFormat="1" applyFont="1" applyFill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165" fontId="6" fillId="0" borderId="1" xfId="2" applyNumberFormat="1" applyFont="1" applyFill="1" applyBorder="1" applyAlignment="1">
      <alignment horizontal="right" vertical="center"/>
    </xf>
    <xf numFmtId="0" fontId="6" fillId="0" borderId="0" xfId="0" applyFont="1" applyBorder="1" applyAlignment="1">
      <alignment horizontal="centerContinuous" vertical="center"/>
    </xf>
    <xf numFmtId="164" fontId="6" fillId="0" borderId="0" xfId="0" applyNumberFormat="1" applyFont="1" applyFill="1" applyBorder="1" applyAlignment="1">
      <alignment horizontal="centerContinuous" vertical="center"/>
    </xf>
    <xf numFmtId="164" fontId="6" fillId="0" borderId="0" xfId="1" applyNumberFormat="1" applyFont="1" applyAlignment="1">
      <alignment vertical="center"/>
    </xf>
    <xf numFmtId="0" fontId="6" fillId="0" borderId="0" xfId="1" applyFont="1" applyAlignment="1">
      <alignment vertical="center"/>
    </xf>
    <xf numFmtId="166" fontId="6" fillId="0" borderId="0" xfId="1" applyNumberFormat="1" applyFont="1" applyAlignment="1">
      <alignment vertical="center"/>
    </xf>
    <xf numFmtId="0" fontId="6" fillId="0" borderId="0" xfId="1" applyFont="1" applyFill="1" applyAlignment="1">
      <alignment vertical="center"/>
    </xf>
    <xf numFmtId="0" fontId="6" fillId="0" borderId="12" xfId="1" applyFont="1" applyBorder="1" applyAlignment="1">
      <alignment horizontal="centerContinuous" vertical="center"/>
    </xf>
    <xf numFmtId="0" fontId="6" fillId="0" borderId="4" xfId="1" applyFont="1" applyBorder="1" applyAlignment="1">
      <alignment horizontal="centerContinuous" vertical="center"/>
    </xf>
    <xf numFmtId="0" fontId="6" fillId="0" borderId="13" xfId="1" applyFont="1" applyBorder="1" applyAlignment="1">
      <alignment horizontal="centerContinuous" vertical="center"/>
    </xf>
    <xf numFmtId="0" fontId="6" fillId="0" borderId="5" xfId="1" applyFont="1" applyBorder="1" applyAlignment="1">
      <alignment horizontal="centerContinuous" vertical="center"/>
    </xf>
    <xf numFmtId="0" fontId="6" fillId="0" borderId="0" xfId="1" applyFont="1" applyBorder="1" applyAlignment="1">
      <alignment horizontal="centerContinuous" vertical="center"/>
    </xf>
    <xf numFmtId="0" fontId="3" fillId="0" borderId="0" xfId="1" applyAlignment="1">
      <alignment vertical="center" wrapText="1"/>
    </xf>
    <xf numFmtId="0" fontId="6" fillId="0" borderId="14" xfId="1" applyFont="1" applyBorder="1" applyAlignment="1">
      <alignment horizontal="center" wrapText="1"/>
    </xf>
    <xf numFmtId="0" fontId="6" fillId="0" borderId="15" xfId="1" applyFont="1" applyBorder="1" applyAlignment="1">
      <alignment horizontal="center" wrapText="1"/>
    </xf>
    <xf numFmtId="0" fontId="6" fillId="0" borderId="7" xfId="1" applyFont="1" applyBorder="1" applyAlignment="1">
      <alignment horizontal="center" vertical="top" wrapText="1"/>
    </xf>
    <xf numFmtId="0" fontId="6" fillId="0" borderId="8" xfId="1" applyFont="1" applyBorder="1" applyAlignment="1">
      <alignment horizontal="center" wrapText="1"/>
    </xf>
    <xf numFmtId="0" fontId="6" fillId="0" borderId="7" xfId="1" applyFont="1" applyBorder="1" applyAlignment="1">
      <alignment horizontal="center" wrapText="1"/>
    </xf>
    <xf numFmtId="0" fontId="6" fillId="0" borderId="0" xfId="1" applyFont="1" applyBorder="1" applyAlignment="1">
      <alignment horizontal="center" wrapText="1"/>
    </xf>
    <xf numFmtId="0" fontId="6" fillId="0" borderId="16" xfId="1" applyFont="1" applyBorder="1" applyAlignment="1">
      <alignment horizontal="center" vertical="top" wrapText="1"/>
    </xf>
    <xf numFmtId="0" fontId="6" fillId="0" borderId="2" xfId="1" applyFont="1" applyBorder="1" applyAlignment="1">
      <alignment horizontal="center" vertical="top" wrapText="1"/>
    </xf>
    <xf numFmtId="0" fontId="6" fillId="0" borderId="17" xfId="1" applyFont="1" applyBorder="1" applyAlignment="1">
      <alignment horizontal="center" vertical="top" wrapText="1"/>
    </xf>
    <xf numFmtId="0" fontId="6" fillId="0" borderId="16" xfId="1" quotePrefix="1" applyFont="1" applyBorder="1" applyAlignment="1">
      <alignment horizontal="center" vertical="top" wrapText="1"/>
    </xf>
    <xf numFmtId="0" fontId="6" fillId="0" borderId="0" xfId="1" applyFont="1" applyBorder="1" applyAlignment="1">
      <alignment horizontal="center" vertical="top" wrapText="1"/>
    </xf>
    <xf numFmtId="40" fontId="3" fillId="0" borderId="0" xfId="1" applyNumberFormat="1" applyAlignment="1">
      <alignment vertical="center" wrapText="1"/>
    </xf>
    <xf numFmtId="0" fontId="6" fillId="0" borderId="15" xfId="1" applyFont="1" applyBorder="1" applyAlignment="1">
      <alignment horizontal="center" vertical="top"/>
    </xf>
    <xf numFmtId="0" fontId="6" fillId="0" borderId="18" xfId="1" applyFont="1" applyBorder="1" applyAlignment="1">
      <alignment horizontal="center" vertical="top"/>
    </xf>
    <xf numFmtId="0" fontId="6" fillId="0" borderId="19" xfId="1" applyFont="1" applyBorder="1" applyAlignment="1">
      <alignment horizontal="center" vertical="top"/>
    </xf>
    <xf numFmtId="0" fontId="6" fillId="0" borderId="14" xfId="1" applyFont="1" applyBorder="1" applyAlignment="1">
      <alignment horizontal="center" vertical="top"/>
    </xf>
    <xf numFmtId="0" fontId="6" fillId="0" borderId="19" xfId="1" quotePrefix="1" applyFont="1" applyBorder="1" applyAlignment="1">
      <alignment horizontal="center" vertical="top"/>
    </xf>
    <xf numFmtId="0" fontId="6" fillId="0" borderId="0" xfId="1" applyFont="1" applyBorder="1" applyAlignment="1">
      <alignment horizontal="center" vertical="top"/>
    </xf>
    <xf numFmtId="17" fontId="3" fillId="0" borderId="0" xfId="1" applyNumberFormat="1" applyAlignment="1">
      <alignment vertical="center"/>
    </xf>
    <xf numFmtId="164" fontId="9" fillId="2" borderId="7" xfId="3" applyNumberFormat="1" applyFont="1" applyFill="1" applyBorder="1" applyAlignment="1">
      <alignment vertical="center"/>
    </xf>
    <xf numFmtId="164" fontId="10" fillId="2" borderId="0" xfId="3" applyNumberFormat="1" applyFont="1" applyFill="1" applyBorder="1" applyAlignment="1">
      <alignment vertical="center"/>
    </xf>
    <xf numFmtId="164" fontId="9" fillId="2" borderId="20" xfId="3" applyNumberFormat="1" applyFont="1" applyFill="1" applyBorder="1" applyAlignment="1">
      <alignment vertical="center"/>
    </xf>
    <xf numFmtId="164" fontId="9" fillId="2" borderId="0" xfId="3" applyNumberFormat="1" applyFont="1" applyFill="1" applyBorder="1" applyAlignment="1">
      <alignment vertical="center"/>
    </xf>
    <xf numFmtId="6" fontId="9" fillId="2" borderId="7" xfId="3" applyNumberFormat="1" applyFont="1" applyFill="1" applyBorder="1" applyAlignment="1">
      <alignment vertical="center"/>
    </xf>
    <xf numFmtId="167" fontId="6" fillId="4" borderId="21" xfId="1" applyNumberFormat="1" applyFont="1" applyFill="1" applyBorder="1" applyAlignment="1">
      <alignment vertical="center"/>
    </xf>
    <xf numFmtId="167" fontId="6" fillId="4" borderId="22" xfId="1" applyNumberFormat="1" applyFont="1" applyFill="1" applyBorder="1" applyAlignment="1">
      <alignment vertical="center"/>
    </xf>
    <xf numFmtId="167" fontId="6" fillId="4" borderId="23" xfId="1" applyNumberFormat="1" applyFont="1" applyFill="1" applyBorder="1" applyAlignment="1">
      <alignment vertical="center"/>
    </xf>
    <xf numFmtId="6" fontId="9" fillId="0" borderId="14" xfId="3" applyNumberFormat="1" applyFont="1" applyBorder="1" applyAlignment="1">
      <alignment vertical="center"/>
    </xf>
    <xf numFmtId="6" fontId="9" fillId="0" borderId="22" xfId="3" applyNumberFormat="1" applyFont="1" applyBorder="1" applyAlignment="1">
      <alignment vertical="center"/>
    </xf>
    <xf numFmtId="6" fontId="9" fillId="0" borderId="0" xfId="3" applyNumberFormat="1" applyFont="1" applyBorder="1" applyAlignment="1">
      <alignment vertical="center"/>
    </xf>
    <xf numFmtId="169" fontId="3" fillId="0" borderId="0" xfId="1" applyNumberFormat="1" applyAlignment="1">
      <alignment vertical="center"/>
    </xf>
    <xf numFmtId="167" fontId="6" fillId="4" borderId="0" xfId="1" applyNumberFormat="1" applyFont="1" applyFill="1" applyBorder="1" applyAlignment="1">
      <alignment vertical="center"/>
    </xf>
    <xf numFmtId="164" fontId="9" fillId="2" borderId="14" xfId="3" applyNumberFormat="1" applyFont="1" applyFill="1" applyBorder="1" applyAlignment="1">
      <alignment vertical="center"/>
    </xf>
    <xf numFmtId="164" fontId="10" fillId="2" borderId="15" xfId="3" applyNumberFormat="1" applyFont="1" applyFill="1" applyBorder="1" applyAlignment="1">
      <alignment vertical="center"/>
    </xf>
    <xf numFmtId="164" fontId="9" fillId="2" borderId="24" xfId="3" applyNumberFormat="1" applyFont="1" applyFill="1" applyBorder="1" applyAlignment="1">
      <alignment vertical="center"/>
    </xf>
    <xf numFmtId="6" fontId="9" fillId="2" borderId="14" xfId="3" applyNumberFormat="1" applyFont="1" applyFill="1" applyBorder="1" applyAlignment="1">
      <alignment vertical="center"/>
    </xf>
    <xf numFmtId="167" fontId="6" fillId="4" borderId="25" xfId="1" applyNumberFormat="1" applyFont="1" applyFill="1" applyBorder="1" applyAlignment="1">
      <alignment vertical="center"/>
    </xf>
    <xf numFmtId="167" fontId="6" fillId="4" borderId="14" xfId="1" applyNumberFormat="1" applyFont="1" applyFill="1" applyBorder="1" applyAlignment="1">
      <alignment vertical="center"/>
    </xf>
    <xf numFmtId="167" fontId="6" fillId="4" borderId="15" xfId="1" applyNumberFormat="1" applyFont="1" applyFill="1" applyBorder="1" applyAlignment="1">
      <alignment vertical="center"/>
    </xf>
    <xf numFmtId="6" fontId="9" fillId="4" borderId="0" xfId="3" applyNumberFormat="1" applyFont="1" applyFill="1" applyBorder="1" applyAlignment="1">
      <alignment vertical="center"/>
    </xf>
    <xf numFmtId="164" fontId="9" fillId="2" borderId="19" xfId="3" applyNumberFormat="1" applyFont="1" applyFill="1" applyBorder="1" applyAlignment="1">
      <alignment vertical="center"/>
    </xf>
    <xf numFmtId="164" fontId="10" fillId="2" borderId="26" xfId="3" applyNumberFormat="1" applyFont="1" applyFill="1" applyBorder="1" applyAlignment="1">
      <alignment vertical="center"/>
    </xf>
    <xf numFmtId="164" fontId="10" fillId="2" borderId="18" xfId="3" applyNumberFormat="1" applyFont="1" applyFill="1" applyBorder="1" applyAlignment="1">
      <alignment vertical="center"/>
    </xf>
    <xf numFmtId="164" fontId="9" fillId="2" borderId="27" xfId="3" applyNumberFormat="1" applyFont="1" applyFill="1" applyBorder="1" applyAlignment="1">
      <alignment vertical="center"/>
    </xf>
    <xf numFmtId="164" fontId="9" fillId="2" borderId="28" xfId="3" applyNumberFormat="1" applyFont="1" applyFill="1" applyBorder="1" applyAlignment="1">
      <alignment vertical="center"/>
    </xf>
    <xf numFmtId="6" fontId="9" fillId="2" borderId="16" xfId="3" applyNumberFormat="1" applyFont="1" applyFill="1" applyBorder="1" applyAlignment="1">
      <alignment vertical="center"/>
    </xf>
    <xf numFmtId="167" fontId="6" fillId="4" borderId="26" xfId="1" applyNumberFormat="1" applyFont="1" applyFill="1" applyBorder="1" applyAlignment="1">
      <alignment vertical="center"/>
    </xf>
    <xf numFmtId="167" fontId="6" fillId="4" borderId="19" xfId="1" applyNumberFormat="1" applyFont="1" applyFill="1" applyBorder="1" applyAlignment="1">
      <alignment vertical="center"/>
    </xf>
    <xf numFmtId="167" fontId="6" fillId="4" borderId="18" xfId="1" applyNumberFormat="1" applyFont="1" applyFill="1" applyBorder="1" applyAlignment="1">
      <alignment vertical="center"/>
    </xf>
    <xf numFmtId="6" fontId="9" fillId="0" borderId="19" xfId="3" applyNumberFormat="1" applyFont="1" applyBorder="1" applyAlignment="1">
      <alignment vertical="center"/>
    </xf>
    <xf numFmtId="6" fontId="9" fillId="0" borderId="3" xfId="3" applyNumberFormat="1" applyFont="1" applyBorder="1" applyAlignment="1">
      <alignment vertical="center"/>
    </xf>
    <xf numFmtId="164" fontId="6" fillId="0" borderId="16" xfId="1" applyNumberFormat="1" applyFont="1" applyBorder="1" applyAlignment="1">
      <alignment vertical="center"/>
    </xf>
    <xf numFmtId="167" fontId="6" fillId="4" borderId="16" xfId="1" applyNumberFormat="1" applyFont="1" applyFill="1" applyBorder="1" applyAlignment="1">
      <alignment vertical="center"/>
    </xf>
    <xf numFmtId="6" fontId="9" fillId="0" borderId="16" xfId="3" applyNumberFormat="1" applyFont="1" applyBorder="1" applyAlignment="1">
      <alignment vertical="center"/>
    </xf>
    <xf numFmtId="6" fontId="11" fillId="0" borderId="16" xfId="3" applyNumberFormat="1" applyFont="1" applyBorder="1" applyAlignment="1">
      <alignment vertical="center"/>
    </xf>
    <xf numFmtId="6" fontId="11" fillId="0" borderId="0" xfId="3" applyNumberFormat="1" applyFont="1" applyFill="1" applyBorder="1" applyAlignment="1">
      <alignment vertical="center"/>
    </xf>
    <xf numFmtId="168" fontId="3" fillId="0" borderId="0" xfId="1" applyNumberFormat="1" applyAlignment="1">
      <alignment vertical="center"/>
    </xf>
    <xf numFmtId="6" fontId="4" fillId="0" borderId="0" xfId="1" applyNumberFormat="1" applyFont="1" applyAlignment="1">
      <alignment vertical="center"/>
    </xf>
    <xf numFmtId="170" fontId="6" fillId="0" borderId="0" xfId="1" applyNumberFormat="1" applyFont="1" applyAlignment="1">
      <alignment vertical="center"/>
    </xf>
    <xf numFmtId="164" fontId="6" fillId="0" borderId="13" xfId="1" quotePrefix="1" applyNumberFormat="1" applyFont="1" applyBorder="1" applyAlignment="1">
      <alignment vertical="center"/>
    </xf>
    <xf numFmtId="164" fontId="6" fillId="0" borderId="13" xfId="1" applyNumberFormat="1" applyFont="1" applyBorder="1" applyAlignment="1">
      <alignment horizontal="right" vertical="center"/>
    </xf>
    <xf numFmtId="6" fontId="11" fillId="5" borderId="16" xfId="3" applyNumberFormat="1" applyFont="1" applyFill="1" applyBorder="1" applyAlignment="1">
      <alignment vertical="center"/>
    </xf>
    <xf numFmtId="168" fontId="11" fillId="0" borderId="16" xfId="3" applyNumberFormat="1" applyFont="1" applyBorder="1" applyAlignment="1">
      <alignment vertical="center"/>
    </xf>
    <xf numFmtId="6" fontId="11" fillId="0" borderId="0" xfId="3" applyNumberFormat="1" applyFont="1" applyBorder="1" applyAlignment="1">
      <alignment vertical="center"/>
    </xf>
    <xf numFmtId="6" fontId="3" fillId="0" borderId="0" xfId="1" applyNumberFormat="1" applyAlignment="1">
      <alignment vertical="center"/>
    </xf>
    <xf numFmtId="10" fontId="6" fillId="0" borderId="0" xfId="1" applyNumberFormat="1" applyFont="1" applyAlignment="1">
      <alignment vertical="center"/>
    </xf>
    <xf numFmtId="171" fontId="6" fillId="0" borderId="0" xfId="1" applyNumberFormat="1" applyFont="1" applyAlignment="1">
      <alignment vertical="center"/>
    </xf>
    <xf numFmtId="164" fontId="6" fillId="0" borderId="0" xfId="1" quotePrefix="1" applyNumberFormat="1" applyFont="1" applyBorder="1" applyAlignment="1">
      <alignment vertical="center"/>
    </xf>
    <xf numFmtId="164" fontId="6" fillId="0" borderId="0" xfId="1" applyNumberFormat="1" applyFont="1" applyBorder="1" applyAlignment="1">
      <alignment horizontal="right" vertical="center"/>
    </xf>
    <xf numFmtId="172" fontId="6" fillId="0" borderId="0" xfId="1" applyNumberFormat="1" applyFont="1" applyAlignment="1">
      <alignment vertical="center"/>
    </xf>
    <xf numFmtId="164" fontId="6" fillId="0" borderId="0" xfId="1" applyNumberFormat="1" applyFont="1" applyBorder="1" applyAlignment="1">
      <alignment vertical="center"/>
    </xf>
    <xf numFmtId="6" fontId="12" fillId="2" borderId="16" xfId="3" applyNumberFormat="1" applyFont="1" applyFill="1" applyBorder="1" applyAlignment="1">
      <alignment vertical="center"/>
    </xf>
    <xf numFmtId="6" fontId="12" fillId="0" borderId="0" xfId="3" applyNumberFormat="1" applyFont="1" applyFill="1" applyBorder="1" applyAlignment="1">
      <alignment vertical="center"/>
    </xf>
    <xf numFmtId="0" fontId="4" fillId="0" borderId="0" xfId="1" applyFont="1" applyAlignment="1">
      <alignment vertical="center"/>
    </xf>
    <xf numFmtId="0" fontId="2" fillId="0" borderId="0" xfId="0" applyFont="1" applyFill="1"/>
    <xf numFmtId="0" fontId="0" fillId="0" borderId="0" xfId="0" applyFill="1"/>
    <xf numFmtId="172" fontId="0" fillId="0" borderId="0" xfId="0" applyNumberFormat="1" applyFill="1" applyAlignment="1">
      <alignment wrapText="1"/>
    </xf>
    <xf numFmtId="40" fontId="0" fillId="0" borderId="0" xfId="0" applyNumberFormat="1" applyFill="1"/>
    <xf numFmtId="40" fontId="3" fillId="0" borderId="0" xfId="1" applyNumberFormat="1" applyFill="1" applyAlignment="1">
      <alignment vertical="center"/>
    </xf>
    <xf numFmtId="171" fontId="0" fillId="0" borderId="0" xfId="0" applyNumberFormat="1" applyFill="1"/>
    <xf numFmtId="40" fontId="12" fillId="0" borderId="0" xfId="3" applyNumberFormat="1" applyFont="1" applyFill="1" applyBorder="1" applyAlignment="1">
      <alignment vertical="center"/>
    </xf>
    <xf numFmtId="15" fontId="3" fillId="0" borderId="0" xfId="1" applyNumberFormat="1" applyFill="1" applyAlignment="1">
      <alignment vertical="center"/>
    </xf>
    <xf numFmtId="173" fontId="6" fillId="0" borderId="0" xfId="4" applyFont="1" applyFill="1" applyBorder="1" applyAlignment="1">
      <alignment vertical="center"/>
    </xf>
    <xf numFmtId="173" fontId="13" fillId="0" borderId="0" xfId="4" applyFont="1" applyFill="1" applyBorder="1" applyAlignment="1">
      <alignment vertical="center"/>
    </xf>
    <xf numFmtId="0" fontId="14" fillId="0" borderId="0" xfId="0" quotePrefix="1" applyFont="1" applyAlignment="1">
      <alignment vertical="center"/>
    </xf>
    <xf numFmtId="164" fontId="4" fillId="0" borderId="0" xfId="5" applyNumberFormat="1" applyFont="1" applyAlignment="1">
      <alignment vertical="center"/>
    </xf>
    <xf numFmtId="0" fontId="3" fillId="0" borderId="0" xfId="1"/>
    <xf numFmtId="0" fontId="3" fillId="0" borderId="0" xfId="1" applyFill="1"/>
    <xf numFmtId="40" fontId="3" fillId="0" borderId="0" xfId="1" applyNumberFormat="1"/>
    <xf numFmtId="0" fontId="17" fillId="0" borderId="6" xfId="0" applyFont="1" applyFill="1" applyBorder="1" applyAlignment="1">
      <alignment wrapText="1"/>
    </xf>
    <xf numFmtId="4" fontId="0" fillId="0" borderId="6" xfId="0" applyNumberFormat="1" applyFill="1" applyBorder="1" applyAlignment="1">
      <alignment wrapText="1"/>
    </xf>
    <xf numFmtId="174" fontId="2" fillId="0" borderId="6" xfId="0" applyNumberFormat="1" applyFont="1" applyFill="1" applyBorder="1" applyAlignment="1">
      <alignment wrapText="1"/>
    </xf>
    <xf numFmtId="174" fontId="3" fillId="0" borderId="6" xfId="0" applyNumberFormat="1" applyFont="1" applyFill="1" applyBorder="1" applyAlignment="1">
      <alignment wrapText="1"/>
    </xf>
    <xf numFmtId="172" fontId="3" fillId="0" borderId="6" xfId="0" applyNumberFormat="1" applyFont="1" applyFill="1" applyBorder="1" applyAlignment="1">
      <alignment wrapText="1"/>
    </xf>
    <xf numFmtId="172" fontId="17" fillId="0" borderId="6" xfId="0" applyNumberFormat="1" applyFont="1" applyFill="1" applyBorder="1" applyAlignment="1">
      <alignment wrapText="1"/>
    </xf>
    <xf numFmtId="0" fontId="3" fillId="0" borderId="6" xfId="0" applyFont="1" applyFill="1" applyBorder="1"/>
    <xf numFmtId="4" fontId="0" fillId="0" borderId="6" xfId="0" applyNumberFormat="1" applyFill="1" applyBorder="1"/>
    <xf numFmtId="174" fontId="18" fillId="0" borderId="6" xfId="0" applyNumberFormat="1" applyFont="1" applyFill="1" applyBorder="1" applyAlignment="1">
      <alignment wrapText="1"/>
    </xf>
    <xf numFmtId="172" fontId="0" fillId="0" borderId="6" xfId="0" applyNumberFormat="1" applyFill="1" applyBorder="1"/>
    <xf numFmtId="4" fontId="4" fillId="5" borderId="6" xfId="0" applyNumberFormat="1" applyFont="1" applyFill="1" applyBorder="1"/>
    <xf numFmtId="174" fontId="19" fillId="0" borderId="6" xfId="0" applyNumberFormat="1" applyFont="1" applyFill="1" applyBorder="1" applyAlignment="1">
      <alignment wrapText="1"/>
    </xf>
    <xf numFmtId="4" fontId="0" fillId="0" borderId="0" xfId="0" applyNumberFormat="1" applyFill="1"/>
    <xf numFmtId="0" fontId="20" fillId="0" borderId="0" xfId="0" applyFont="1"/>
    <xf numFmtId="172" fontId="0" fillId="0" borderId="0" xfId="0" applyNumberFormat="1" applyFill="1"/>
    <xf numFmtId="172" fontId="3" fillId="0" borderId="0" xfId="0" applyNumberFormat="1" applyFont="1" applyFill="1"/>
    <xf numFmtId="172" fontId="2" fillId="3" borderId="27" xfId="0" applyNumberFormat="1" applyFont="1" applyFill="1" applyBorder="1"/>
    <xf numFmtId="174" fontId="19" fillId="0" borderId="0" xfId="0" applyNumberFormat="1" applyFont="1" applyFill="1" applyBorder="1" applyAlignment="1">
      <alignment wrapText="1"/>
    </xf>
    <xf numFmtId="172" fontId="2" fillId="0" borderId="27" xfId="0" applyNumberFormat="1" applyFont="1" applyFill="1" applyBorder="1"/>
    <xf numFmtId="0" fontId="21" fillId="0" borderId="0" xfId="0" applyFont="1"/>
    <xf numFmtId="4" fontId="0" fillId="0" borderId="0" xfId="0" applyNumberFormat="1" applyFill="1" applyBorder="1"/>
    <xf numFmtId="174" fontId="22" fillId="0" borderId="0" xfId="4" applyNumberFormat="1" applyFont="1"/>
    <xf numFmtId="4" fontId="3" fillId="7" borderId="6" xfId="0" applyNumberFormat="1" applyFont="1" applyFill="1" applyBorder="1" applyAlignment="1">
      <alignment horizontal="center" vertical="center" wrapText="1"/>
    </xf>
    <xf numFmtId="172" fontId="0" fillId="5" borderId="6" xfId="0" applyNumberFormat="1" applyFill="1" applyBorder="1"/>
    <xf numFmtId="4" fontId="23" fillId="0" borderId="6" xfId="0" applyNumberFormat="1" applyFont="1" applyFill="1" applyBorder="1"/>
    <xf numFmtId="0" fontId="17" fillId="8" borderId="6" xfId="0" applyFont="1" applyFill="1" applyBorder="1" applyAlignment="1">
      <alignment horizontal="center" vertical="center" wrapText="1"/>
    </xf>
    <xf numFmtId="4" fontId="0" fillId="8" borderId="6" xfId="0" applyNumberFormat="1" applyFill="1" applyBorder="1" applyAlignment="1">
      <alignment horizontal="center" vertical="center" wrapText="1"/>
    </xf>
    <xf numFmtId="4" fontId="3" fillId="8" borderId="6" xfId="0" applyNumberFormat="1" applyFont="1" applyFill="1" applyBorder="1" applyAlignment="1">
      <alignment horizontal="center" vertical="center" wrapText="1"/>
    </xf>
    <xf numFmtId="174" fontId="2" fillId="8" borderId="6" xfId="0" applyNumberFormat="1" applyFont="1" applyFill="1" applyBorder="1" applyAlignment="1">
      <alignment horizontal="center" vertical="center" wrapText="1"/>
    </xf>
    <xf numFmtId="174" fontId="3" fillId="8" borderId="6" xfId="0" applyNumberFormat="1" applyFont="1" applyFill="1" applyBorder="1" applyAlignment="1">
      <alignment horizontal="center" vertical="center" wrapText="1"/>
    </xf>
    <xf numFmtId="172" fontId="3" fillId="8" borderId="6" xfId="0" applyNumberFormat="1" applyFont="1" applyFill="1" applyBorder="1" applyAlignment="1">
      <alignment horizontal="center" vertical="center" wrapText="1"/>
    </xf>
    <xf numFmtId="172" fontId="17" fillId="8" borderId="6" xfId="0" applyNumberFormat="1" applyFont="1" applyFill="1" applyBorder="1" applyAlignment="1">
      <alignment horizontal="center" vertical="center" wrapText="1"/>
    </xf>
    <xf numFmtId="17" fontId="24" fillId="0" borderId="6" xfId="0" applyNumberFormat="1" applyFont="1" applyFill="1" applyBorder="1"/>
    <xf numFmtId="4" fontId="3" fillId="0" borderId="6" xfId="0" applyNumberFormat="1" applyFont="1" applyFill="1" applyBorder="1"/>
    <xf numFmtId="174" fontId="24" fillId="0" borderId="6" xfId="0" applyNumberFormat="1" applyFont="1" applyFill="1" applyBorder="1"/>
    <xf numFmtId="174" fontId="3" fillId="0" borderId="6" xfId="0" applyNumberFormat="1" applyFont="1" applyFill="1" applyBorder="1"/>
    <xf numFmtId="172" fontId="3" fillId="0" borderId="6" xfId="0" applyNumberFormat="1" applyFont="1" applyFill="1" applyBorder="1"/>
    <xf numFmtId="172" fontId="24" fillId="0" borderId="6" xfId="0" applyNumberFormat="1" applyFont="1" applyFill="1" applyBorder="1"/>
    <xf numFmtId="0" fontId="3" fillId="0" borderId="0" xfId="0" applyFont="1"/>
    <xf numFmtId="0" fontId="17" fillId="0" borderId="4" xfId="0" applyFont="1" applyFill="1" applyBorder="1"/>
    <xf numFmtId="4" fontId="0" fillId="0" borderId="4" xfId="0" applyNumberFormat="1" applyFill="1" applyBorder="1"/>
    <xf numFmtId="174" fontId="2" fillId="0" borderId="4" xfId="0" applyNumberFormat="1" applyFont="1" applyFill="1" applyBorder="1"/>
    <xf numFmtId="174" fontId="0" fillId="0" borderId="4" xfId="0" applyNumberFormat="1" applyFill="1" applyBorder="1"/>
    <xf numFmtId="172" fontId="0" fillId="0" borderId="4" xfId="0" applyNumberFormat="1" applyFill="1" applyBorder="1"/>
    <xf numFmtId="172" fontId="17" fillId="0" borderId="4" xfId="0" applyNumberFormat="1" applyFont="1" applyFill="1" applyBorder="1"/>
    <xf numFmtId="4" fontId="0" fillId="9" borderId="6" xfId="0" applyNumberFormat="1" applyFill="1" applyBorder="1"/>
    <xf numFmtId="172" fontId="0" fillId="10" borderId="6" xfId="0" applyNumberFormat="1" applyFill="1" applyBorder="1"/>
    <xf numFmtId="172" fontId="2" fillId="5" borderId="27" xfId="0" applyNumberFormat="1" applyFont="1" applyFill="1" applyBorder="1"/>
    <xf numFmtId="0" fontId="3" fillId="0" borderId="0" xfId="0" applyFont="1" applyFill="1" applyBorder="1"/>
    <xf numFmtId="174" fontId="18" fillId="0" borderId="0" xfId="0" applyNumberFormat="1" applyFont="1" applyFill="1" applyBorder="1" applyAlignment="1">
      <alignment wrapText="1"/>
    </xf>
    <xf numFmtId="172" fontId="0" fillId="0" borderId="0" xfId="0" applyNumberFormat="1" applyFill="1" applyBorder="1"/>
    <xf numFmtId="0" fontId="0" fillId="0" borderId="0" xfId="0" applyFill="1" applyBorder="1"/>
    <xf numFmtId="4" fontId="4" fillId="0" borderId="0" xfId="0" applyNumberFormat="1" applyFont="1" applyFill="1" applyBorder="1"/>
    <xf numFmtId="172" fontId="3" fillId="0" borderId="0" xfId="0" applyNumberFormat="1" applyFont="1" applyFill="1" applyBorder="1"/>
    <xf numFmtId="172" fontId="2" fillId="0" borderId="0" xfId="0" applyNumberFormat="1" applyFont="1" applyFill="1" applyBorder="1"/>
    <xf numFmtId="0" fontId="17" fillId="0" borderId="0" xfId="0" applyFont="1" applyFill="1" applyBorder="1" applyAlignment="1">
      <alignment wrapText="1"/>
    </xf>
    <xf numFmtId="4" fontId="0" fillId="0" borderId="0" xfId="0" applyNumberFormat="1" applyFill="1" applyBorder="1" applyAlignment="1">
      <alignment wrapText="1"/>
    </xf>
    <xf numFmtId="174" fontId="2" fillId="0" borderId="0" xfId="0" applyNumberFormat="1" applyFont="1" applyFill="1" applyBorder="1" applyAlignment="1">
      <alignment wrapText="1"/>
    </xf>
    <xf numFmtId="174" fontId="3" fillId="0" borderId="0" xfId="0" applyNumberFormat="1" applyFont="1" applyFill="1" applyBorder="1" applyAlignment="1">
      <alignment wrapText="1"/>
    </xf>
    <xf numFmtId="172" fontId="3" fillId="0" borderId="0" xfId="0" applyNumberFormat="1" applyFont="1" applyFill="1" applyBorder="1" applyAlignment="1">
      <alignment wrapText="1"/>
    </xf>
    <xf numFmtId="172" fontId="17" fillId="0" borderId="0" xfId="0" applyNumberFormat="1" applyFont="1" applyFill="1" applyBorder="1" applyAlignment="1">
      <alignment wrapText="1"/>
    </xf>
    <xf numFmtId="0" fontId="2" fillId="0" borderId="0" xfId="0" applyFont="1" applyFill="1" applyBorder="1"/>
    <xf numFmtId="174" fontId="22" fillId="0" borderId="0" xfId="4" applyNumberFormat="1" applyFont="1" applyFill="1" applyBorder="1"/>
    <xf numFmtId="0" fontId="2" fillId="0" borderId="9" xfId="0" applyFont="1" applyBorder="1"/>
    <xf numFmtId="172" fontId="0" fillId="5" borderId="11" xfId="0" applyNumberFormat="1" applyFill="1" applyBorder="1"/>
    <xf numFmtId="0" fontId="25" fillId="2" borderId="6" xfId="0" applyFont="1" applyFill="1" applyBorder="1" applyAlignment="1">
      <alignment horizontal="center" vertical="center" wrapText="1"/>
    </xf>
    <xf numFmtId="0" fontId="26" fillId="0" borderId="0" xfId="0" applyFont="1"/>
    <xf numFmtId="0" fontId="25" fillId="2" borderId="6" xfId="0" applyFont="1" applyFill="1" applyBorder="1" applyAlignment="1">
      <alignment horizontal="center"/>
    </xf>
    <xf numFmtId="0" fontId="26" fillId="0" borderId="0" xfId="0" applyFont="1" applyAlignment="1">
      <alignment wrapText="1"/>
    </xf>
    <xf numFmtId="17" fontId="26" fillId="0" borderId="6" xfId="0" applyNumberFormat="1" applyFont="1" applyBorder="1"/>
    <xf numFmtId="173" fontId="26" fillId="0" borderId="6" xfId="4" applyFont="1" applyBorder="1"/>
    <xf numFmtId="166" fontId="26" fillId="0" borderId="6" xfId="5" applyFont="1" applyBorder="1"/>
    <xf numFmtId="0" fontId="26" fillId="0" borderId="6" xfId="0" applyFont="1" applyBorder="1"/>
    <xf numFmtId="173" fontId="26" fillId="0" borderId="6" xfId="0" applyNumberFormat="1" applyFont="1" applyBorder="1"/>
    <xf numFmtId="173" fontId="26" fillId="0" borderId="0" xfId="0" applyNumberFormat="1" applyFont="1"/>
    <xf numFmtId="173" fontId="26" fillId="0" borderId="3" xfId="0" applyNumberFormat="1" applyFont="1" applyBorder="1"/>
    <xf numFmtId="173" fontId="26" fillId="5" borderId="0" xfId="0" applyNumberFormat="1" applyFont="1" applyFill="1"/>
    <xf numFmtId="171" fontId="26" fillId="0" borderId="0" xfId="0" applyNumberFormat="1" applyFont="1" applyBorder="1"/>
    <xf numFmtId="0" fontId="27" fillId="0" borderId="0" xfId="0" applyFont="1"/>
    <xf numFmtId="175" fontId="26" fillId="0" borderId="6" xfId="0" applyNumberFormat="1" applyFont="1" applyBorder="1"/>
    <xf numFmtId="8" fontId="9" fillId="0" borderId="0" xfId="3" applyNumberFormat="1" applyFont="1" applyBorder="1" applyAlignment="1">
      <alignment vertical="center"/>
    </xf>
    <xf numFmtId="3" fontId="28" fillId="5" borderId="0" xfId="6" applyNumberFormat="1" applyFill="1"/>
    <xf numFmtId="3" fontId="26" fillId="0" borderId="0" xfId="0" applyNumberFormat="1" applyFont="1"/>
    <xf numFmtId="0" fontId="25" fillId="0" borderId="6" xfId="0" applyFont="1" applyBorder="1" applyAlignment="1">
      <alignment horizontal="center" vertical="center" wrapText="1"/>
    </xf>
    <xf numFmtId="0" fontId="26" fillId="0" borderId="0" xfId="0" applyFont="1" applyFill="1"/>
    <xf numFmtId="3" fontId="25" fillId="0" borderId="0" xfId="0" applyNumberFormat="1" applyFont="1"/>
    <xf numFmtId="175" fontId="26" fillId="0" borderId="0" xfId="0" applyNumberFormat="1" applyFont="1" applyBorder="1"/>
    <xf numFmtId="175" fontId="26" fillId="0" borderId="6" xfId="0" applyNumberFormat="1" applyFont="1" applyFill="1" applyBorder="1"/>
    <xf numFmtId="175" fontId="26" fillId="5" borderId="6" xfId="0" applyNumberFormat="1" applyFont="1" applyFill="1" applyBorder="1"/>
    <xf numFmtId="175" fontId="26" fillId="3" borderId="6" xfId="0" applyNumberFormat="1" applyFont="1" applyFill="1" applyBorder="1"/>
    <xf numFmtId="17" fontId="26" fillId="0" borderId="0" xfId="0" applyNumberFormat="1" applyFont="1" applyBorder="1"/>
    <xf numFmtId="3" fontId="26" fillId="0" borderId="0" xfId="0" applyNumberFormat="1" applyFont="1" applyBorder="1"/>
    <xf numFmtId="0" fontId="25" fillId="0" borderId="6" xfId="0" applyFont="1" applyBorder="1" applyAlignment="1">
      <alignment horizontal="center" wrapText="1"/>
    </xf>
    <xf numFmtId="171" fontId="26" fillId="0" borderId="6" xfId="0" applyNumberFormat="1" applyFont="1" applyBorder="1"/>
    <xf numFmtId="175" fontId="26" fillId="0" borderId="0" xfId="0" applyNumberFormat="1" applyFont="1"/>
    <xf numFmtId="17" fontId="26" fillId="3" borderId="6" xfId="0" applyNumberFormat="1" applyFont="1" applyFill="1" applyBorder="1"/>
    <xf numFmtId="173" fontId="26" fillId="3" borderId="6" xfId="4" applyFont="1" applyFill="1" applyBorder="1"/>
    <xf numFmtId="173" fontId="26" fillId="3" borderId="6" xfId="0" applyNumberFormat="1" applyFont="1" applyFill="1" applyBorder="1"/>
    <xf numFmtId="171" fontId="26" fillId="3" borderId="6" xfId="0" applyNumberFormat="1" applyFont="1" applyFill="1" applyBorder="1"/>
    <xf numFmtId="166" fontId="26" fillId="3" borderId="6" xfId="5" applyFont="1" applyFill="1" applyBorder="1"/>
    <xf numFmtId="171" fontId="26" fillId="0" borderId="0" xfId="0" applyNumberFormat="1" applyFont="1"/>
    <xf numFmtId="8" fontId="26" fillId="0" borderId="0" xfId="0" applyNumberFormat="1" applyFont="1"/>
    <xf numFmtId="7" fontId="26" fillId="0" borderId="0" xfId="0" applyNumberFormat="1" applyFont="1"/>
    <xf numFmtId="171" fontId="25" fillId="0" borderId="0" xfId="0" applyNumberFormat="1" applyFont="1"/>
    <xf numFmtId="0" fontId="25" fillId="0" borderId="0" xfId="0" applyFont="1"/>
    <xf numFmtId="172" fontId="25" fillId="0" borderId="0" xfId="0" applyNumberFormat="1" applyFont="1"/>
    <xf numFmtId="0" fontId="26" fillId="0" borderId="0" xfId="0" applyFont="1" applyFill="1" applyBorder="1"/>
    <xf numFmtId="0" fontId="29" fillId="0" borderId="0" xfId="0" applyFont="1" applyFill="1" applyBorder="1" applyAlignment="1">
      <alignment horizontal="center" vertical="center" wrapText="1"/>
    </xf>
    <xf numFmtId="0" fontId="30" fillId="0" borderId="0" xfId="0" applyFont="1" applyFill="1" applyBorder="1" applyAlignment="1">
      <alignment horizontal="center" wrapText="1"/>
    </xf>
    <xf numFmtId="0" fontId="26" fillId="0" borderId="0" xfId="0" applyFont="1" applyBorder="1"/>
    <xf numFmtId="3" fontId="25" fillId="0" borderId="0" xfId="0" applyNumberFormat="1" applyFont="1" applyBorder="1"/>
    <xf numFmtId="175" fontId="26" fillId="0" borderId="0" xfId="0" applyNumberFormat="1" applyFont="1" applyFill="1" applyBorder="1"/>
    <xf numFmtId="3" fontId="26" fillId="0" borderId="0" xfId="0" applyNumberFormat="1" applyFont="1" applyFill="1" applyBorder="1"/>
    <xf numFmtId="8" fontId="25" fillId="0" borderId="1" xfId="0" applyNumberFormat="1" applyFont="1" applyBorder="1"/>
    <xf numFmtId="0" fontId="25" fillId="0" borderId="0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vertical="center" wrapText="1"/>
    </xf>
    <xf numFmtId="17" fontId="26" fillId="0" borderId="0" xfId="0" applyNumberFormat="1" applyFont="1" applyFill="1" applyBorder="1"/>
    <xf numFmtId="173" fontId="26" fillId="0" borderId="0" xfId="0" applyNumberFormat="1" applyFont="1" applyFill="1" applyBorder="1"/>
    <xf numFmtId="176" fontId="26" fillId="0" borderId="0" xfId="0" applyNumberFormat="1" applyFont="1" applyFill="1" applyBorder="1"/>
    <xf numFmtId="171" fontId="26" fillId="0" borderId="0" xfId="0" applyNumberFormat="1" applyFont="1" applyFill="1" applyBorder="1"/>
    <xf numFmtId="166" fontId="26" fillId="0" borderId="0" xfId="5" applyFont="1" applyFill="1" applyBorder="1"/>
    <xf numFmtId="174" fontId="26" fillId="0" borderId="0" xfId="0" applyNumberFormat="1" applyFont="1" applyFill="1" applyBorder="1"/>
    <xf numFmtId="172" fontId="26" fillId="0" borderId="0" xfId="0" applyNumberFormat="1" applyFont="1" applyFill="1" applyBorder="1"/>
    <xf numFmtId="0" fontId="3" fillId="0" borderId="0" xfId="1" applyBorder="1" applyAlignment="1">
      <alignment vertical="center"/>
    </xf>
    <xf numFmtId="0" fontId="15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16" fillId="6" borderId="0" xfId="0" applyFont="1" applyFill="1" applyBorder="1" applyAlignment="1">
      <alignment horizontal="center" vertical="top" wrapText="1"/>
    </xf>
    <xf numFmtId="40" fontId="0" fillId="0" borderId="0" xfId="0" applyNumberFormat="1" applyBorder="1" applyAlignment="1">
      <alignment horizontal="center"/>
    </xf>
    <xf numFmtId="0" fontId="16" fillId="0" borderId="0" xfId="0" applyFont="1" applyBorder="1" applyAlignment="1">
      <alignment horizontal="center" vertical="top" wrapText="1"/>
    </xf>
    <xf numFmtId="40" fontId="16" fillId="0" borderId="0" xfId="0" applyNumberFormat="1" applyFont="1" applyBorder="1" applyAlignment="1">
      <alignment horizontal="center" vertical="top" wrapText="1"/>
    </xf>
    <xf numFmtId="40" fontId="16" fillId="6" borderId="0" xfId="0" applyNumberFormat="1" applyFont="1" applyFill="1" applyBorder="1" applyAlignment="1">
      <alignment horizontal="center" vertical="top" wrapText="1"/>
    </xf>
    <xf numFmtId="4" fontId="16" fillId="6" borderId="0" xfId="0" applyNumberFormat="1" applyFont="1" applyFill="1" applyBorder="1" applyAlignment="1">
      <alignment horizontal="center" vertical="top" wrapText="1"/>
    </xf>
    <xf numFmtId="0" fontId="3" fillId="0" borderId="0" xfId="1" applyBorder="1"/>
    <xf numFmtId="164" fontId="10" fillId="12" borderId="15" xfId="3" applyNumberFormat="1" applyFont="1" applyFill="1" applyBorder="1" applyAlignment="1">
      <alignment vertical="center"/>
    </xf>
    <xf numFmtId="0" fontId="4" fillId="0" borderId="0" xfId="1" applyFont="1" applyAlignment="1">
      <alignment horizontal="center" vertical="center"/>
    </xf>
    <xf numFmtId="0" fontId="29" fillId="11" borderId="6" xfId="0" applyFont="1" applyFill="1" applyBorder="1" applyAlignment="1">
      <alignment horizontal="center" vertical="center" wrapText="1"/>
    </xf>
    <xf numFmtId="0" fontId="25" fillId="0" borderId="7" xfId="0" applyFont="1" applyBorder="1" applyAlignment="1">
      <alignment horizontal="center" vertical="center"/>
    </xf>
    <xf numFmtId="0" fontId="25" fillId="0" borderId="16" xfId="0" applyFont="1" applyBorder="1" applyAlignment="1">
      <alignment horizontal="center" vertical="center"/>
    </xf>
    <xf numFmtId="0" fontId="29" fillId="11" borderId="12" xfId="0" applyFont="1" applyFill="1" applyBorder="1" applyAlignment="1">
      <alignment horizontal="center"/>
    </xf>
    <xf numFmtId="0" fontId="29" fillId="11" borderId="4" xfId="0" applyFont="1" applyFill="1" applyBorder="1" applyAlignment="1">
      <alignment horizontal="center"/>
    </xf>
    <xf numFmtId="0" fontId="29" fillId="11" borderId="5" xfId="0" applyFont="1" applyFill="1" applyBorder="1" applyAlignment="1">
      <alignment horizontal="center"/>
    </xf>
    <xf numFmtId="0" fontId="25" fillId="2" borderId="6" xfId="0" applyFont="1" applyFill="1" applyBorder="1" applyAlignment="1">
      <alignment horizontal="center" vertical="center"/>
    </xf>
  </cellXfs>
  <cellStyles count="7">
    <cellStyle name="Comma 2" xfId="3" xr:uid="{00000000-0005-0000-0000-000000000000}"/>
    <cellStyle name="Comma 3" xfId="5" xr:uid="{00000000-0005-0000-0000-000001000000}"/>
    <cellStyle name="Currency 2" xfId="4" xr:uid="{00000000-0005-0000-0000-000002000000}"/>
    <cellStyle name="Hyperlink" xfId="6" builtinId="8"/>
    <cellStyle name="Normal" xfId="0" builtinId="0"/>
    <cellStyle name="Normal 2" xfId="1" xr:uid="{00000000-0005-0000-0000-000005000000}"/>
    <cellStyle name="Percent 2" xfId="2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externalLink" Target="externalLinks/externalLink21.xml"/><Relationship Id="rId117" Type="http://schemas.openxmlformats.org/officeDocument/2006/relationships/externalLink" Target="externalLinks/externalLink112.xml"/><Relationship Id="rId21" Type="http://schemas.openxmlformats.org/officeDocument/2006/relationships/externalLink" Target="externalLinks/externalLink16.xml"/><Relationship Id="rId42" Type="http://schemas.openxmlformats.org/officeDocument/2006/relationships/externalLink" Target="externalLinks/externalLink37.xml"/><Relationship Id="rId47" Type="http://schemas.openxmlformats.org/officeDocument/2006/relationships/externalLink" Target="externalLinks/externalLink42.xml"/><Relationship Id="rId63" Type="http://schemas.openxmlformats.org/officeDocument/2006/relationships/externalLink" Target="externalLinks/externalLink58.xml"/><Relationship Id="rId68" Type="http://schemas.openxmlformats.org/officeDocument/2006/relationships/externalLink" Target="externalLinks/externalLink63.xml"/><Relationship Id="rId84" Type="http://schemas.openxmlformats.org/officeDocument/2006/relationships/externalLink" Target="externalLinks/externalLink79.xml"/><Relationship Id="rId89" Type="http://schemas.openxmlformats.org/officeDocument/2006/relationships/externalLink" Target="externalLinks/externalLink84.xml"/><Relationship Id="rId112" Type="http://schemas.openxmlformats.org/officeDocument/2006/relationships/externalLink" Target="externalLinks/externalLink107.xml"/><Relationship Id="rId16" Type="http://schemas.openxmlformats.org/officeDocument/2006/relationships/externalLink" Target="externalLinks/externalLink11.xml"/><Relationship Id="rId107" Type="http://schemas.openxmlformats.org/officeDocument/2006/relationships/externalLink" Target="externalLinks/externalLink102.xml"/><Relationship Id="rId11" Type="http://schemas.openxmlformats.org/officeDocument/2006/relationships/externalLink" Target="externalLinks/externalLink6.xml"/><Relationship Id="rId32" Type="http://schemas.openxmlformats.org/officeDocument/2006/relationships/externalLink" Target="externalLinks/externalLink27.xml"/><Relationship Id="rId37" Type="http://schemas.openxmlformats.org/officeDocument/2006/relationships/externalLink" Target="externalLinks/externalLink32.xml"/><Relationship Id="rId53" Type="http://schemas.openxmlformats.org/officeDocument/2006/relationships/externalLink" Target="externalLinks/externalLink48.xml"/><Relationship Id="rId58" Type="http://schemas.openxmlformats.org/officeDocument/2006/relationships/externalLink" Target="externalLinks/externalLink53.xml"/><Relationship Id="rId74" Type="http://schemas.openxmlformats.org/officeDocument/2006/relationships/externalLink" Target="externalLinks/externalLink69.xml"/><Relationship Id="rId79" Type="http://schemas.openxmlformats.org/officeDocument/2006/relationships/externalLink" Target="externalLinks/externalLink74.xml"/><Relationship Id="rId102" Type="http://schemas.openxmlformats.org/officeDocument/2006/relationships/externalLink" Target="externalLinks/externalLink97.xml"/><Relationship Id="rId123" Type="http://schemas.openxmlformats.org/officeDocument/2006/relationships/calcChain" Target="calcChain.xml"/><Relationship Id="rId5" Type="http://schemas.openxmlformats.org/officeDocument/2006/relationships/worksheet" Target="worksheets/sheet5.xml"/><Relationship Id="rId61" Type="http://schemas.openxmlformats.org/officeDocument/2006/relationships/externalLink" Target="externalLinks/externalLink56.xml"/><Relationship Id="rId82" Type="http://schemas.openxmlformats.org/officeDocument/2006/relationships/externalLink" Target="externalLinks/externalLink77.xml"/><Relationship Id="rId90" Type="http://schemas.openxmlformats.org/officeDocument/2006/relationships/externalLink" Target="externalLinks/externalLink85.xml"/><Relationship Id="rId95" Type="http://schemas.openxmlformats.org/officeDocument/2006/relationships/externalLink" Target="externalLinks/externalLink90.xml"/><Relationship Id="rId19" Type="http://schemas.openxmlformats.org/officeDocument/2006/relationships/externalLink" Target="externalLinks/externalLink14.xml"/><Relationship Id="rId14" Type="http://schemas.openxmlformats.org/officeDocument/2006/relationships/externalLink" Target="externalLinks/externalLink9.xml"/><Relationship Id="rId22" Type="http://schemas.openxmlformats.org/officeDocument/2006/relationships/externalLink" Target="externalLinks/externalLink17.xml"/><Relationship Id="rId27" Type="http://schemas.openxmlformats.org/officeDocument/2006/relationships/externalLink" Target="externalLinks/externalLink22.xml"/><Relationship Id="rId30" Type="http://schemas.openxmlformats.org/officeDocument/2006/relationships/externalLink" Target="externalLinks/externalLink25.xml"/><Relationship Id="rId35" Type="http://schemas.openxmlformats.org/officeDocument/2006/relationships/externalLink" Target="externalLinks/externalLink30.xml"/><Relationship Id="rId43" Type="http://schemas.openxmlformats.org/officeDocument/2006/relationships/externalLink" Target="externalLinks/externalLink38.xml"/><Relationship Id="rId48" Type="http://schemas.openxmlformats.org/officeDocument/2006/relationships/externalLink" Target="externalLinks/externalLink43.xml"/><Relationship Id="rId56" Type="http://schemas.openxmlformats.org/officeDocument/2006/relationships/externalLink" Target="externalLinks/externalLink51.xml"/><Relationship Id="rId64" Type="http://schemas.openxmlformats.org/officeDocument/2006/relationships/externalLink" Target="externalLinks/externalLink59.xml"/><Relationship Id="rId69" Type="http://schemas.openxmlformats.org/officeDocument/2006/relationships/externalLink" Target="externalLinks/externalLink64.xml"/><Relationship Id="rId77" Type="http://schemas.openxmlformats.org/officeDocument/2006/relationships/externalLink" Target="externalLinks/externalLink72.xml"/><Relationship Id="rId100" Type="http://schemas.openxmlformats.org/officeDocument/2006/relationships/externalLink" Target="externalLinks/externalLink95.xml"/><Relationship Id="rId105" Type="http://schemas.openxmlformats.org/officeDocument/2006/relationships/externalLink" Target="externalLinks/externalLink100.xml"/><Relationship Id="rId113" Type="http://schemas.openxmlformats.org/officeDocument/2006/relationships/externalLink" Target="externalLinks/externalLink108.xml"/><Relationship Id="rId118" Type="http://schemas.openxmlformats.org/officeDocument/2006/relationships/externalLink" Target="externalLinks/externalLink113.xml"/><Relationship Id="rId8" Type="http://schemas.openxmlformats.org/officeDocument/2006/relationships/externalLink" Target="externalLinks/externalLink3.xml"/><Relationship Id="rId51" Type="http://schemas.openxmlformats.org/officeDocument/2006/relationships/externalLink" Target="externalLinks/externalLink46.xml"/><Relationship Id="rId72" Type="http://schemas.openxmlformats.org/officeDocument/2006/relationships/externalLink" Target="externalLinks/externalLink67.xml"/><Relationship Id="rId80" Type="http://schemas.openxmlformats.org/officeDocument/2006/relationships/externalLink" Target="externalLinks/externalLink75.xml"/><Relationship Id="rId85" Type="http://schemas.openxmlformats.org/officeDocument/2006/relationships/externalLink" Target="externalLinks/externalLink80.xml"/><Relationship Id="rId93" Type="http://schemas.openxmlformats.org/officeDocument/2006/relationships/externalLink" Target="externalLinks/externalLink88.xml"/><Relationship Id="rId98" Type="http://schemas.openxmlformats.org/officeDocument/2006/relationships/externalLink" Target="externalLinks/externalLink93.xml"/><Relationship Id="rId121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7.xml"/><Relationship Id="rId17" Type="http://schemas.openxmlformats.org/officeDocument/2006/relationships/externalLink" Target="externalLinks/externalLink12.xml"/><Relationship Id="rId25" Type="http://schemas.openxmlformats.org/officeDocument/2006/relationships/externalLink" Target="externalLinks/externalLink20.xml"/><Relationship Id="rId33" Type="http://schemas.openxmlformats.org/officeDocument/2006/relationships/externalLink" Target="externalLinks/externalLink28.xml"/><Relationship Id="rId38" Type="http://schemas.openxmlformats.org/officeDocument/2006/relationships/externalLink" Target="externalLinks/externalLink33.xml"/><Relationship Id="rId46" Type="http://schemas.openxmlformats.org/officeDocument/2006/relationships/externalLink" Target="externalLinks/externalLink41.xml"/><Relationship Id="rId59" Type="http://schemas.openxmlformats.org/officeDocument/2006/relationships/externalLink" Target="externalLinks/externalLink54.xml"/><Relationship Id="rId67" Type="http://schemas.openxmlformats.org/officeDocument/2006/relationships/externalLink" Target="externalLinks/externalLink62.xml"/><Relationship Id="rId103" Type="http://schemas.openxmlformats.org/officeDocument/2006/relationships/externalLink" Target="externalLinks/externalLink98.xml"/><Relationship Id="rId108" Type="http://schemas.openxmlformats.org/officeDocument/2006/relationships/externalLink" Target="externalLinks/externalLink103.xml"/><Relationship Id="rId116" Type="http://schemas.openxmlformats.org/officeDocument/2006/relationships/externalLink" Target="externalLinks/externalLink111.xml"/><Relationship Id="rId20" Type="http://schemas.openxmlformats.org/officeDocument/2006/relationships/externalLink" Target="externalLinks/externalLink15.xml"/><Relationship Id="rId41" Type="http://schemas.openxmlformats.org/officeDocument/2006/relationships/externalLink" Target="externalLinks/externalLink36.xml"/><Relationship Id="rId54" Type="http://schemas.openxmlformats.org/officeDocument/2006/relationships/externalLink" Target="externalLinks/externalLink49.xml"/><Relationship Id="rId62" Type="http://schemas.openxmlformats.org/officeDocument/2006/relationships/externalLink" Target="externalLinks/externalLink57.xml"/><Relationship Id="rId70" Type="http://schemas.openxmlformats.org/officeDocument/2006/relationships/externalLink" Target="externalLinks/externalLink65.xml"/><Relationship Id="rId75" Type="http://schemas.openxmlformats.org/officeDocument/2006/relationships/externalLink" Target="externalLinks/externalLink70.xml"/><Relationship Id="rId83" Type="http://schemas.openxmlformats.org/officeDocument/2006/relationships/externalLink" Target="externalLinks/externalLink78.xml"/><Relationship Id="rId88" Type="http://schemas.openxmlformats.org/officeDocument/2006/relationships/externalLink" Target="externalLinks/externalLink83.xml"/><Relationship Id="rId91" Type="http://schemas.openxmlformats.org/officeDocument/2006/relationships/externalLink" Target="externalLinks/externalLink86.xml"/><Relationship Id="rId96" Type="http://schemas.openxmlformats.org/officeDocument/2006/relationships/externalLink" Target="externalLinks/externalLink91.xml"/><Relationship Id="rId111" Type="http://schemas.openxmlformats.org/officeDocument/2006/relationships/externalLink" Target="externalLinks/externalLink10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openxmlformats.org/officeDocument/2006/relationships/externalLink" Target="externalLinks/externalLink10.xml"/><Relationship Id="rId23" Type="http://schemas.openxmlformats.org/officeDocument/2006/relationships/externalLink" Target="externalLinks/externalLink18.xml"/><Relationship Id="rId28" Type="http://schemas.openxmlformats.org/officeDocument/2006/relationships/externalLink" Target="externalLinks/externalLink23.xml"/><Relationship Id="rId36" Type="http://schemas.openxmlformats.org/officeDocument/2006/relationships/externalLink" Target="externalLinks/externalLink31.xml"/><Relationship Id="rId49" Type="http://schemas.openxmlformats.org/officeDocument/2006/relationships/externalLink" Target="externalLinks/externalLink44.xml"/><Relationship Id="rId57" Type="http://schemas.openxmlformats.org/officeDocument/2006/relationships/externalLink" Target="externalLinks/externalLink52.xml"/><Relationship Id="rId106" Type="http://schemas.openxmlformats.org/officeDocument/2006/relationships/externalLink" Target="externalLinks/externalLink101.xml"/><Relationship Id="rId114" Type="http://schemas.openxmlformats.org/officeDocument/2006/relationships/externalLink" Target="externalLinks/externalLink109.xml"/><Relationship Id="rId119" Type="http://schemas.openxmlformats.org/officeDocument/2006/relationships/externalLink" Target="externalLinks/externalLink114.xml"/><Relationship Id="rId10" Type="http://schemas.openxmlformats.org/officeDocument/2006/relationships/externalLink" Target="externalLinks/externalLink5.xml"/><Relationship Id="rId31" Type="http://schemas.openxmlformats.org/officeDocument/2006/relationships/externalLink" Target="externalLinks/externalLink26.xml"/><Relationship Id="rId44" Type="http://schemas.openxmlformats.org/officeDocument/2006/relationships/externalLink" Target="externalLinks/externalLink39.xml"/><Relationship Id="rId52" Type="http://schemas.openxmlformats.org/officeDocument/2006/relationships/externalLink" Target="externalLinks/externalLink47.xml"/><Relationship Id="rId60" Type="http://schemas.openxmlformats.org/officeDocument/2006/relationships/externalLink" Target="externalLinks/externalLink55.xml"/><Relationship Id="rId65" Type="http://schemas.openxmlformats.org/officeDocument/2006/relationships/externalLink" Target="externalLinks/externalLink60.xml"/><Relationship Id="rId73" Type="http://schemas.openxmlformats.org/officeDocument/2006/relationships/externalLink" Target="externalLinks/externalLink68.xml"/><Relationship Id="rId78" Type="http://schemas.openxmlformats.org/officeDocument/2006/relationships/externalLink" Target="externalLinks/externalLink73.xml"/><Relationship Id="rId81" Type="http://schemas.openxmlformats.org/officeDocument/2006/relationships/externalLink" Target="externalLinks/externalLink76.xml"/><Relationship Id="rId86" Type="http://schemas.openxmlformats.org/officeDocument/2006/relationships/externalLink" Target="externalLinks/externalLink81.xml"/><Relationship Id="rId94" Type="http://schemas.openxmlformats.org/officeDocument/2006/relationships/externalLink" Target="externalLinks/externalLink89.xml"/><Relationship Id="rId99" Type="http://schemas.openxmlformats.org/officeDocument/2006/relationships/externalLink" Target="externalLinks/externalLink94.xml"/><Relationship Id="rId101" Type="http://schemas.openxmlformats.org/officeDocument/2006/relationships/externalLink" Target="externalLinks/externalLink96.xml"/><Relationship Id="rId122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3" Type="http://schemas.openxmlformats.org/officeDocument/2006/relationships/externalLink" Target="externalLinks/externalLink8.xml"/><Relationship Id="rId18" Type="http://schemas.openxmlformats.org/officeDocument/2006/relationships/externalLink" Target="externalLinks/externalLink13.xml"/><Relationship Id="rId39" Type="http://schemas.openxmlformats.org/officeDocument/2006/relationships/externalLink" Target="externalLinks/externalLink34.xml"/><Relationship Id="rId109" Type="http://schemas.openxmlformats.org/officeDocument/2006/relationships/externalLink" Target="externalLinks/externalLink104.xml"/><Relationship Id="rId34" Type="http://schemas.openxmlformats.org/officeDocument/2006/relationships/externalLink" Target="externalLinks/externalLink29.xml"/><Relationship Id="rId50" Type="http://schemas.openxmlformats.org/officeDocument/2006/relationships/externalLink" Target="externalLinks/externalLink45.xml"/><Relationship Id="rId55" Type="http://schemas.openxmlformats.org/officeDocument/2006/relationships/externalLink" Target="externalLinks/externalLink50.xml"/><Relationship Id="rId76" Type="http://schemas.openxmlformats.org/officeDocument/2006/relationships/externalLink" Target="externalLinks/externalLink71.xml"/><Relationship Id="rId97" Type="http://schemas.openxmlformats.org/officeDocument/2006/relationships/externalLink" Target="externalLinks/externalLink92.xml"/><Relationship Id="rId104" Type="http://schemas.openxmlformats.org/officeDocument/2006/relationships/externalLink" Target="externalLinks/externalLink99.xml"/><Relationship Id="rId120" Type="http://schemas.openxmlformats.org/officeDocument/2006/relationships/theme" Target="theme/theme1.xml"/><Relationship Id="rId7" Type="http://schemas.openxmlformats.org/officeDocument/2006/relationships/externalLink" Target="externalLinks/externalLink2.xml"/><Relationship Id="rId71" Type="http://schemas.openxmlformats.org/officeDocument/2006/relationships/externalLink" Target="externalLinks/externalLink66.xml"/><Relationship Id="rId92" Type="http://schemas.openxmlformats.org/officeDocument/2006/relationships/externalLink" Target="externalLinks/externalLink87.xml"/><Relationship Id="rId2" Type="http://schemas.openxmlformats.org/officeDocument/2006/relationships/worksheet" Target="worksheets/sheet2.xml"/><Relationship Id="rId29" Type="http://schemas.openxmlformats.org/officeDocument/2006/relationships/externalLink" Target="externalLinks/externalLink24.xml"/><Relationship Id="rId24" Type="http://schemas.openxmlformats.org/officeDocument/2006/relationships/externalLink" Target="externalLinks/externalLink19.xml"/><Relationship Id="rId40" Type="http://schemas.openxmlformats.org/officeDocument/2006/relationships/externalLink" Target="externalLinks/externalLink35.xml"/><Relationship Id="rId45" Type="http://schemas.openxmlformats.org/officeDocument/2006/relationships/externalLink" Target="externalLinks/externalLink40.xml"/><Relationship Id="rId66" Type="http://schemas.openxmlformats.org/officeDocument/2006/relationships/externalLink" Target="externalLinks/externalLink61.xml"/><Relationship Id="rId87" Type="http://schemas.openxmlformats.org/officeDocument/2006/relationships/externalLink" Target="externalLinks/externalLink82.xml"/><Relationship Id="rId110" Type="http://schemas.openxmlformats.org/officeDocument/2006/relationships/externalLink" Target="externalLinks/externalLink105.xml"/><Relationship Id="rId115" Type="http://schemas.openxmlformats.org/officeDocument/2006/relationships/externalLink" Target="externalLinks/externalLink110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ontarioenergyboard.ca/Applications%20Department/Department%20Applications/Rates/2014%20Electricity%20Rates/$Filing%20Requirements/Filing_Requirements_Chapter2_Appendices_V1.1%20FOR%202014_June4.xlsm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1\eichsteller$\My%20Documents\EXCEL\COSA\COSA_Unbundling%20(MEA)\Mea_UCA_test.xls" TargetMode="External"/></Relationships>
</file>

<file path=xl/externalLinks/_rels/externalLink100.xml.rels><?xml version="1.0" encoding="UTF-8" standalone="yes"?>
<Relationships xmlns="http://schemas.openxmlformats.org/package/2006/relationships"><Relationship Id="rId1" Type="http://schemas.openxmlformats.org/officeDocument/2006/relationships/externalLinkPath" Target="/IESO%20Statements/IESO%20Statements/GHESI/2017/June%202017%20CNF-GUELPHHYDRO_ST-P-P_20170630.xlsx" TargetMode="External"/></Relationships>
</file>

<file path=xl/externalLinks/_rels/externalLink101.xml.rels><?xml version="1.0" encoding="UTF-8" standalone="yes"?>
<Relationships xmlns="http://schemas.openxmlformats.org/package/2006/relationships"><Relationship Id="rId1" Type="http://schemas.openxmlformats.org/officeDocument/2006/relationships/externalLinkPath" Target="/Rate%20Submissions/Regulatory%20Affairs/UBR/2015%2012/Nov%202015%20vs%20Dec%202015%20Unbilled%20Revenue.xlsx" TargetMode="External"/></Relationships>
</file>

<file path=xl/externalLinks/_rels/externalLink102.xml.rels><?xml version="1.0" encoding="UTF-8" standalone="yes"?>
<Relationships xmlns="http://schemas.openxmlformats.org/package/2006/relationships"><Relationship Id="rId1" Type="http://schemas.openxmlformats.org/officeDocument/2006/relationships/externalLinkPath" Target="/Rate%20Submissions/2018/Models/Guelph_GA%20Analysis%20Workform_20170815.xlsx" TargetMode="External"/></Relationships>
</file>

<file path=xl/externalLinks/_rels/externalLink103.xml.rels><?xml version="1.0" encoding="UTF-8" standalone="yes"?>
<Relationships xmlns="http://schemas.openxmlformats.org/package/2006/relationships"><Relationship Id="rId1" Type="http://schemas.openxmlformats.org/officeDocument/2006/relationships/externalLinkPath" Target="/Rate%20Submissions/Regulatory%20Affairs/UBR/2016/2016%2001/Jan%202016%20vs%20Dec%202015%20Unbilled%20Revenue.xlsx" TargetMode="External"/></Relationships>
</file>

<file path=xl/externalLinks/_rels/externalLink104.xml.rels><?xml version="1.0" encoding="UTF-8" standalone="yes"?>
<Relationships xmlns="http://schemas.openxmlformats.org/package/2006/relationships"><Relationship Id="rId1" Type="http://schemas.openxmlformats.org/officeDocument/2006/relationships/externalLinkPath" Target="/Rate%20Submissions/Regulatory%20Affairs/UBR/2016/2016%2002/Feb%202016%20vs%20Jan%202016%20Unbilled%20Revenue.xlsx" TargetMode="External"/></Relationships>
</file>

<file path=xl/externalLinks/_rels/externalLink105.xml.rels><?xml version="1.0" encoding="UTF-8" standalone="yes"?>
<Relationships xmlns="http://schemas.openxmlformats.org/package/2006/relationships"><Relationship Id="rId1" Type="http://schemas.openxmlformats.org/officeDocument/2006/relationships/externalLinkPath" Target="/Rate%20Submissions/Regulatory%20Affairs/UBR/2016/2016%2003/Mar%202016%20vs%20Feb%202016%20Unbilled%20Revenue.xlsx" TargetMode="External"/></Relationships>
</file>

<file path=xl/externalLinks/_rels/externalLink106.xml.rels><?xml version="1.0" encoding="UTF-8" standalone="yes"?>
<Relationships xmlns="http://schemas.openxmlformats.org/package/2006/relationships"><Relationship Id="rId1" Type="http://schemas.openxmlformats.org/officeDocument/2006/relationships/externalLinkPath" Target="/Rate%20Submissions/Regulatory%20Affairs/UBR/2016/2016%2004/Apr%202016%20vs%20Mar%202016%20Unbilled%20Revenue.xlsx" TargetMode="External"/></Relationships>
</file>

<file path=xl/externalLinks/_rels/externalLink107.xml.rels><?xml version="1.0" encoding="UTF-8" standalone="yes"?>
<Relationships xmlns="http://schemas.openxmlformats.org/package/2006/relationships"><Relationship Id="rId1" Type="http://schemas.openxmlformats.org/officeDocument/2006/relationships/externalLinkPath" Target="/Rate%20Submissions/Regulatory%20Affairs/UBR/2016/2016%2005/May%202016%20vs%20Apr%202016%20Unbilled%20Revenue.xlsx" TargetMode="External"/></Relationships>
</file>

<file path=xl/externalLinks/_rels/externalLink108.xml.rels><?xml version="1.0" encoding="UTF-8" standalone="yes"?>
<Relationships xmlns="http://schemas.openxmlformats.org/package/2006/relationships"><Relationship Id="rId1" Type="http://schemas.openxmlformats.org/officeDocument/2006/relationships/externalLinkPath" Target="/Rate%20Submissions/Regulatory%20Affairs/UBR/2016/2016%2006/June%202016%20vs%20May%202016%20Unbilled%20Revenue.xlsx" TargetMode="External"/></Relationships>
</file>

<file path=xl/externalLinks/_rels/externalLink109.xml.rels><?xml version="1.0" encoding="UTF-8" standalone="yes"?>
<Relationships xmlns="http://schemas.openxmlformats.org/package/2006/relationships"><Relationship Id="rId1" Type="http://schemas.openxmlformats.org/officeDocument/2006/relationships/externalLinkPath" Target="/Rate%20Submissions/Regulatory%20Affairs/UBR/2016/2016%2007/July%202016%20vs%20June%202016%20Unbilled%20Revenue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Rate%20Submissions/Regulatory%20Affairs/UBR/2017/2017%2001/Jan%202017%20vs%20Dec%202016%20Unbilled%20Revenue_V2.xlsx" TargetMode="External"/></Relationships>
</file>

<file path=xl/externalLinks/_rels/externalLink110.xml.rels><?xml version="1.0" encoding="UTF-8" standalone="yes"?>
<Relationships xmlns="http://schemas.openxmlformats.org/package/2006/relationships"><Relationship Id="rId1" Type="http://schemas.openxmlformats.org/officeDocument/2006/relationships/externalLinkPath" Target="/Rate%20Submissions/Regulatory%20Affairs/UBR/2016/2016%2008/Aug%202016%20vs%20July%202016%20Unbilled%20Revenue.xlsx" TargetMode="External"/></Relationships>
</file>

<file path=xl/externalLinks/_rels/externalLink111.xml.rels><?xml version="1.0" encoding="UTF-8" standalone="yes"?>
<Relationships xmlns="http://schemas.openxmlformats.org/package/2006/relationships"><Relationship Id="rId1" Type="http://schemas.openxmlformats.org/officeDocument/2006/relationships/externalLinkPath" Target="/Rate%20Submissions/Regulatory%20Affairs/UBR/2016/2016%2009/Sept%202016%20vs%20Aug%202016%20Unbilled%20Revenue.xlsx" TargetMode="External"/></Relationships>
</file>

<file path=xl/externalLinks/_rels/externalLink112.xml.rels><?xml version="1.0" encoding="UTF-8" standalone="yes"?>
<Relationships xmlns="http://schemas.openxmlformats.org/package/2006/relationships"><Relationship Id="rId1" Type="http://schemas.openxmlformats.org/officeDocument/2006/relationships/externalLinkPath" Target="/Rate%20Submissions/Regulatory%20Affairs/UBR/2016/2016%2010/Oct%202016%20vs%20Sept%202016%20Unbilled%20Revenue.xlsx" TargetMode="External"/></Relationships>
</file>

<file path=xl/externalLinks/_rels/externalLink113.xml.rels><?xml version="1.0" encoding="UTF-8" standalone="yes"?>
<Relationships xmlns="http://schemas.openxmlformats.org/package/2006/relationships"><Relationship Id="rId1" Type="http://schemas.openxmlformats.org/officeDocument/2006/relationships/externalLinkPath" Target="/Rate%20Submissions/Regulatory%20Affairs/UBR/2016/2016%2011/Nov%202016%20vs%20Oct%202016%20Unbilled%20Revenue.xlsx" TargetMode="External"/></Relationships>
</file>

<file path=xl/externalLinks/_rels/externalLink114.xml.rels><?xml version="1.0" encoding="UTF-8" standalone="yes"?>
<Relationships xmlns="http://schemas.openxmlformats.org/package/2006/relationships"><Relationship Id="rId1" Type="http://schemas.openxmlformats.org/officeDocument/2006/relationships/externalLinkPath" Target="/Rate%20Submissions/Regulatory%20Affairs/UBR/2016/2016%2012/Dec%202016%20vs%20Nov%202016%20Unbilled%20Revenue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Rate%20Submissions/GA%20Analysis/2017%20GA%20analysis/2017_Guelph_GA_Analysis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Rate%20Submissions/GA%20Analysis/2017%20GA%20analysis/Flash%20Reports%20Query/RA-Flash%20Report%20Billed-20170101-20170131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Rate%20Submissions/GA%20Analysis/2017%20GA%20analysis/Flash%20Reports%20Query/RA-Flash%20Report%20Adjustments-170101-170131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Rate%20Submissions/Regulatory%20Affairs/UBR/2017/2017%2002/Feb%202017%20vs%20Jan%202017%20Unbilled%20Revenue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Rate%20Submissions/GA%20Analysis/2017%20GA%20analysis/Flash%20Reports%20Query/RA-Flash%20Report%20Billed-20170201-20170228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Rate%20Submissions/GA%20Analysis/2017%20GA%20analysis/Flash%20Reports%20Query/RA-Flash%20Report%20Adjustments-170201-170228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Rate%20Submissions/Regulatory%20Affairs/UBR/2017/2017%2003/Mar%202017%20vs%20Feb%202017%20Unbilled%20Revenue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Rate%20Submissions/GA%20Analysis/2017%20GA%20analysis/Flash%20Reports%20Query/RA-Flash%20Report%20Billed-20170301-2017033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Applications%20Department\Department%20Applications\Rates\2019%20Electricity%20Rates\IRM\IRM%20Rate%20Gen%20Model\Model%20in%20dev\2019%20IRM%20Rate%20Generator%20Model%20-%20V2%20-%20FILLED%20IN%20MODEL.xlsb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/Rate%20Submissions/GA%20Analysis/2017%20GA%20analysis/Flash%20Reports%20Query/RA-Flash%20Report%20Adjustments-170301-170331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Rate%20Submissions/Regulatory%20Affairs/UBR/2017/2017%2004/Apr%202017%20vs%20Mar%202017%20Unbilled%20Revenue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/Rate%20Submissions/GA%20Analysis/2017%20GA%20analysis/Flash%20Reports%20Query/RA-Flash%20Report%20Billed-20170401-20170430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/Rate%20Submissions/GA%20Analysis/2017%20GA%20analysis/Flash%20Reports%20Query/RA-Flash%20Report%20Adjustments-170401-170430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/Rate%20Submissions/Regulatory%20Affairs/UBR/2017/2017%2005/May%202017%20vs%20Apr%202017%20Unbilled%20Revenue.xlsx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/Rate%20Submissions/GA%20Analysis/2017%20GA%20analysis/Flash%20Reports%20Query/RA-Flash%20Report%20Billed-20170501-20170531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/Rate%20Submissions/GA%20Analysis/2017%20GA%20analysis/Flash%20Reports%20Query/RA-Flash%20Report%20Adjustments-170501-170531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/Rate%20Submissions/Regulatory%20Affairs/UBR/2017/2017%2006/June%202017%20vs%20May%202017%20Unbilled%20Revenue.xlsx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/Rate%20Submissions/GA%20Analysis/2017%20GA%20analysis/Flash%20Reports%20Query/RA-Flash%20Report%20Billed-20170601-20170630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/Rate%20Submissions/GA%20Analysis/2017%20GA%20analysis/Flash%20Reports%20Query/RA-Flash%20Report%20Adjustments-170601-17063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1\amar$\My%20Documents\EXCEL\COSA\COSA_Unbundling%20(MEA)\Mea_UCA_test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/Rate%20Submissions/Regulatory%20Affairs/UBR/2017/2017%2007/July%202017%20vs%20June%202017%20Unbilled%20Revenue.xlsx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/Rate%20Submissions/GA%20Analysis/2017%20GA%20analysis/Flash%20Reports%20Query/RA-Flash%20Report%20Billed-20170701-20170731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/Rate%20Submissions/GA%20Analysis/2017%20GA%20analysis/Flash%20Reports%20Query/RA-Flash%20Report%20Adjustments-170701-170731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/Rate%20Submissions/Regulatory%20Affairs/UBR/2017/2017%2008/Aug%202017%20vs%20July%202017%20Unbilled%20Revenue.xlsx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/Rate%20Submissions/GA%20Analysis/2017%20GA%20analysis/Flash%20Reports%20Query/RA-Flash%20Report%20Billed-20170801-20170831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/Rate%20Submissions/GA%20Analysis/2017%20GA%20analysis/Flash%20Reports%20Query/RA-Flash%20Report%20Adjustments-170801-170831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/Rate%20Submissions/Regulatory%20Affairs/UBR/2017/2017%2009/Sept%202017%20vs%20Aug%202017%20Unbilled%20Revenue.xlsx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/Rate%20Submissions/GA%20Analysis/2017%20GA%20analysis/Flash%20Reports%20Query/RA-Flash%20Report%20Billed-20170901-20170930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/Rate%20Submissions/GA%20Analysis/2017%20GA%20analysis/Flash%20Reports%20Query/RA-Flash%20Report%20Adjustments-170901-170930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/Rate%20Submissions/Regulatory%20Affairs/UBR/2017/2017%2010/Oct%202017%20vs%20Sep%202017%20Unbilled%20Revenue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Applications%20Department\Department%20Applications\Rates\2019%20Electricity%20Rates\IRM\IRM%20Rate%20Gen%20Model\Model%20in%20dev\2019%20IRM%20Rate%20Generator%20Model%20-%20V1.xlsb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/Rate%20Submissions/GA%20Analysis/2017%20GA%20analysis/Flash%20Reports%20Query/RA-Flash%20Report%20Billed-20171001-20171031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/Rate%20Submissions/GA%20Analysis/2017%20GA%20analysis/Flash%20Reports%20Query/RA-Flash%20Report%20Adjustments-171001-171031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/Rate%20Submissions/Regulatory%20Affairs/UBR/2017/2017%2011/Nov%202017%20vs%20Oct%202017%20Unbilled%20Revenue.xlsx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/Rate%20Submissions/GA%20Analysis/2017%20GA%20analysis/Flash%20Reports%20Query/RA-Flash%20Report%20Billed-20171101-20171130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/Rate%20Submissions/GA%20Analysis/2017%20GA%20analysis/Flash%20Reports%20Query/RA-Flash%20Report%20Adjustments-171101-171130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/Rate%20Submissions/Regulatory%20Affairs/UBR/2017/2017%2012/Dec%202017%20vs%20Nov%202017%20Unbilled%20Revenue_using%20CIS%20Billed%20Rev%20query_GA%201st%20est.xlsx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/Rate%20Submissions/GA%20Analysis/2017%20GA%20analysis/Flash%20Reports%20Query/RA-Flash%20Report%20Billed-20171201-20171231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/Rate%20Submissions/GA%20Analysis/2017%20GA%20analysis/Flash%20Reports%20Query/RA-Flash%20Report%20Adjustments-171201-171231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/Rate%20Submissions/GA%20Analysis/2017%20GA%20analysis/FINAL_2017%20Q4%20GHESI%20RSVA%20%231580158415861588V2_20180404.xlsx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/Rate%20Submissions/Regulatory%20Matters/IESO/Report%20Preparation/Form%201598/2016/10/GHESI%2010%202016%20Input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Rate%20Submissions/2019/OEB%20Test%20Models/V4_GA_Analysis_Workform_Updated%20June%207_v4%5eCB.xlsb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/Rate%20Submissions/Regulatory%20Matters/IESO/Report%20Preparation/Form%201598/2016/11/GHESI%2011%202016%20Input.xlsm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/Rate%20Submissions/Regulatory%20Matters/IESO/Report%20Preparation/Form%201598/2016/12/NEW%208%25%20Rebate_GHESI%2012%202016%20Input.xlsm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/Rate%20Submissions/Regulatory%20Matters/IESO/Report%20Preparation/Form%201598/2017/01/NEW%208%25%20Rebate_GHESI%2001%202017%20Input.xlsm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/Rate%20Submissions/Regulatory%20Matters/IESO/Report%20Preparation/Form%201598/2017/02/NEW%208%25%20Rebate_GHESI%2002%202017%20Input.xlsm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/Rate%20Submissions/Regulatory%20Matters/IESO/Report%20Preparation/Form%201598/2017/03/NEW%208%25%20Rebate_GHESI%2003%202017%20Input.xlsm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/Rate%20Submissions/Regulatory%20Matters/IESO/Report%20Preparation/Form%201598/2017/04/NEW%208%25%20Rebate_GHESI%2004%202017%20Input.xlsm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/Rate%20Submissions/Regulatory%20Matters/IESO/Report%20Preparation/Form%201598/2017/05/NEW%208%25%20Rebate_GHESI%2005%202017%20Input.xlsm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/Rate%20Submissions/Regulatory%20Matters/IESO/Report%20Preparation/Form%201598/2017/06/NEW%208%25%20Rebate_GHESI%2006%202017%20Input.xlsm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/Rate%20Submissions/Regulatory%20Matters/IESO/Report%20Preparation/Form%201598/2017/07/NEW%208%25%20Rebate_GHESI%2007%202017%20Input.xlsm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/Rate%20Submissions/Regulatory%20Matters/IESO/Report%20Preparation/Form%201598/2017/08/NEW%208%25%20Rebate_GHESI%2008%202017%20Input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Rate%20Submissions/2019/OEB%20Test%20Models/FINAL_GA_Analysis_Workform_Updated%20June%207_20180628.xlsb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/Rate%20Submissions/Regulatory%20Matters/IESO/Report%20Preparation/Form%201598/2017/09/NEW%208%25%20Rebate_GHESI%2009%202017%20Input.xlsm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/Rate%20Submissions/Regulatory%20Matters/IESO/Report%20Preparation/Form%201598/2017/10/NEW%208%25%20Rebate_GHESI%2010%202017%20Input.xlsm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/Rate%20Submissions/Regulatory%20Matters/IESO/Report%20Preparation/Form%201598/2017/11/NEW%208%25%20Rebate_GHESI%2011%202017%20Input.xlsm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/Rate%20Submissions/Regulatory%20Matters/IESO/Report%20Preparation/Form%201598/2018/01/2017%20GA%20True-up%20kWh%20Queries/Dec%201-18%202017_CIS%20Billed%20Revenue%20by%20Range%20grouped%20by%20rec%20code%20%20rate%20components%20and%20%20rate%20effective%20dates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/Rate%20Submissions/Regulatory%20Matters/IESO/Report%20Preparation/Form%201598/2018/01/2017%20GA%20True-up%20kWh%20Queries/Feb%201-17%202017_CIS%20Billed%20Revenue%20by%20Range%20grouped%20by%20rec%20code%20%20rate%20components%20and%20%20rate%20effective%20dates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/Rate%20Submissions/Regulatory%20Matters/IESO/Report%20Preparation/Form%201598/2018/01/2017%20GA%20True-up%20kWh%20Queries/Mar%201-16%202017_CIS%20Billed%20Revenue%20by%20Range%20grouped%20by%20rec%20code%20%20rate%20components%20and%20%20rate%20effective%20dates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/Rate%20Submissions/Regulatory%20Matters/IESO/Report%20Preparation/Form%201598/2018/01/2017%20GA%20True-up%20kWh%20Queries/Apr%201-20%202017_CIS%20Billed%20Revenue%20by%20Range%20grouped%20by%20rec%20code%20%20rate%20components%20and%20%20rate%20effective%20dates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/Rate%20Submissions/Regulatory%20Matters/IESO/Report%20Preparation/Form%201598/2018/01/2017%20GA%20True-up%20kWh%20Queries/May%201-16%202017_CIS%20Billed%20Revenue%20by%20Range%20grouped%20by%20rec%20code%20%20rate%20components%20and%20%20rate%20effective%20dates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/Rate%20Submissions/Regulatory%20Matters/IESO/Report%20Preparation/Form%201598/2018/01/2017%20GA%20True-up%20kWh%20Queries/Jun%201-16%202017_CIS%20Billed%20Revenue%20by%20Range%20grouped%20by%20rec%20code%20%20rate%20components%20and%20%20rate%20effective%20dates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/Rate%20Submissions/Regulatory%20Matters/IESO/Report%20Preparation/Form%201598/2018/01/2017%20GA%20True-up%20kWh%20Queries/Jul%201-19%202017_CIS%20Billed%20Revenue%20by%20Range%20grouped%20by%20rec%20code%20%20rate%20components%20and%20%20rate%20effective%20dates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Rate%20Submissions/2019/OEB%20Test%20Models/GA_Analysis_Workform_Updated%20June%207_v3.xlsb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/Rate%20Submissions/Regulatory%20Matters/IESO/Report%20Preparation/Form%201598/2018/01/2017%20GA%20True-up%20kWh%20Queries/Aug%201-17%202017_CIS%20Billed%20Revenue%20by%20Range%20grouped%20by%20rec%20code%20%20rate%20components%20and%20%20rate%20effective%20dates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/Rate%20Submissions/Regulatory%20Matters/IESO/Report%20Preparation/Form%201598/2018/01/2017%20GA%20True-up%20kWh%20Queries/Sept%201-19%202017_CIS%20Billed%20Revenue%20by%20Range%20grouped%20by%20rec%20code%20%20rate%20components%20and%20%20rate%20effective%20dates.xls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/Rate%20Submissions/Regulatory%20Matters/IESO/Report%20Preparation/Form%201598/2018/01/2017%20GA%20True-up%20kWh%20Queries/Oct%201-18%202017_CIS%20Billed%20Revenue%20by%20Range%20grouped%20by%20rec%20code%20%20rate%20components%20and%20%20rate%20effective%20dates.xl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/Rate%20Submissions/Regulatory%20Matters/IESO/Report%20Preparation/Form%201598/2018/01/2017%20GA%20True-up%20kWh%20Queries/Nov%201-17%202017_CIS%20Billed%20Revenue%20by%20Range%20grouped%20by%20rec%20code%20%20rate%20components%20and%20%20rate%20effective%20dates.xls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/Rate%20Submissions/Regulatory%20Matters/IESO/Report%20Preparation/Form%201598/2017/12/NEW%208%25%20Rebate_GHESI%2012%202017%20Input.xlsm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/Rate%20Submissions/Regulatory%20Matters/IESO/Report%20Preparation/Form%201598/2018/01/2017%20GA%20True-up%20kWh%20Queries/Jan%201-17%202018_CIS%20Billed%20Revenue%20by%20Range%20grouped%20by%20rec%20code%20%20rate%20components%20and%20%20rate%20effective%20dates.xls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/IESO%20Statements/IESO%20Statements/GHESI/2016/Jan%202016_CNF-GUELPHHYDRO_ST-P-P_20160131_v1.xlsx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/IESO%20Statements/IESO%20Statements/GHESI/2016/Feb%202016_CNF-GUELPHHYDRO_ST-P-P_20160229_v1.xlsx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openxmlformats.org/officeDocument/2006/relationships/externalLinkPath" Target="/IESO%20Statements/IESO%20Statements/GHESI/2016/March%202016_CNF-GUELPHHYDRO_ST-P-P_20160331_v1.xlsx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openxmlformats.org/officeDocument/2006/relationships/externalLinkPath" Target="/IESO%20Statements/IESO%20Statements/GHESI/2016/April%202016_CNF-GUELPHHYDRO_ST-P-P_20160430_v1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-FPS02\Groups\Wangka\%7bprofile%7d\Desktop\Users\AbramoMa\Downloads\2016_Filing_Requirements_Chapter2_Appendices_DRAFT%20(1).xlsm" TargetMode="External"/></Relationships>
</file>

<file path=xl/externalLinks/_rels/externalLink80.xml.rels><?xml version="1.0" encoding="UTF-8" standalone="yes"?>
<Relationships xmlns="http://schemas.openxmlformats.org/package/2006/relationships"><Relationship Id="rId1" Type="http://schemas.openxmlformats.org/officeDocument/2006/relationships/externalLinkPath" Target="/IESO%20Statements/IESO%20Statements/GHESI/2016/May%202016_CNF-GUELPHHYDRO_ST-P-P_20160531_v1.xlsx" TargetMode="External"/></Relationships>
</file>

<file path=xl/externalLinks/_rels/externalLink81.xml.rels><?xml version="1.0" encoding="UTF-8" standalone="yes"?>
<Relationships xmlns="http://schemas.openxmlformats.org/package/2006/relationships"><Relationship Id="rId1" Type="http://schemas.openxmlformats.org/officeDocument/2006/relationships/externalLinkPath" Target="/IESO%20Statements/IESO%20Statements/GHESI/2016/June%202016_CNF-GUELPHHYDRO_ST-P-P_20160630_v1.xlsx" TargetMode="External"/></Relationships>
</file>

<file path=xl/externalLinks/_rels/externalLink82.xml.rels><?xml version="1.0" encoding="UTF-8" standalone="yes"?>
<Relationships xmlns="http://schemas.openxmlformats.org/package/2006/relationships"><Relationship Id="rId1" Type="http://schemas.openxmlformats.org/officeDocument/2006/relationships/externalLinkPath" Target="/IESO%20Statements/IESO%20Statements/GHESI/2016/July%202016_CNF-GUELPHHYDRO_ST-P-P_20160731_v1.xlsx" TargetMode="External"/></Relationships>
</file>

<file path=xl/externalLinks/_rels/externalLink83.xml.rels><?xml version="1.0" encoding="UTF-8" standalone="yes"?>
<Relationships xmlns="http://schemas.openxmlformats.org/package/2006/relationships"><Relationship Id="rId1" Type="http://schemas.openxmlformats.org/officeDocument/2006/relationships/externalLinkPath" Target="/IESO%20Statements/IESO%20Statements/GHESI/2016/Aug%202016_CNF-GUELPHHYDRO_ST-P-P_20160831_v1.xlsx" TargetMode="External"/></Relationships>
</file>

<file path=xl/externalLinks/_rels/externalLink84.xml.rels><?xml version="1.0" encoding="UTF-8" standalone="yes"?>
<Relationships xmlns="http://schemas.openxmlformats.org/package/2006/relationships"><Relationship Id="rId1" Type="http://schemas.openxmlformats.org/officeDocument/2006/relationships/externalLinkPath" Target="/IESO%20Statements/IESO%20Statements/GHESI/2016/Sept%202016_CNF-GUELPHHYDRO_ST-P-P_20160930_v1.xlsx" TargetMode="External"/></Relationships>
</file>

<file path=xl/externalLinks/_rels/externalLink85.xml.rels><?xml version="1.0" encoding="UTF-8" standalone="yes"?>
<Relationships xmlns="http://schemas.openxmlformats.org/package/2006/relationships"><Relationship Id="rId1" Type="http://schemas.openxmlformats.org/officeDocument/2006/relationships/externalLinkPath" Target="/IESO%20Statements/IESO%20Statements/GHESI/2016/Oct%202016_CNF-GUELPHHYDRO_ST-P-P_20161031_v1.xlsx" TargetMode="External"/></Relationships>
</file>

<file path=xl/externalLinks/_rels/externalLink86.xml.rels><?xml version="1.0" encoding="UTF-8" standalone="yes"?>
<Relationships xmlns="http://schemas.openxmlformats.org/package/2006/relationships"><Relationship Id="rId1" Type="http://schemas.openxmlformats.org/officeDocument/2006/relationships/externalLinkPath" Target="/IESO%20Statements/IESO%20Statements/GHESI/2016/Nov%202016_CNF-GUELPHHYDRO_ST-P-P_20161130_v1.xlsx" TargetMode="External"/></Relationships>
</file>

<file path=xl/externalLinks/_rels/externalLink87.xml.rels><?xml version="1.0" encoding="UTF-8" standalone="yes"?>
<Relationships xmlns="http://schemas.openxmlformats.org/package/2006/relationships"><Relationship Id="rId1" Type="http://schemas.openxmlformats.org/officeDocument/2006/relationships/externalLinkPath" Target="/IESO%20Statements/IESO%20Statements/GHESI/2016/Dec%202016_CNF-GUELPHHYDRO_ST-P-P_20161231_v1.xlsx" TargetMode="External"/></Relationships>
</file>

<file path=xl/externalLinks/_rels/externalLink88.xml.rels><?xml version="1.0" encoding="UTF-8" standalone="yes"?>
<Relationships xmlns="http://schemas.openxmlformats.org/package/2006/relationships"><Relationship Id="rId1" Type="http://schemas.openxmlformats.org/officeDocument/2006/relationships/externalLinkPath" Target="/IESO%20Statements/IESO%20Statements/GHESI/2017/January%202017_CNF-GUELPHHYDRO_ST-P-P_20170131_v1.xlsx" TargetMode="External"/></Relationships>
</file>

<file path=xl/externalLinks/_rels/externalLink89.xml.rels><?xml version="1.0" encoding="UTF-8" standalone="yes"?>
<Relationships xmlns="http://schemas.openxmlformats.org/package/2006/relationships"><Relationship Id="rId1" Type="http://schemas.openxmlformats.org/officeDocument/2006/relationships/externalLinkPath" Target="/IESO%20Statements/IESO%20Statements/GHESI/2017/February%202017_CNF-GUELPHHYDRO_ST-P-P_20170228_v1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ontarioenergyboard.ca/Home/Market%20Operations/Department%20Applications/Reports/Rates/Electricity%20Rates%20-%20Billing%20Determinants%20Database/2012%20IRM%20DEVELOPMENT/2012%20IRM%20MODEL%20(2ND%20AND%203RD).XLS" TargetMode="External"/></Relationships>
</file>

<file path=xl/externalLinks/_rels/externalLink90.xml.rels><?xml version="1.0" encoding="UTF-8" standalone="yes"?>
<Relationships xmlns="http://schemas.openxmlformats.org/package/2006/relationships"><Relationship Id="rId1" Type="http://schemas.openxmlformats.org/officeDocument/2006/relationships/externalLinkPath" Target="/IESO%20Statements/IESO%20Statements/GHESI/2017/March%202017_CNF-GUELPHHYDRO_ST-P-P_20170331_v1.xlsx" TargetMode="External"/></Relationships>
</file>

<file path=xl/externalLinks/_rels/externalLink91.xml.rels><?xml version="1.0" encoding="UTF-8" standalone="yes"?>
<Relationships xmlns="http://schemas.openxmlformats.org/package/2006/relationships"><Relationship Id="rId1" Type="http://schemas.openxmlformats.org/officeDocument/2006/relationships/externalLinkPath" Target="/IESO%20Statements/IESO%20Statements/GHESI/2017/April%202017%20CNF-GUELPHHYDRO_ST-P-P_20170430_v1.xlsx" TargetMode="External"/></Relationships>
</file>

<file path=xl/externalLinks/_rels/externalLink92.xml.rels><?xml version="1.0" encoding="UTF-8" standalone="yes"?>
<Relationships xmlns="http://schemas.openxmlformats.org/package/2006/relationships"><Relationship Id="rId1" Type="http://schemas.openxmlformats.org/officeDocument/2006/relationships/externalLinkPath" Target="/IESO%20Statements/IESO%20Statements/GHESI/2017/May%202017%20CNF-GUELPHHYDRO_ST-P-P_20170531.xlsx" TargetMode="External"/></Relationships>
</file>

<file path=xl/externalLinks/_rels/externalLink93.xml.rels><?xml version="1.0" encoding="UTF-8" standalone="yes"?>
<Relationships xmlns="http://schemas.openxmlformats.org/package/2006/relationships"><Relationship Id="rId1" Type="http://schemas.openxmlformats.org/officeDocument/2006/relationships/externalLinkPath" Target="/IESO%20Statements/IESO%20Statements/GHESI/2017/June%202017_CLEAN_CNF-GUELPHHYDRO_ST-P-P_20170630_v1.xlsx" TargetMode="External"/></Relationships>
</file>

<file path=xl/externalLinks/_rels/externalLink94.xml.rels><?xml version="1.0" encoding="UTF-8" standalone="yes"?>
<Relationships xmlns="http://schemas.openxmlformats.org/package/2006/relationships"><Relationship Id="rId1" Type="http://schemas.openxmlformats.org/officeDocument/2006/relationships/externalLinkPath" Target="/IESO%20Statements/IESO%20Statements/GHESI/2017/CNF-GUELPHHYDRO_ST-P-P_20170731_v1%20-%20July%202017.xlsx" TargetMode="External"/></Relationships>
</file>

<file path=xl/externalLinks/_rels/externalLink95.xml.rels><?xml version="1.0" encoding="UTF-8" standalone="yes"?>
<Relationships xmlns="http://schemas.openxmlformats.org/package/2006/relationships"><Relationship Id="rId1" Type="http://schemas.openxmlformats.org/officeDocument/2006/relationships/externalLinkPath" Target="/IESO%20Statements/IESO%20Statements/GHESI/2017/Aug%202017%20CNF-GUELPHHYDRO_ST-P-P_20170831.xlsx" TargetMode="External"/></Relationships>
</file>

<file path=xl/externalLinks/_rels/externalLink96.xml.rels><?xml version="1.0" encoding="UTF-8" standalone="yes"?>
<Relationships xmlns="http://schemas.openxmlformats.org/package/2006/relationships"><Relationship Id="rId1" Type="http://schemas.openxmlformats.org/officeDocument/2006/relationships/externalLinkPath" Target="/IESO%20Statements/IESO%20Statements/GHESI/2017/CNF-GUELPHHYDRO_ST-P-P_20170930_v1.xlsx" TargetMode="External"/></Relationships>
</file>

<file path=xl/externalLinks/_rels/externalLink97.xml.rels><?xml version="1.0" encoding="UTF-8" standalone="yes"?>
<Relationships xmlns="http://schemas.openxmlformats.org/package/2006/relationships"><Relationship Id="rId1" Type="http://schemas.openxmlformats.org/officeDocument/2006/relationships/externalLinkPath" Target="/IESO%20Statements/IESO%20Statements/GHESI/2017/CNF-GUELPHHYDRO_ST-P-P_20171031_v1%20Oct%202017.xlsx" TargetMode="External"/></Relationships>
</file>

<file path=xl/externalLinks/_rels/externalLink98.xml.rels><?xml version="1.0" encoding="UTF-8" standalone="yes"?>
<Relationships xmlns="http://schemas.openxmlformats.org/package/2006/relationships"><Relationship Id="rId1" Type="http://schemas.openxmlformats.org/officeDocument/2006/relationships/externalLinkPath" Target="/IESO%20Statements/IESO%20Statements/GHESI/2017/Nov%202017%20CNF-GUELPHHYDRO_ST-P-P_20171130_v1.xlsx" TargetMode="External"/></Relationships>
</file>

<file path=xl/externalLinks/_rels/externalLink99.xml.rels><?xml version="1.0" encoding="UTF-8" standalone="yes"?>
<Relationships xmlns="http://schemas.openxmlformats.org/package/2006/relationships"><Relationship Id="rId1" Type="http://schemas.openxmlformats.org/officeDocument/2006/relationships/externalLinkPath" Target="/IESO%20Statements/IESO%20Statements/GHESI/2017/CNF-GUELPHHYDRO_ST-P-P_20171231_v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DC Info"/>
      <sheetName val="Table of Contents"/>
      <sheetName val="COS Flowchart"/>
      <sheetName val="List of Key References"/>
      <sheetName val="App.2-A_Capital Projects"/>
      <sheetName val="App.2-BA_Fixed Asset Cont.CGAAP"/>
      <sheetName val="App.2-BA_Fixed Asset Cont.MIFRS"/>
      <sheetName val="Appendix 2-BB Service Life Comp"/>
      <sheetName val="Instruction for App. 2-C MIFRS"/>
      <sheetName val="App.2-CA_CGAAP_DepExp_2011"/>
      <sheetName val="App.2-CB_MIFRS_DepExp_2011"/>
      <sheetName val="App.2-CC_MIFRS_DepExp_2012"/>
      <sheetName val="App.2-CD_MIFRS_DepExp_2013"/>
      <sheetName val="App.2-CE_MIFRS_DepExp_2014"/>
      <sheetName val="App.2-CF_CGAAP_DepExp_2012"/>
      <sheetName val="App.2-CG_MIFRS_DepExp_2012"/>
      <sheetName val="App.2-CH_MIFRS_DepExp_2013"/>
      <sheetName val="App.2-CI_MIFRS_DepExp_2014"/>
      <sheetName val="App.2-CJ_CGAAP_DepExp_2012"/>
      <sheetName val="App.2-CK_CGAAP_DepExp_2013"/>
      <sheetName val="App.2-CL_MIFRS_DepExp_2013"/>
      <sheetName val="App.2-CM_MIFRS_DepExp_2014"/>
      <sheetName val="Instruction for App. 2-C CGAAP"/>
      <sheetName val="App.2-CN_OldCGAAP_DepExp_2012"/>
      <sheetName val="App.2-CO_NewCGAAP_DepExp_2012"/>
      <sheetName val="App.2-CP_NewCGAAP_DepExp_2013"/>
      <sheetName val="App.2-CQ NewCGAAP_DepExp_2014"/>
      <sheetName val="App.2-CR_OldCGAAP_DepExp_2012"/>
      <sheetName val="App.2-CS_OldCGAAP_DepExp_2013"/>
      <sheetName val="App.2-CT_NewCGAAP_DepExp_2013"/>
      <sheetName val="App.2-CU_NewCGAAP_DepExp_2014"/>
      <sheetName val="App.2-CV_USGAAP_DepExp"/>
      <sheetName val="App.2-DA_Overhead"/>
      <sheetName val="App.2-DB_Overhead"/>
      <sheetName val="App.2-EA_PP&amp;E Deferral Account"/>
      <sheetName val="App.2-EB_PP&amp;E Deferral Account"/>
      <sheetName val="App.2-EC_PP&amp;E Deferral Account"/>
      <sheetName val="App.2-ED_Account 1576 (2012)"/>
      <sheetName val="App.2-EE_Account 1576 (2013)"/>
      <sheetName val="App.2-FA Proposed REG Invest."/>
      <sheetName val="App.2-FB HAROLD SS"/>
      <sheetName val="App.2-FC Conn. Enhance."/>
      <sheetName val="App.2-G SQI"/>
      <sheetName val="App.2-H_Other_Oper_Rev"/>
      <sheetName val="App.2-I LF_CDM_WF"/>
      <sheetName val="App.2-JA_Detailed_OM&amp;A_Expenses"/>
      <sheetName val="App.2-JB_OM&amp;A_Detailed_Analysis"/>
      <sheetName val="App.2-JC_OM&amp;A_Summary_Analys"/>
      <sheetName val="App.2-JD_OM&amp;A_Cost _Drivers"/>
      <sheetName val="App.2-K_Employee Costs"/>
      <sheetName val="App.2-L_OM&amp;A_per_Cust_FTEE"/>
      <sheetName val="App.2-M_Regulatory_Costs"/>
      <sheetName val="App.2-N_Corp_Cost_Allocation"/>
      <sheetName val="App.2-OA Capital Structure"/>
      <sheetName val="App.2-OB_Debt Instruments"/>
      <sheetName val="App.2-P_Cost_Allocation"/>
      <sheetName val="App.2-Q_Cost of Serv. Emb. Dx"/>
      <sheetName val="App.2-R_Loss Factors"/>
      <sheetName val="App.2-S_Stranded Meters"/>
      <sheetName val="App.2-TA_1592_Tax_Variance"/>
      <sheetName val="App.2-TB_1592_HST-OVAT"/>
      <sheetName val="App.2-U_IFRS Transition Costs"/>
      <sheetName val="App.2-V_Rev_Reconciliation"/>
      <sheetName val="App.2-W_Bill Impacts"/>
      <sheetName val="App.2-YA_MIFRS Summary Impacts"/>
      <sheetName val="App. 2-YB_CGAAP Summary Impacts"/>
      <sheetName val="App. 2-Z_Tariff"/>
      <sheetName val="Sheet19"/>
    </sheetNames>
    <sheetDataSet>
      <sheetData sheetId="0">
        <row r="3">
          <cell r="AA3" t="str">
            <v>Algoma Power Inc.</v>
          </cell>
        </row>
        <row r="24">
          <cell r="E24">
            <v>2014</v>
          </cell>
        </row>
        <row r="26">
          <cell r="E26">
            <v>2013</v>
          </cell>
        </row>
        <row r="28">
          <cell r="E28">
            <v>2010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LOBs"/>
      <sheetName val="Financials"/>
      <sheetName val="Loads"/>
      <sheetName val="Classify"/>
      <sheetName val="Allocate"/>
      <sheetName val="F&amp;C"/>
      <sheetName val="Summary"/>
      <sheetName val="Macros"/>
      <sheetName val="Module1"/>
    </sheetNames>
    <sheetDataSet>
      <sheetData sheetId="0"/>
      <sheetData sheetId="1"/>
      <sheetData sheetId="2" refreshError="1">
        <row r="1">
          <cell r="A1" t="str">
            <v>LDC Name</v>
          </cell>
        </row>
      </sheetData>
      <sheetData sheetId="3"/>
      <sheetData sheetId="4"/>
      <sheetData sheetId="5"/>
      <sheetData sheetId="6"/>
      <sheetData sheetId="7"/>
      <sheetData sheetId="8" refreshError="1"/>
      <sheetData sheetId="9" refreshError="1"/>
    </sheetDataSet>
  </externalBook>
</externalLink>
</file>

<file path=xl/externalLinks/externalLink10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F-GUELPHHYDRO_ST-P-P_20170630"/>
    </sheetNames>
    <sheetDataSet>
      <sheetData sheetId="0">
        <row r="38">
          <cell r="F38">
            <v>-14735443.560000001</v>
          </cell>
        </row>
        <row r="350">
          <cell r="F350">
            <v>-129699.65</v>
          </cell>
        </row>
        <row r="351">
          <cell r="F351">
            <v>-1218240.8999999999</v>
          </cell>
        </row>
      </sheetData>
    </sheetDataSet>
  </externalBook>
</externalLink>
</file>

<file path=xl/externalLinks/externalLink10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nbilled Chart"/>
      <sheetName val="Query"/>
      <sheetName val="UBR COMPARISON"/>
      <sheetName val="Unbilled Chart of Accounts"/>
      <sheetName val="Unbilled Chart of RecCode"/>
      <sheetName val="Unbilled Chart of Rate Comp"/>
      <sheetName val="Cognos_Office_Connection_Cache"/>
    </sheetNames>
    <sheetDataSet>
      <sheetData sheetId="0">
        <row r="5">
          <cell r="K5">
            <v>614706.97000000009</v>
          </cell>
        </row>
      </sheetData>
      <sheetData sheetId="1">
        <row r="195">
          <cell r="J195">
            <v>784.76</v>
          </cell>
        </row>
        <row r="210">
          <cell r="D210">
            <v>260752.46</v>
          </cell>
          <cell r="E210">
            <v>3036369.23</v>
          </cell>
        </row>
        <row r="211">
          <cell r="D211">
            <v>5448.94</v>
          </cell>
          <cell r="E211">
            <v>63450.13</v>
          </cell>
        </row>
      </sheetData>
      <sheetData sheetId="2">
        <row r="5">
          <cell r="D5">
            <v>5675.06</v>
          </cell>
        </row>
      </sheetData>
      <sheetData sheetId="3"/>
      <sheetData sheetId="4"/>
      <sheetData sheetId="5"/>
      <sheetData sheetId="6" refreshError="1"/>
    </sheetDataSet>
  </externalBook>
</externalLink>
</file>

<file path=xl/externalLinks/externalLink10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GA Analysis"/>
      <sheetName val="1.Adjustments"/>
      <sheetName val="2.GA Detailed Analysis"/>
      <sheetName val="3.RPP True-up"/>
      <sheetName val="4.IESO Invoice Analysis"/>
      <sheetName val="5. UBR Retailer Contract"/>
    </sheetNames>
    <sheetDataSet>
      <sheetData sheetId="0"/>
      <sheetData sheetId="1">
        <row r="35">
          <cell r="O35">
            <v>8.4229999999999999E-2</v>
          </cell>
        </row>
        <row r="36">
          <cell r="O36">
            <v>0.10384</v>
          </cell>
        </row>
        <row r="37">
          <cell r="O37">
            <v>9.0219999999999995E-2</v>
          </cell>
        </row>
        <row r="38">
          <cell r="O38">
            <v>0.12114999999999999</v>
          </cell>
        </row>
        <row r="39">
          <cell r="O39">
            <v>0.10405</v>
          </cell>
        </row>
        <row r="40">
          <cell r="O40">
            <v>0.11650000000000001</v>
          </cell>
        </row>
        <row r="41">
          <cell r="O41">
            <v>7.6670000000000002E-2</v>
          </cell>
        </row>
        <row r="42">
          <cell r="O42">
            <v>8.5690000000000002E-2</v>
          </cell>
        </row>
        <row r="43">
          <cell r="O43">
            <v>7.0599999999999996E-2</v>
          </cell>
        </row>
        <row r="44">
          <cell r="O44">
            <v>9.7199999999999995E-2</v>
          </cell>
        </row>
        <row r="45">
          <cell r="O45">
            <v>0.12271</v>
          </cell>
        </row>
        <row r="46">
          <cell r="O46">
            <v>0.10594000000000001</v>
          </cell>
          <cell r="R46">
            <v>0.11462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externalLinks/externalLink10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nbilled Chart"/>
      <sheetName val="Query"/>
      <sheetName val="UBR COMPARISON"/>
      <sheetName val="Unbilled Chart of Accounts"/>
      <sheetName val="Unbilled Chart of RecCode"/>
      <sheetName val="Unbilled Chart of Rate Comp"/>
    </sheetNames>
    <sheetDataSet>
      <sheetData sheetId="0" refreshError="1"/>
      <sheetData sheetId="1">
        <row r="244">
          <cell r="J244">
            <v>483.97</v>
          </cell>
        </row>
        <row r="256">
          <cell r="D256">
            <v>299639.64</v>
          </cell>
          <cell r="E256">
            <v>2794148.78</v>
          </cell>
        </row>
        <row r="257">
          <cell r="D257">
            <v>6551.27</v>
          </cell>
          <cell r="E257">
            <v>61827.77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0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nbilled Chart"/>
      <sheetName val="Query"/>
      <sheetName val="UBR COMPARISON"/>
      <sheetName val="Unbilled Chart of Accounts"/>
      <sheetName val="Unbilled Chart of RecCode"/>
      <sheetName val="Unbilled Chart of Rate Comp"/>
    </sheetNames>
    <sheetDataSet>
      <sheetData sheetId="0">
        <row r="5">
          <cell r="K5">
            <v>668988.61</v>
          </cell>
        </row>
      </sheetData>
      <sheetData sheetId="1">
        <row r="244">
          <cell r="J244">
            <v>640.27</v>
          </cell>
        </row>
        <row r="258">
          <cell r="D258">
            <v>252729.05</v>
          </cell>
          <cell r="E258">
            <v>2846986.5</v>
          </cell>
        </row>
        <row r="259">
          <cell r="D259">
            <v>6560.76</v>
          </cell>
          <cell r="E259">
            <v>73929.149999999994</v>
          </cell>
        </row>
      </sheetData>
      <sheetData sheetId="2">
        <row r="5">
          <cell r="D5">
            <v>5416.17</v>
          </cell>
        </row>
      </sheetData>
      <sheetData sheetId="3"/>
      <sheetData sheetId="4"/>
      <sheetData sheetId="5"/>
    </sheetDataSet>
  </externalBook>
</externalLink>
</file>

<file path=xl/externalLinks/externalLink10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nbilled Chart"/>
      <sheetName val="Query"/>
      <sheetName val="UBR COMPARISON"/>
      <sheetName val="Unbilled Chart of Accounts"/>
      <sheetName val="Unbilled Chart of RecCode"/>
      <sheetName val="Unbilled Chart of Rate Comp"/>
    </sheetNames>
    <sheetDataSet>
      <sheetData sheetId="0">
        <row r="5">
          <cell r="M5">
            <v>758426.70000000019</v>
          </cell>
        </row>
      </sheetData>
      <sheetData sheetId="1">
        <row r="243">
          <cell r="D243">
            <v>304289.91999999998</v>
          </cell>
          <cell r="E243">
            <v>3029736.96</v>
          </cell>
        </row>
        <row r="244">
          <cell r="D244">
            <v>7910.65</v>
          </cell>
          <cell r="E244">
            <v>78763.81</v>
          </cell>
        </row>
      </sheetData>
      <sheetData sheetId="2">
        <row r="5">
          <cell r="L5">
            <v>6188.09</v>
          </cell>
        </row>
      </sheetData>
      <sheetData sheetId="3"/>
      <sheetData sheetId="4"/>
      <sheetData sheetId="5"/>
    </sheetDataSet>
  </externalBook>
</externalLink>
</file>

<file path=xl/externalLinks/externalLink10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nbilled Chart"/>
      <sheetName val="Query"/>
      <sheetName val="UBR COMPARISON"/>
      <sheetName val="Unbilled Chart of Accounts"/>
      <sheetName val="Unbilled Chart of RecCode"/>
      <sheetName val="Unbilled Chart of Rate Comp"/>
    </sheetNames>
    <sheetDataSet>
      <sheetData sheetId="0">
        <row r="5">
          <cell r="M5">
            <v>611227.38</v>
          </cell>
        </row>
      </sheetData>
      <sheetData sheetId="1">
        <row r="244">
          <cell r="J244">
            <v>477.51</v>
          </cell>
        </row>
        <row r="246">
          <cell r="D246">
            <v>233026.55</v>
          </cell>
          <cell r="E246">
            <v>2380766.2200000002</v>
          </cell>
        </row>
        <row r="247">
          <cell r="D247">
            <v>6057.57</v>
          </cell>
          <cell r="E247">
            <v>61887.01</v>
          </cell>
        </row>
      </sheetData>
      <sheetData sheetId="2">
        <row r="5">
          <cell r="L5">
            <v>5602.52</v>
          </cell>
        </row>
      </sheetData>
      <sheetData sheetId="3"/>
      <sheetData sheetId="4"/>
      <sheetData sheetId="5"/>
    </sheetDataSet>
  </externalBook>
</externalLink>
</file>

<file path=xl/externalLinks/externalLink10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nbilled Chart"/>
      <sheetName val="Query"/>
      <sheetName val="UBR COMPARISON"/>
      <sheetName val="Unbilled Chart of Accounts"/>
      <sheetName val="Unbilled Chart of RecCode"/>
      <sheetName val="Unbilled Chart of Rate Comp"/>
    </sheetNames>
    <sheetDataSet>
      <sheetData sheetId="0">
        <row r="5">
          <cell r="M5">
            <v>684135.40999999992</v>
          </cell>
        </row>
      </sheetData>
      <sheetData sheetId="1">
        <row r="365">
          <cell r="M365">
            <v>661.38</v>
          </cell>
        </row>
        <row r="387">
          <cell r="G387">
            <v>64.150000000000006</v>
          </cell>
          <cell r="H387">
            <v>711.15</v>
          </cell>
        </row>
        <row r="388">
          <cell r="G388">
            <v>201469.83</v>
          </cell>
          <cell r="H388">
            <v>1662657.42</v>
          </cell>
        </row>
        <row r="389">
          <cell r="G389">
            <v>65706.789999999994</v>
          </cell>
          <cell r="H389">
            <v>631190.44999999995</v>
          </cell>
        </row>
        <row r="390">
          <cell r="G390">
            <v>1.66</v>
          </cell>
          <cell r="H390">
            <v>18.48</v>
          </cell>
        </row>
        <row r="391">
          <cell r="G391">
            <v>5237.1899999999996</v>
          </cell>
          <cell r="H391">
            <v>43220.91</v>
          </cell>
        </row>
        <row r="392">
          <cell r="G392">
            <v>1707.53</v>
          </cell>
          <cell r="H392">
            <v>16402.89</v>
          </cell>
        </row>
      </sheetData>
      <sheetData sheetId="2">
        <row r="5">
          <cell r="L5">
            <v>5982.25</v>
          </cell>
        </row>
      </sheetData>
      <sheetData sheetId="3"/>
      <sheetData sheetId="4"/>
      <sheetData sheetId="5"/>
    </sheetDataSet>
  </externalBook>
</externalLink>
</file>

<file path=xl/externalLinks/externalLink10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nbilled Chart"/>
      <sheetName val="Query"/>
      <sheetName val="UBR COMPARISON"/>
      <sheetName val="Unbilled Chart of Accounts"/>
      <sheetName val="Unbilled Chart of RecCode"/>
      <sheetName val="Unbilled Chart of Rate Comp"/>
    </sheetNames>
    <sheetDataSet>
      <sheetData sheetId="0">
        <row r="5">
          <cell r="M5">
            <v>705238.02</v>
          </cell>
        </row>
      </sheetData>
      <sheetData sheetId="1">
        <row r="365">
          <cell r="M365">
            <v>739</v>
          </cell>
        </row>
        <row r="432">
          <cell r="G432">
            <v>70.13</v>
          </cell>
          <cell r="H432">
            <v>627.27</v>
          </cell>
        </row>
        <row r="433">
          <cell r="G433">
            <v>250789.48</v>
          </cell>
          <cell r="H433">
            <v>2331771.48</v>
          </cell>
        </row>
        <row r="434">
          <cell r="G434">
            <v>1.81</v>
          </cell>
          <cell r="H434">
            <v>16.3</v>
          </cell>
        </row>
        <row r="435">
          <cell r="G435">
            <v>6519.77</v>
          </cell>
          <cell r="H435">
            <v>60617.760000000002</v>
          </cell>
        </row>
      </sheetData>
      <sheetData sheetId="2">
        <row r="5">
          <cell r="L5">
            <v>5603.74</v>
          </cell>
        </row>
      </sheetData>
      <sheetData sheetId="3" refreshError="1"/>
      <sheetData sheetId="4" refreshError="1"/>
      <sheetData sheetId="5" refreshError="1"/>
    </sheetDataSet>
  </externalBook>
</externalLink>
</file>

<file path=xl/externalLinks/externalLink10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nbilled Chart"/>
      <sheetName val="Query"/>
      <sheetName val="UBR COMPARISON"/>
      <sheetName val="Unbilled Chart of Accounts"/>
      <sheetName val="Unbilled Chart of RecCode"/>
      <sheetName val="Unbilled Chart of Rate Comp"/>
    </sheetNames>
    <sheetDataSet>
      <sheetData sheetId="0">
        <row r="5">
          <cell r="M5">
            <v>653711.87999999989</v>
          </cell>
        </row>
      </sheetData>
      <sheetData sheetId="1">
        <row r="306">
          <cell r="G306">
            <v>39.96</v>
          </cell>
          <cell r="H306">
            <v>428.21</v>
          </cell>
        </row>
        <row r="307">
          <cell r="G307">
            <v>170592.43</v>
          </cell>
          <cell r="H307">
            <v>1705665.89</v>
          </cell>
        </row>
        <row r="308">
          <cell r="G308">
            <v>72877.789999999994</v>
          </cell>
          <cell r="H308">
            <v>625560.47</v>
          </cell>
        </row>
        <row r="309">
          <cell r="G309">
            <v>1.03</v>
          </cell>
          <cell r="H309">
            <v>11.13</v>
          </cell>
        </row>
        <row r="310">
          <cell r="G310">
            <v>4434.75</v>
          </cell>
          <cell r="H310">
            <v>44340.32</v>
          </cell>
        </row>
        <row r="311">
          <cell r="G311">
            <v>1894.82</v>
          </cell>
          <cell r="H311">
            <v>16264.56</v>
          </cell>
        </row>
      </sheetData>
      <sheetData sheetId="2">
        <row r="5">
          <cell r="L5">
            <v>5990.5</v>
          </cell>
        </row>
      </sheetData>
      <sheetData sheetId="3" refreshError="1"/>
      <sheetData sheetId="4" refreshError="1"/>
      <sheetData sheetId="5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nbilled Chart"/>
      <sheetName val="Query"/>
      <sheetName val="UBR COMPARISON"/>
      <sheetName val="Unbilled Chart of Accounts"/>
      <sheetName val="Unbilled Chart of RecCode"/>
      <sheetName val="Unbilled Chart of Rate Comp"/>
    </sheetNames>
    <sheetDataSet>
      <sheetData sheetId="0"/>
      <sheetData sheetId="1">
        <row r="435">
          <cell r="H435">
            <v>3850874.68</v>
          </cell>
        </row>
        <row r="436">
          <cell r="H436">
            <v>6121482.7300000004</v>
          </cell>
        </row>
        <row r="437">
          <cell r="H437">
            <v>3542423.32</v>
          </cell>
        </row>
        <row r="438">
          <cell r="H438">
            <v>100122.39</v>
          </cell>
        </row>
        <row r="439">
          <cell r="H439">
            <v>159122.26</v>
          </cell>
        </row>
        <row r="440">
          <cell r="H440">
            <v>92102.62</v>
          </cell>
        </row>
        <row r="441">
          <cell r="H441">
            <v>3057915.47</v>
          </cell>
        </row>
        <row r="442">
          <cell r="H442">
            <v>79408.81</v>
          </cell>
        </row>
        <row r="443">
          <cell r="H443">
            <v>2698086.24</v>
          </cell>
        </row>
        <row r="444">
          <cell r="H444">
            <v>37064.6</v>
          </cell>
        </row>
        <row r="445">
          <cell r="G445">
            <v>22.25</v>
          </cell>
          <cell r="H445">
            <v>210.17</v>
          </cell>
        </row>
        <row r="446">
          <cell r="G446">
            <v>115194.24000000001</v>
          </cell>
          <cell r="H446">
            <v>1087762.77</v>
          </cell>
        </row>
        <row r="447">
          <cell r="G447">
            <v>2831.31</v>
          </cell>
          <cell r="H447">
            <v>26725.72</v>
          </cell>
        </row>
        <row r="448">
          <cell r="G448">
            <v>44002.58</v>
          </cell>
          <cell r="H448">
            <v>657734.01</v>
          </cell>
        </row>
        <row r="449">
          <cell r="G449">
            <v>0.56999999999999995</v>
          </cell>
          <cell r="H449">
            <v>5.46</v>
          </cell>
        </row>
        <row r="450">
          <cell r="G450">
            <v>2994.36</v>
          </cell>
          <cell r="H450">
            <v>28275.29</v>
          </cell>
        </row>
        <row r="451">
          <cell r="G451">
            <v>73.599999999999994</v>
          </cell>
          <cell r="H451">
            <v>694.85</v>
          </cell>
        </row>
        <row r="452">
          <cell r="G452">
            <v>1143.69</v>
          </cell>
          <cell r="H452">
            <v>17094.59</v>
          </cell>
        </row>
      </sheetData>
      <sheetData sheetId="2"/>
      <sheetData sheetId="3"/>
      <sheetData sheetId="4"/>
      <sheetData sheetId="5"/>
    </sheetDataSet>
  </externalBook>
</externalLink>
</file>

<file path=xl/externalLinks/externalLink1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nbilled Chart"/>
      <sheetName val="Query"/>
      <sheetName val="UBR COMPARISON"/>
      <sheetName val="Unbilled Chart of Accounts"/>
      <sheetName val="Unbilled Chart of RecCode"/>
      <sheetName val="Unbilled Chart of Rate Comp"/>
    </sheetNames>
    <sheetDataSet>
      <sheetData sheetId="0">
        <row r="5">
          <cell r="M5">
            <v>718341.74</v>
          </cell>
        </row>
      </sheetData>
      <sheetData sheetId="1">
        <row r="252">
          <cell r="G252">
            <v>46.73</v>
          </cell>
          <cell r="H252">
            <v>569.54999999999995</v>
          </cell>
        </row>
        <row r="253">
          <cell r="G253">
            <v>163196.49</v>
          </cell>
          <cell r="H253">
            <v>2032744.71</v>
          </cell>
        </row>
        <row r="254">
          <cell r="G254">
            <v>49911.05</v>
          </cell>
          <cell r="H254">
            <v>650985.43000000005</v>
          </cell>
        </row>
        <row r="255">
          <cell r="G255">
            <v>1.21</v>
          </cell>
          <cell r="H255">
            <v>14.8</v>
          </cell>
        </row>
        <row r="256">
          <cell r="G256">
            <v>4242.47</v>
          </cell>
          <cell r="H256">
            <v>52843.12</v>
          </cell>
        </row>
        <row r="257">
          <cell r="G257">
            <v>1297.68</v>
          </cell>
          <cell r="H257">
            <v>16925.599999999999</v>
          </cell>
        </row>
      </sheetData>
      <sheetData sheetId="2">
        <row r="5">
          <cell r="L5">
            <v>5806.49</v>
          </cell>
        </row>
      </sheetData>
      <sheetData sheetId="3" refreshError="1"/>
      <sheetData sheetId="4" refreshError="1"/>
      <sheetData sheetId="5" refreshError="1"/>
    </sheetDataSet>
  </externalBook>
</externalLink>
</file>

<file path=xl/externalLinks/externalLink1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nbilled Chart"/>
      <sheetName val="Query"/>
      <sheetName val="UBR COMPARISON"/>
      <sheetName val="Unbilled Chart of Accounts"/>
      <sheetName val="Unbilled Chart of RecCode"/>
      <sheetName val="Unbilled Chart of Rate Comp"/>
    </sheetNames>
    <sheetDataSet>
      <sheetData sheetId="0">
        <row r="5">
          <cell r="M5">
            <v>607560.95000000007</v>
          </cell>
        </row>
      </sheetData>
      <sheetData sheetId="1">
        <row r="281">
          <cell r="G281">
            <v>30.28</v>
          </cell>
          <cell r="H281">
            <v>392.06</v>
          </cell>
        </row>
        <row r="282">
          <cell r="G282">
            <v>136862.43</v>
          </cell>
          <cell r="H282">
            <v>1706309.11</v>
          </cell>
        </row>
        <row r="283">
          <cell r="G283">
            <v>60631.45</v>
          </cell>
          <cell r="H283">
            <v>707567.4</v>
          </cell>
        </row>
        <row r="284">
          <cell r="G284">
            <v>0.78</v>
          </cell>
          <cell r="H284">
            <v>10.19</v>
          </cell>
        </row>
        <row r="285">
          <cell r="G285">
            <v>3558.02</v>
          </cell>
          <cell r="H285">
            <v>44357.97</v>
          </cell>
        </row>
        <row r="286">
          <cell r="G286">
            <v>1576.42</v>
          </cell>
          <cell r="H286">
            <v>18396.740000000002</v>
          </cell>
        </row>
      </sheetData>
      <sheetData sheetId="2">
        <row r="5">
          <cell r="L5">
            <v>5622.03</v>
          </cell>
        </row>
      </sheetData>
      <sheetData sheetId="3" refreshError="1"/>
      <sheetData sheetId="4" refreshError="1"/>
      <sheetData sheetId="5" refreshError="1"/>
    </sheetDataSet>
  </externalBook>
</externalLink>
</file>

<file path=xl/externalLinks/externalLink1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nbilled Chart"/>
      <sheetName val="Query"/>
      <sheetName val="UBR COMPARISON"/>
      <sheetName val="Unbilled Chart of Accounts"/>
      <sheetName val="Unbilled Chart of RecCode"/>
      <sheetName val="Unbilled Chart of Rate Comp"/>
    </sheetNames>
    <sheetDataSet>
      <sheetData sheetId="0">
        <row r="5">
          <cell r="M5">
            <v>687633.35999999987</v>
          </cell>
        </row>
      </sheetData>
      <sheetData sheetId="1">
        <row r="267">
          <cell r="G267">
            <v>45.93</v>
          </cell>
          <cell r="H267">
            <v>528.41</v>
          </cell>
        </row>
        <row r="268">
          <cell r="G268">
            <v>127054.04</v>
          </cell>
          <cell r="H268">
            <v>1567279.21</v>
          </cell>
        </row>
        <row r="269">
          <cell r="G269">
            <v>59466.54</v>
          </cell>
          <cell r="H269">
            <v>842302.24</v>
          </cell>
        </row>
        <row r="270">
          <cell r="G270">
            <v>1.19</v>
          </cell>
          <cell r="H270">
            <v>13.73</v>
          </cell>
        </row>
        <row r="271">
          <cell r="G271">
            <v>3303.01</v>
          </cell>
          <cell r="H271">
            <v>40741.32</v>
          </cell>
        </row>
        <row r="272">
          <cell r="G272">
            <v>1546.12</v>
          </cell>
          <cell r="H272">
            <v>21899.85</v>
          </cell>
        </row>
      </sheetData>
      <sheetData sheetId="2">
        <row r="5">
          <cell r="L5">
            <v>6010.9</v>
          </cell>
        </row>
      </sheetData>
      <sheetData sheetId="3" refreshError="1"/>
      <sheetData sheetId="4" refreshError="1"/>
      <sheetData sheetId="5" refreshError="1"/>
    </sheetDataSet>
  </externalBook>
</externalLink>
</file>

<file path=xl/externalLinks/externalLink1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nbilled Chart"/>
      <sheetName val="Query"/>
      <sheetName val="UBR COMPARISON"/>
      <sheetName val="Unbilled Chart of Accounts"/>
      <sheetName val="Unbilled Chart of RecCode"/>
      <sheetName val="Unbilled Chart of Rate Comp"/>
    </sheetNames>
    <sheetDataSet>
      <sheetData sheetId="0">
        <row r="5">
          <cell r="M5">
            <v>715816.34000000008</v>
          </cell>
        </row>
      </sheetData>
      <sheetData sheetId="1">
        <row r="314">
          <cell r="G314">
            <v>63.46</v>
          </cell>
          <cell r="H314">
            <v>569.54999999999995</v>
          </cell>
        </row>
        <row r="315">
          <cell r="G315">
            <v>96632.16</v>
          </cell>
          <cell r="H315">
            <v>994287.05</v>
          </cell>
        </row>
        <row r="316">
          <cell r="G316">
            <v>89568.960000000006</v>
          </cell>
          <cell r="H316">
            <v>921491.4</v>
          </cell>
        </row>
        <row r="317">
          <cell r="G317">
            <v>69891.289999999994</v>
          </cell>
          <cell r="H317">
            <v>569609.07999999996</v>
          </cell>
        </row>
        <row r="318">
          <cell r="G318">
            <v>1.65</v>
          </cell>
          <cell r="H318">
            <v>14.8</v>
          </cell>
        </row>
        <row r="319">
          <cell r="G319">
            <v>2511.77</v>
          </cell>
          <cell r="H319">
            <v>25843.68</v>
          </cell>
        </row>
        <row r="320">
          <cell r="G320">
            <v>2328.79</v>
          </cell>
          <cell r="H320">
            <v>23958.76</v>
          </cell>
        </row>
        <row r="321">
          <cell r="G321">
            <v>1816.44</v>
          </cell>
          <cell r="H321">
            <v>14801.86</v>
          </cell>
        </row>
      </sheetData>
      <sheetData sheetId="2">
        <row r="5">
          <cell r="L5">
            <v>5630.98</v>
          </cell>
        </row>
      </sheetData>
      <sheetData sheetId="3" refreshError="1"/>
      <sheetData sheetId="4" refreshError="1"/>
      <sheetData sheetId="5" refreshError="1"/>
    </sheetDataSet>
  </externalBook>
</externalLink>
</file>

<file path=xl/externalLinks/externalLink1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nbilled Chart"/>
      <sheetName val="Query"/>
      <sheetName val="UBR COMPARISON"/>
      <sheetName val="Unbilled Chart of Accounts"/>
      <sheetName val="Unbilled Chart of RecCode"/>
      <sheetName val="Unbilled Chart of Rate Comp"/>
    </sheetNames>
    <sheetDataSet>
      <sheetData sheetId="0">
        <row r="5">
          <cell r="M5">
            <v>786625.27</v>
          </cell>
        </row>
      </sheetData>
      <sheetData sheetId="1">
        <row r="315">
          <cell r="G315">
            <v>74.05</v>
          </cell>
          <cell r="H315">
            <v>651.82000000000005</v>
          </cell>
        </row>
        <row r="316">
          <cell r="G316">
            <v>30.43</v>
          </cell>
          <cell r="H316">
            <v>313.05</v>
          </cell>
        </row>
        <row r="317">
          <cell r="G317">
            <v>345427.55</v>
          </cell>
          <cell r="H317">
            <v>2911543.71</v>
          </cell>
        </row>
        <row r="318">
          <cell r="G318">
            <v>1.92</v>
          </cell>
          <cell r="H318">
            <v>16.940000000000001</v>
          </cell>
        </row>
        <row r="319">
          <cell r="G319">
            <v>0.79</v>
          </cell>
          <cell r="H319">
            <v>8.1199999999999992</v>
          </cell>
        </row>
        <row r="320">
          <cell r="G320">
            <v>8980.09</v>
          </cell>
          <cell r="H320">
            <v>75691.63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GA Analysis "/>
      <sheetName val="1.Adjustments"/>
      <sheetName val="2.GA Detailed Analysis"/>
      <sheetName val="3.RPP True-up"/>
      <sheetName val="4.IESO Invoice Analysis"/>
      <sheetName val="5.UBR Retailer Contract"/>
    </sheetNames>
    <sheetDataSet>
      <sheetData sheetId="0"/>
      <sheetData sheetId="1">
        <row r="47">
          <cell r="E47">
            <v>21557105.98</v>
          </cell>
          <cell r="G47">
            <v>6.6869999999999999E-2</v>
          </cell>
          <cell r="I47">
            <v>8.2269999999999996E-2</v>
          </cell>
        </row>
        <row r="48">
          <cell r="G48">
            <v>0.10559</v>
          </cell>
          <cell r="I48">
            <v>8.6389999999999995E-2</v>
          </cell>
        </row>
        <row r="49">
          <cell r="G49">
            <v>8.4089999999999998E-2</v>
          </cell>
          <cell r="I49">
            <v>7.1349999999999997E-2</v>
          </cell>
        </row>
        <row r="50">
          <cell r="G50">
            <v>6.8739999999999996E-2</v>
          </cell>
          <cell r="I50">
            <v>0.10778</v>
          </cell>
        </row>
        <row r="51">
          <cell r="G51">
            <v>0.10623</v>
          </cell>
          <cell r="I51">
            <v>0.12307</v>
          </cell>
        </row>
        <row r="52">
          <cell r="G52">
            <v>0.11953999999999999</v>
          </cell>
          <cell r="I52">
            <v>0.11848</v>
          </cell>
        </row>
        <row r="53">
          <cell r="G53">
            <v>0.10652</v>
          </cell>
          <cell r="I53">
            <v>0.1128</v>
          </cell>
        </row>
        <row r="54">
          <cell r="G54">
            <v>0.115</v>
          </cell>
          <cell r="I54">
            <v>0.10109</v>
          </cell>
        </row>
        <row r="55">
          <cell r="G55">
            <v>0.12739</v>
          </cell>
          <cell r="I55">
            <v>8.8639999999999997E-2</v>
          </cell>
        </row>
        <row r="56">
          <cell r="G56">
            <v>0.10212</v>
          </cell>
          <cell r="I56">
            <v>0.12562999999999999</v>
          </cell>
        </row>
        <row r="57">
          <cell r="G57">
            <v>0.11164</v>
          </cell>
          <cell r="I57">
            <v>9.7040000000000001E-2</v>
          </cell>
        </row>
        <row r="58">
          <cell r="G58">
            <v>8.3909999999999998E-2</v>
          </cell>
          <cell r="I58">
            <v>9.2069999999999999E-2</v>
          </cell>
          <cell r="O58">
            <v>8.3909999999999998E-2</v>
          </cell>
        </row>
      </sheetData>
      <sheetData sheetId="2">
        <row r="15">
          <cell r="O15">
            <v>-2019641.8638098994</v>
          </cell>
        </row>
      </sheetData>
      <sheetData sheetId="3"/>
      <sheetData sheetId="4"/>
      <sheetData sheetId="5"/>
      <sheetData sheetId="6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-Flash Report Billed"/>
    </sheetNames>
    <sheetDataSet>
      <sheetData sheetId="0">
        <row r="962">
          <cell r="H962">
            <v>6155252.5899999989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-Flash Report Adjustments"/>
    </sheetNames>
    <sheetDataSet>
      <sheetData sheetId="0">
        <row r="36">
          <cell r="H36">
            <v>-60.000000000000014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nbilled Chart"/>
      <sheetName val="Query"/>
      <sheetName val="UBR COMPARISON"/>
      <sheetName val="Unbilled Chart of Accounts"/>
      <sheetName val="Unbilled Chart of RecCode"/>
      <sheetName val="Unbilled Chart of Rate Comp"/>
    </sheetNames>
    <sheetDataSet>
      <sheetData sheetId="0"/>
      <sheetData sheetId="1">
        <row r="368">
          <cell r="M368">
            <v>20439617.5</v>
          </cell>
        </row>
        <row r="369">
          <cell r="M369">
            <v>23951475.039999999</v>
          </cell>
        </row>
        <row r="370">
          <cell r="M370">
            <v>2406857.62</v>
          </cell>
        </row>
        <row r="391">
          <cell r="G391">
            <v>448.94</v>
          </cell>
          <cell r="H391">
            <v>4239.24</v>
          </cell>
        </row>
        <row r="392">
          <cell r="G392">
            <v>190052.2</v>
          </cell>
          <cell r="H392">
            <v>2530408.9700000002</v>
          </cell>
        </row>
        <row r="393">
          <cell r="G393">
            <v>3469.69</v>
          </cell>
          <cell r="H393">
            <v>32856.67</v>
          </cell>
        </row>
        <row r="394">
          <cell r="G394">
            <v>11.67</v>
          </cell>
          <cell r="H394">
            <v>110.18</v>
          </cell>
        </row>
        <row r="395">
          <cell r="G395">
            <v>4940.9799999999996</v>
          </cell>
          <cell r="H395">
            <v>65783.67</v>
          </cell>
        </row>
        <row r="396">
          <cell r="G396">
            <v>90.14</v>
          </cell>
          <cell r="H396">
            <v>853.72</v>
          </cell>
        </row>
      </sheetData>
      <sheetData sheetId="2"/>
      <sheetData sheetId="3"/>
      <sheetData sheetId="4"/>
      <sheetData sheetId="5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-Flash Report Billed"/>
    </sheetNames>
    <sheetDataSet>
      <sheetData sheetId="0">
        <row r="965">
          <cell r="H965">
            <v>6906754.7799999993</v>
          </cell>
        </row>
      </sheetData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-Flash Report Adjustments"/>
    </sheetNames>
    <sheetDataSet>
      <sheetData sheetId="0">
        <row r="128">
          <cell r="H128">
            <v>-2187943.2400000002</v>
          </cell>
        </row>
      </sheetData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nbilled Chart"/>
      <sheetName val="Query"/>
      <sheetName val="UBR COMPARISON"/>
      <sheetName val="Unbilled Chart of Accounts"/>
      <sheetName val="Unbilled Chart of RecCode"/>
      <sheetName val="Unbilled Chart of Rate Comp"/>
    </sheetNames>
    <sheetDataSet>
      <sheetData sheetId="0"/>
      <sheetData sheetId="1">
        <row r="368">
          <cell r="M368">
            <v>22911129.02</v>
          </cell>
        </row>
        <row r="369">
          <cell r="M369">
            <v>26979226.98</v>
          </cell>
        </row>
        <row r="370">
          <cell r="M370">
            <v>2574181.6999999997</v>
          </cell>
        </row>
        <row r="385">
          <cell r="G385">
            <v>26064.26</v>
          </cell>
          <cell r="H385">
            <v>247212.33</v>
          </cell>
        </row>
        <row r="386">
          <cell r="G386">
            <v>105137.61</v>
          </cell>
          <cell r="H386">
            <v>995715.66</v>
          </cell>
        </row>
        <row r="387">
          <cell r="G387">
            <v>132526.07999999999</v>
          </cell>
          <cell r="H387">
            <v>1393528.1</v>
          </cell>
        </row>
        <row r="388">
          <cell r="G388">
            <v>677.06</v>
          </cell>
          <cell r="H388">
            <v>6421.56</v>
          </cell>
        </row>
        <row r="389">
          <cell r="G389">
            <v>2733.56</v>
          </cell>
          <cell r="H389">
            <v>25888.59</v>
          </cell>
        </row>
        <row r="390">
          <cell r="G390">
            <v>3445.06</v>
          </cell>
          <cell r="H390">
            <v>36224.61</v>
          </cell>
        </row>
      </sheetData>
      <sheetData sheetId="2"/>
      <sheetData sheetId="3"/>
      <sheetData sheetId="4"/>
      <sheetData sheetId="5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-Flash Report Billed"/>
    </sheetNames>
    <sheetDataSet>
      <sheetData sheetId="0">
        <row r="926">
          <cell r="H926">
            <v>6418444.620000001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 for Tabs 3 to 7"/>
      <sheetName val="1. Information Sheet"/>
      <sheetName val="Sheet1"/>
      <sheetName val="2. Current Tariff Schedule"/>
      <sheetName val="3. Continuity Schedule"/>
      <sheetName val="2016 List"/>
      <sheetName val="4. Billing Det. for Def-Var"/>
      <sheetName val="5. Allocating Def-Var Balances"/>
      <sheetName val="6. Class A Consumption Data"/>
      <sheetName val="6.1a GA Allocation"/>
      <sheetName val="6.1 GA"/>
      <sheetName val="6.2a CBR B_Allocation"/>
      <sheetName val="6.2 CBR B"/>
      <sheetName val="7. Calculation of Def-Var RR"/>
      <sheetName val="8. STS - Tax Change"/>
      <sheetName val="9. Shared Tax - Rate Rider"/>
      <sheetName val="10. RTSR Current Rates"/>
      <sheetName val="11. RTSR - UTRs &amp; Sub-Tx"/>
      <sheetName val="12. RTSR - Historical Wholesale"/>
      <sheetName val="13. RTSR - Current Wholesale"/>
      <sheetName val="14. RTSR - Forecast Wholesale"/>
      <sheetName val="15. RTSR Rates to Forecast"/>
      <sheetName val="16. Rev2Cost_GDPIPI"/>
      <sheetName val="17. Regulatory Charges"/>
      <sheetName val="18. Additional Rates"/>
      <sheetName val="19. Final Tariff Schedule"/>
      <sheetName val="20. Bill Impacts"/>
      <sheetName val="2 1 5 TotalConsumptionData_Dist"/>
      <sheetName val="212_Total_Connection_RollUp"/>
      <sheetName val="2.1.7 Filing"/>
      <sheetName val="20. HIDDEN"/>
      <sheetName val="20. Bill Impacts hidden"/>
      <sheetName val="Database"/>
      <sheetName val="lists"/>
      <sheetName val="Sheet2"/>
      <sheetName val="Sheet3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Alectra Utilities Corporation</v>
          </cell>
        </row>
        <row r="13">
          <cell r="C13" t="str">
            <v>For Former Parry Sound Power Service Area</v>
          </cell>
        </row>
        <row r="14">
          <cell r="C14" t="str">
            <v>Except for the Former Parry Sound Power Service Area</v>
          </cell>
        </row>
      </sheetData>
      <sheetData sheetId="6">
        <row r="17">
          <cell r="A17" t="str">
            <v>RESIDENTIAL R1 SERVICE CLASSIFICATION</v>
          </cell>
        </row>
        <row r="18">
          <cell r="A18" t="str">
            <v>RESIDENTIAL R2 SERVICE CLASSIFICATION</v>
          </cell>
        </row>
        <row r="19">
          <cell r="A19" t="str">
            <v>SEASONAL CUSTOMERS SERVICE CLASSIFICATION</v>
          </cell>
        </row>
        <row r="20">
          <cell r="A20" t="str">
            <v>STREET LIGHTING SERVICE CLASSIFICATION</v>
          </cell>
        </row>
      </sheetData>
      <sheetData sheetId="7"/>
      <sheetData sheetId="8">
        <row r="14">
          <cell r="C14">
            <v>2014</v>
          </cell>
        </row>
        <row r="25">
          <cell r="C25">
            <v>2</v>
          </cell>
        </row>
      </sheetData>
      <sheetData sheetId="9"/>
      <sheetData sheetId="10"/>
      <sheetData sheetId="11"/>
      <sheetData sheetId="12"/>
      <sheetData sheetId="13"/>
      <sheetData sheetId="14">
        <row r="19">
          <cell r="N19">
            <v>0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23">
          <cell r="D23">
            <v>6.5000000000000002E-2</v>
          </cell>
        </row>
        <row r="24">
          <cell r="D24">
            <v>9.4E-2</v>
          </cell>
        </row>
        <row r="25">
          <cell r="D25">
            <v>0.13200000000000001</v>
          </cell>
        </row>
        <row r="33">
          <cell r="D33">
            <v>0.56999999999999995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-Flash Report Adjustments"/>
    </sheetNames>
    <sheetDataSet>
      <sheetData sheetId="0">
        <row r="53">
          <cell r="H53">
            <v>-16505.25</v>
          </cell>
        </row>
      </sheetData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nbilled Chart"/>
      <sheetName val="Query"/>
      <sheetName val="UBR COMPARISON"/>
      <sheetName val="Unbilled Chart of Accounts"/>
      <sheetName val="Unbilled Chart of RecCode"/>
      <sheetName val="Unbilled Chart of Rate Comp"/>
    </sheetNames>
    <sheetDataSet>
      <sheetData sheetId="0"/>
      <sheetData sheetId="1">
        <row r="349">
          <cell r="G349">
            <v>52.49</v>
          </cell>
          <cell r="H349">
            <v>607.59</v>
          </cell>
        </row>
        <row r="350">
          <cell r="G350">
            <v>105756.51</v>
          </cell>
          <cell r="H350">
            <v>1344921.99</v>
          </cell>
        </row>
        <row r="351">
          <cell r="G351">
            <v>71915.39</v>
          </cell>
          <cell r="H351">
            <v>855219.3</v>
          </cell>
        </row>
        <row r="352">
          <cell r="G352">
            <v>1.36</v>
          </cell>
          <cell r="H352">
            <v>15.78</v>
          </cell>
        </row>
        <row r="353">
          <cell r="G353">
            <v>2749.22</v>
          </cell>
          <cell r="H353">
            <v>34961.730000000003</v>
          </cell>
        </row>
        <row r="354">
          <cell r="G354">
            <v>1869.8</v>
          </cell>
          <cell r="H354">
            <v>22235.69</v>
          </cell>
        </row>
        <row r="368">
          <cell r="M368">
            <v>20342126.669999998</v>
          </cell>
        </row>
        <row r="369">
          <cell r="M369">
            <v>26843411.52</v>
          </cell>
        </row>
        <row r="370">
          <cell r="M370">
            <v>2415233.1399999997</v>
          </cell>
        </row>
      </sheetData>
      <sheetData sheetId="2"/>
      <sheetData sheetId="3"/>
      <sheetData sheetId="4"/>
      <sheetData sheetId="5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-Flash Report Billed"/>
    </sheetNames>
    <sheetDataSet>
      <sheetData sheetId="0">
        <row r="897">
          <cell r="H897">
            <v>5346034.3100000005</v>
          </cell>
        </row>
      </sheetData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-Flash Report Adjustments"/>
    </sheetNames>
    <sheetDataSet>
      <sheetData sheetId="0">
        <row r="36">
          <cell r="H36">
            <v>-5669.96</v>
          </cell>
        </row>
      </sheetData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nbilled Chart"/>
      <sheetName val="Query"/>
      <sheetName val="UBR COMPARISON"/>
      <sheetName val="Unbilled Chart of Accounts"/>
      <sheetName val="Unbilled Chart of RecCode"/>
      <sheetName val="Unbilled Chart of Rate Comp"/>
    </sheetNames>
    <sheetDataSet>
      <sheetData sheetId="0"/>
      <sheetData sheetId="1">
        <row r="368">
          <cell r="M368">
            <v>20727300.289999999</v>
          </cell>
        </row>
        <row r="369">
          <cell r="M369">
            <v>25802102.359999999</v>
          </cell>
        </row>
        <row r="370">
          <cell r="M370">
            <v>2427767.81</v>
          </cell>
        </row>
        <row r="499">
          <cell r="G499">
            <v>12.12</v>
          </cell>
          <cell r="H499">
            <v>108.86</v>
          </cell>
        </row>
        <row r="500">
          <cell r="G500">
            <v>29.39</v>
          </cell>
          <cell r="H500">
            <v>382.55</v>
          </cell>
        </row>
        <row r="501">
          <cell r="G501">
            <v>61119.1</v>
          </cell>
          <cell r="H501">
            <v>889508.86</v>
          </cell>
        </row>
        <row r="502">
          <cell r="G502">
            <v>53584.83</v>
          </cell>
          <cell r="H502">
            <v>779529.1</v>
          </cell>
        </row>
        <row r="503">
          <cell r="G503">
            <v>66598.600000000006</v>
          </cell>
          <cell r="H503">
            <v>627103.03</v>
          </cell>
        </row>
        <row r="504">
          <cell r="G504">
            <v>0.31</v>
          </cell>
          <cell r="H504">
            <v>2.82</v>
          </cell>
        </row>
        <row r="505">
          <cell r="G505">
            <v>0.76</v>
          </cell>
          <cell r="H505">
            <v>9.94</v>
          </cell>
        </row>
        <row r="506">
          <cell r="G506">
            <v>1588.44</v>
          </cell>
          <cell r="H506">
            <v>23119.360000000001</v>
          </cell>
        </row>
        <row r="507">
          <cell r="G507">
            <v>1393.2</v>
          </cell>
          <cell r="H507">
            <v>20267.740000000002</v>
          </cell>
        </row>
        <row r="508">
          <cell r="G508">
            <v>1730.83</v>
          </cell>
          <cell r="H508">
            <v>16296.85</v>
          </cell>
        </row>
      </sheetData>
      <sheetData sheetId="2"/>
      <sheetData sheetId="3"/>
      <sheetData sheetId="4"/>
      <sheetData sheetId="5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-Flash Report Billed"/>
    </sheetNames>
    <sheetDataSet>
      <sheetData sheetId="0">
        <row r="918">
          <cell r="H918">
            <v>4408793.05</v>
          </cell>
        </row>
      </sheetData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-Flash Report Adjustments"/>
    </sheetNames>
    <sheetDataSet>
      <sheetData sheetId="0">
        <row r="63">
          <cell r="H63">
            <v>-11204.34</v>
          </cell>
        </row>
      </sheetData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nbilled Chart"/>
      <sheetName val="Query"/>
      <sheetName val="UBR COMPARISON"/>
      <sheetName val="Unbilled Chart of Accounts"/>
      <sheetName val="Unbilled Chart of RecCode"/>
      <sheetName val="Unbilled Chart of Rate Comp"/>
    </sheetNames>
    <sheetDataSet>
      <sheetData sheetId="0"/>
      <sheetData sheetId="1">
        <row r="368">
          <cell r="G368">
            <v>58.91</v>
          </cell>
          <cell r="H368">
            <v>1121.75</v>
          </cell>
          <cell r="M368">
            <v>20547126.41</v>
          </cell>
        </row>
        <row r="369">
          <cell r="G369">
            <v>231779.78</v>
          </cell>
          <cell r="H369">
            <v>2109999.87</v>
          </cell>
          <cell r="M369">
            <v>26790133.890000001</v>
          </cell>
        </row>
        <row r="370">
          <cell r="G370">
            <v>1.97</v>
          </cell>
          <cell r="H370">
            <v>29.15</v>
          </cell>
          <cell r="M370">
            <v>2618669.0299999998</v>
          </cell>
        </row>
        <row r="371">
          <cell r="G371">
            <v>6025.61</v>
          </cell>
          <cell r="H371">
            <v>54853.91</v>
          </cell>
        </row>
      </sheetData>
      <sheetData sheetId="2"/>
      <sheetData sheetId="3"/>
      <sheetData sheetId="4"/>
      <sheetData sheetId="5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-Flash Report Billed"/>
    </sheetNames>
    <sheetDataSet>
      <sheetData sheetId="0">
        <row r="955">
          <cell r="H955">
            <v>6238560.8200000003</v>
          </cell>
        </row>
      </sheetData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-Flash Report Adjustments"/>
    </sheetNames>
    <sheetDataSet>
      <sheetData sheetId="0">
        <row r="22">
          <cell r="H22">
            <v>37.36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LOBs"/>
      <sheetName val="Financials"/>
      <sheetName val="Loads"/>
      <sheetName val="Classify"/>
      <sheetName val="Allocate"/>
      <sheetName val="F&amp;C"/>
      <sheetName val="Summary"/>
      <sheetName val="Macros"/>
      <sheetName val="Module1"/>
    </sheetNames>
    <sheetDataSet>
      <sheetData sheetId="0"/>
      <sheetData sheetId="1"/>
      <sheetData sheetId="2" refreshError="1">
        <row r="1">
          <cell r="A1" t="str">
            <v>LDC Name</v>
          </cell>
        </row>
        <row r="76">
          <cell r="E76">
            <v>36161</v>
          </cell>
        </row>
      </sheetData>
      <sheetData sheetId="3"/>
      <sheetData sheetId="4"/>
      <sheetData sheetId="5"/>
      <sheetData sheetId="6"/>
      <sheetData sheetId="7"/>
      <sheetData sheetId="8" refreshError="1"/>
      <sheetData sheetId="9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nbilled Chart"/>
      <sheetName val="Query"/>
      <sheetName val="UBR COMPARISON"/>
      <sheetName val="Unbilled Chart of Accounts"/>
      <sheetName val="Unbilled Chart of RecCode"/>
      <sheetName val="Unbilled Chart of Rate Comp"/>
      <sheetName val="Class A-B movement July 2017"/>
    </sheetNames>
    <sheetDataSet>
      <sheetData sheetId="0"/>
      <sheetData sheetId="1">
        <row r="368">
          <cell r="M368">
            <v>22291425.049999997</v>
          </cell>
        </row>
        <row r="369">
          <cell r="M369">
            <v>28554406.940000001</v>
          </cell>
        </row>
        <row r="370">
          <cell r="M370">
            <v>2977061.94</v>
          </cell>
        </row>
        <row r="371">
          <cell r="M371">
            <v>2272794.8900000006</v>
          </cell>
          <cell r="R371">
            <v>242098.11168280005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-Flash Report Billed"/>
    </sheetNames>
    <sheetDataSet>
      <sheetData sheetId="0">
        <row r="1011">
          <cell r="H1011">
            <v>7453418.46</v>
          </cell>
        </row>
      </sheetData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-Flash Report Adjustments"/>
    </sheetNames>
    <sheetDataSet>
      <sheetData sheetId="0">
        <row r="70">
          <cell r="H70">
            <v>-5596.06</v>
          </cell>
        </row>
      </sheetData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nbilled Chart"/>
      <sheetName val="Query"/>
      <sheetName val="UBR COMPARISON"/>
      <sheetName val="Unbilled Chart of Accounts"/>
      <sheetName val="Unbilled Chart of RecCode"/>
      <sheetName val="Unbilled Chart of Rate Comp"/>
      <sheetName val="Sheet1"/>
    </sheetNames>
    <sheetDataSet>
      <sheetData sheetId="0"/>
      <sheetData sheetId="1">
        <row r="368">
          <cell r="M368">
            <v>17945750.530000001</v>
          </cell>
        </row>
        <row r="369">
          <cell r="M369">
            <v>1852206.32</v>
          </cell>
        </row>
        <row r="370">
          <cell r="M370">
            <v>0</v>
          </cell>
        </row>
        <row r="371">
          <cell r="M371">
            <v>2394439.64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-Flash Report Billed"/>
    </sheetNames>
    <sheetDataSet>
      <sheetData sheetId="0">
        <row r="977">
          <cell r="H977">
            <v>3566124.6199999992</v>
          </cell>
        </row>
      </sheetData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-Flash Report Adjustments"/>
    </sheetNames>
    <sheetDataSet>
      <sheetData sheetId="0">
        <row r="53">
          <cell r="H53">
            <v>-11248.83</v>
          </cell>
        </row>
      </sheetData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nbilled Chart"/>
      <sheetName val="Query"/>
      <sheetName val="UBR COMPARISON"/>
      <sheetName val="Unbilled Chart of Accounts"/>
      <sheetName val="Unbilled Chart of RecCode"/>
      <sheetName val="Unbilled Chart of Rate Comp"/>
      <sheetName val="Sheet1"/>
    </sheetNames>
    <sheetDataSet>
      <sheetData sheetId="0"/>
      <sheetData sheetId="1">
        <row r="368">
          <cell r="M368">
            <v>17029691.409999996</v>
          </cell>
        </row>
        <row r="369">
          <cell r="M369">
            <v>2377193.2399999998</v>
          </cell>
        </row>
        <row r="370">
          <cell r="M370">
            <v>0</v>
          </cell>
        </row>
        <row r="371">
          <cell r="M371">
            <v>2202394.6900000004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-Flash Report Billed"/>
    </sheetNames>
    <sheetDataSet>
      <sheetData sheetId="0">
        <row r="933">
          <cell r="H933">
            <v>3303183.77</v>
          </cell>
        </row>
      </sheetData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-Flash Report Adjustments"/>
    </sheetNames>
    <sheetDataSet>
      <sheetData sheetId="0">
        <row r="37">
          <cell r="H37">
            <v>-3302.05</v>
          </cell>
        </row>
      </sheetData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nbilled Chart"/>
      <sheetName val="Query"/>
      <sheetName val="UBR COMPARISON"/>
      <sheetName val="Unbilled Chart of Accounts"/>
      <sheetName val="Unbilled Chart of RecCode"/>
      <sheetName val="Unbilled Chart of Rate Comp"/>
      <sheetName val="Sheet1"/>
    </sheetNames>
    <sheetDataSet>
      <sheetData sheetId="0"/>
      <sheetData sheetId="1">
        <row r="368">
          <cell r="M368">
            <v>18213190.09</v>
          </cell>
        </row>
        <row r="369">
          <cell r="M369">
            <v>2409037.9</v>
          </cell>
        </row>
        <row r="370">
          <cell r="M370">
            <v>0</v>
          </cell>
        </row>
        <row r="371">
          <cell r="M371">
            <v>2394858.27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 for Tabs 3 to 7"/>
      <sheetName val="1. Information Sheet"/>
      <sheetName val="Sheet1"/>
      <sheetName val="2. Current Tariff Schedule"/>
      <sheetName val="3. Continuity Schedule"/>
      <sheetName val="2016 List"/>
      <sheetName val="4. Billing Det. for Def-Var"/>
      <sheetName val="5. Allocating Def-Var Balances"/>
      <sheetName val="6. Class A Consumption Data"/>
      <sheetName val="6.1a GA Allocation"/>
      <sheetName val="6.1 GA"/>
      <sheetName val="6.2a CBR B_Allocation"/>
      <sheetName val="6.2 CBR B"/>
      <sheetName val="7. Calculation of Def-Var RR"/>
      <sheetName val="8. STS - Tax Change"/>
      <sheetName val="9. Shared Tax - Rate Rider"/>
      <sheetName val="10. RTSR Current Rates"/>
      <sheetName val="11. RTSR - UTRs &amp; Sub-Tx"/>
      <sheetName val="12. RTSR - Historical Wholesale"/>
      <sheetName val="13. RTSR - Current Wholesale"/>
      <sheetName val="14. RTSR - Forecast Wholesale"/>
      <sheetName val="15. RTSR Rates to Forecast"/>
      <sheetName val="16. Rev2Cost_GDPIPI"/>
      <sheetName val="17. Regulatory Charges"/>
      <sheetName val="18. Additional Rates"/>
      <sheetName val="19. Final Tariff Schedule"/>
      <sheetName val="20. Bill Impacts"/>
      <sheetName val="2 1 5 TotalConsumptionData_Dist"/>
      <sheetName val="212_Total_Connection_RollUp"/>
      <sheetName val="2.1.7 Filing"/>
      <sheetName val="20. HIDDEN"/>
      <sheetName val="20. Bill Impacts hidden"/>
      <sheetName val="Database"/>
      <sheetName val="lists"/>
      <sheetName val="Sheet2"/>
      <sheetName val="Sheet3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Alectra Utilities Corporation</v>
          </cell>
        </row>
        <row r="2">
          <cell r="A2" t="str">
            <v>Algoma Power Inc.</v>
          </cell>
        </row>
        <row r="3">
          <cell r="A3" t="str">
            <v>Atikokan Hydro Inc.</v>
          </cell>
        </row>
        <row r="4">
          <cell r="A4" t="str">
            <v>Bluewater Power Distribution Corporation</v>
          </cell>
        </row>
        <row r="5">
          <cell r="A5" t="str">
            <v>Brantford Power Inc.</v>
          </cell>
        </row>
        <row r="6">
          <cell r="A6" t="str">
            <v>Burlington Hydro Inc.</v>
          </cell>
        </row>
        <row r="7">
          <cell r="A7" t="str">
            <v>Canadian Niagara Power Inc.</v>
          </cell>
        </row>
        <row r="8">
          <cell r="A8" t="str">
            <v>Collus PowerStream Corp.</v>
          </cell>
        </row>
        <row r="9">
          <cell r="A9" t="str">
            <v>E.L.K. Energy Inc.</v>
          </cell>
        </row>
        <row r="10">
          <cell r="A10" t="str">
            <v>Energy+ Inc.</v>
          </cell>
        </row>
        <row r="11">
          <cell r="A11" t="str">
            <v>Entegrus Powerlines Inc.</v>
          </cell>
        </row>
        <row r="12">
          <cell r="A12" t="str">
            <v>EnWin Utilities Ltd.</v>
          </cell>
        </row>
        <row r="13">
          <cell r="A13" t="str">
            <v>Festival Hydro Inc.</v>
          </cell>
        </row>
        <row r="14">
          <cell r="A14" t="str">
            <v>Fort Frances Power Corporation</v>
          </cell>
        </row>
        <row r="15">
          <cell r="A15" t="str">
            <v>Greater Sudbury Hydro Inc.</v>
          </cell>
        </row>
        <row r="16">
          <cell r="A16" t="str">
            <v>Grimsby Power Incorporated</v>
          </cell>
        </row>
        <row r="17">
          <cell r="A17" t="str">
            <v>Guelph Hydro Electric Systems Inc.</v>
          </cell>
        </row>
        <row r="18">
          <cell r="A18" t="str">
            <v>Halton Hills Hydro Inc.</v>
          </cell>
        </row>
        <row r="19">
          <cell r="A19" t="str">
            <v>Hearst Power Distribution Company Ltd.</v>
          </cell>
        </row>
        <row r="20">
          <cell r="A20" t="str">
            <v>Hydro Hawkesbury Inc.</v>
          </cell>
        </row>
        <row r="21">
          <cell r="A21" t="str">
            <v>Hydro One Networks Inc.</v>
          </cell>
        </row>
        <row r="22">
          <cell r="A22" t="str">
            <v>Hydro Ottawa Limited</v>
          </cell>
        </row>
        <row r="23">
          <cell r="A23" t="str">
            <v>InnPower Corporation</v>
          </cell>
        </row>
        <row r="24">
          <cell r="A24" t="str">
            <v>Kenora Hydro Electric Corporation Ltd.</v>
          </cell>
        </row>
        <row r="25">
          <cell r="A25" t="str">
            <v>Kingston Hydro Corporation</v>
          </cell>
        </row>
        <row r="26">
          <cell r="A26" t="str">
            <v>Kitchener-Wilmot Hydro Inc.</v>
          </cell>
        </row>
        <row r="27">
          <cell r="A27" t="str">
            <v>Lakefront Utilities Inc.</v>
          </cell>
        </row>
        <row r="28">
          <cell r="A28" t="str">
            <v>Lakeland Power Distribution Ltd.</v>
          </cell>
        </row>
        <row r="29">
          <cell r="A29" t="str">
            <v>London Hydro Inc.</v>
          </cell>
        </row>
        <row r="30">
          <cell r="A30" t="str">
            <v>Midland Power Utility Corporation</v>
          </cell>
        </row>
        <row r="31">
          <cell r="A31" t="str">
            <v>Milton Hydro Distribution Inc.</v>
          </cell>
        </row>
        <row r="32">
          <cell r="A32" t="str">
            <v>Newmarket - Tay Power Distribution Ltd.</v>
          </cell>
        </row>
        <row r="33">
          <cell r="A33" t="str">
            <v>Niagara Peninsula Energy Inc.</v>
          </cell>
        </row>
        <row r="34">
          <cell r="A34" t="str">
            <v>Niagara-on-the-Lake Hydro Inc.</v>
          </cell>
        </row>
        <row r="35">
          <cell r="A35" t="str">
            <v>North Bay Hydro Distribution Limited</v>
          </cell>
        </row>
        <row r="36">
          <cell r="A36" t="str">
            <v>Northern Ontario Wires Inc.</v>
          </cell>
        </row>
        <row r="37">
          <cell r="A37" t="str">
            <v>Oakville Hydro Electricity Distribution Inc.</v>
          </cell>
        </row>
        <row r="38">
          <cell r="A38" t="str">
            <v>Orangeville Hydro Limited</v>
          </cell>
        </row>
        <row r="39">
          <cell r="A39" t="str">
            <v>Orillia Power Distribution Corporation</v>
          </cell>
        </row>
        <row r="40">
          <cell r="A40" t="str">
            <v>Oshawa PUC Networks Inc.</v>
          </cell>
        </row>
        <row r="41">
          <cell r="A41" t="str">
            <v>Ottawa River Power Corporation</v>
          </cell>
        </row>
        <row r="42">
          <cell r="A42" t="str">
            <v>Peterborough Distribution Incorporated</v>
          </cell>
        </row>
        <row r="43">
          <cell r="A43" t="str">
            <v>Renfrew Hydro Inc.</v>
          </cell>
        </row>
        <row r="44">
          <cell r="A44" t="str">
            <v>Rideau St. Lawrence Distribution Inc.</v>
          </cell>
        </row>
        <row r="45">
          <cell r="A45" t="str">
            <v>St. Thomas Energy Inc.</v>
          </cell>
        </row>
        <row r="46">
          <cell r="A46" t="str">
            <v>Thunder Bay Hydro Electricity Distribution Inc.</v>
          </cell>
        </row>
        <row r="47">
          <cell r="A47" t="str">
            <v>Tillsonburg Hydro Inc.</v>
          </cell>
        </row>
        <row r="48">
          <cell r="A48" t="str">
            <v>Toronto Hydro-Electric System Limited</v>
          </cell>
        </row>
        <row r="49">
          <cell r="A49" t="str">
            <v>Veridian Connections Inc.</v>
          </cell>
        </row>
        <row r="50">
          <cell r="A50" t="str">
            <v>Wasaga Distribution Inc.</v>
          </cell>
        </row>
        <row r="51">
          <cell r="A51" t="str">
            <v>Waterloo North Hydro Inc.</v>
          </cell>
        </row>
        <row r="52">
          <cell r="A52" t="str">
            <v>Welland Hydro-Electric System Corp.</v>
          </cell>
        </row>
        <row r="53">
          <cell r="A53" t="str">
            <v>Wellington North Power Inc.</v>
          </cell>
        </row>
        <row r="54">
          <cell r="A54" t="str">
            <v>West Coast Huron Energy Inc.</v>
          </cell>
        </row>
        <row r="55">
          <cell r="A55" t="str">
            <v>Whitby Hydro Electric Corporation</v>
          </cell>
        </row>
        <row r="56">
          <cell r="A56" t="str">
            <v>Toronto Hydro-Electric System Limited</v>
          </cell>
        </row>
        <row r="57">
          <cell r="A57" t="str">
            <v>Veridian Connections Inc.</v>
          </cell>
        </row>
        <row r="58">
          <cell r="A58" t="str">
            <v>Wasaga Distribution Inc.</v>
          </cell>
        </row>
        <row r="59">
          <cell r="A59" t="str">
            <v>Waterloo North Hydro Inc.</v>
          </cell>
        </row>
        <row r="60">
          <cell r="A60" t="str">
            <v>Welland Hydro-Electric System Corp.</v>
          </cell>
        </row>
        <row r="61">
          <cell r="A61" t="str">
            <v>Wellington North Power Inc.</v>
          </cell>
        </row>
        <row r="62">
          <cell r="A62" t="str">
            <v>West Coast Huron Energy Inc.</v>
          </cell>
        </row>
        <row r="63">
          <cell r="A63" t="str">
            <v>Westario Power Inc.</v>
          </cell>
        </row>
        <row r="64">
          <cell r="A64" t="str">
            <v>Whitby Hydro Electric Corporation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-Flash Report Billed"/>
    </sheetNames>
    <sheetDataSet>
      <sheetData sheetId="0">
        <row r="925">
          <cell r="H925">
            <v>3844259.6899999995</v>
          </cell>
        </row>
      </sheetData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-Flash Report Adjustments"/>
    </sheetNames>
    <sheetDataSet>
      <sheetData sheetId="0">
        <row r="30">
          <cell r="H30">
            <v>5.76</v>
          </cell>
        </row>
      </sheetData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nbilled Chart"/>
      <sheetName val="Query"/>
      <sheetName val="UBR COMPARISON"/>
      <sheetName val="Unbilled Chart of Accounts"/>
      <sheetName val="Unbilled Chart of RecCode"/>
      <sheetName val="Unbilled Chart of Rate Comp"/>
      <sheetName val="Sheet1"/>
    </sheetNames>
    <sheetDataSet>
      <sheetData sheetId="0"/>
      <sheetData sheetId="1">
        <row r="368">
          <cell r="M368">
            <v>17000028.41</v>
          </cell>
        </row>
        <row r="369">
          <cell r="M369">
            <v>2247097.1500000004</v>
          </cell>
        </row>
        <row r="370">
          <cell r="M370">
            <v>0</v>
          </cell>
        </row>
        <row r="371">
          <cell r="M371">
            <v>2318811.5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-Flash Report Billed"/>
    </sheetNames>
    <sheetDataSet>
      <sheetData sheetId="0">
        <row r="883">
          <cell r="H883">
            <v>3380534.0899999994</v>
          </cell>
        </row>
      </sheetData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-Flash Report Adjustments"/>
    </sheetNames>
    <sheetDataSet>
      <sheetData sheetId="0">
        <row r="55">
          <cell r="H55">
            <v>-5287.76</v>
          </cell>
        </row>
      </sheetData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nbilled Chart"/>
      <sheetName val="Dec 2017 Comparison"/>
      <sheetName val="Query"/>
      <sheetName val="UBR COMPARISON"/>
      <sheetName val="Unbilled Chart of Accounts"/>
      <sheetName val="Unbilled Chart of RecCode"/>
      <sheetName val="Unbilled Chart of Rate Comp"/>
      <sheetName val="Sheet1"/>
    </sheetNames>
    <sheetDataSet>
      <sheetData sheetId="0"/>
      <sheetData sheetId="1"/>
      <sheetData sheetId="2">
        <row r="11">
          <cell r="M11">
            <v>27564234.620000001</v>
          </cell>
        </row>
        <row r="12">
          <cell r="M12">
            <v>2053318.5</v>
          </cell>
        </row>
        <row r="13">
          <cell r="M13">
            <v>0</v>
          </cell>
        </row>
        <row r="14">
          <cell r="M14">
            <v>3497551.3800000004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-Flash Report Billed"/>
    </sheetNames>
    <sheetDataSet>
      <sheetData sheetId="0">
        <row r="820">
          <cell r="H820">
            <v>3356234.5899999994</v>
          </cell>
        </row>
      </sheetData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-Flash Report Adjustments"/>
    </sheetNames>
    <sheetDataSet>
      <sheetData sheetId="0">
        <row r="44">
          <cell r="H44">
            <v>-3413.67</v>
          </cell>
        </row>
      </sheetData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adsheet Check"/>
      <sheetName val="RSVA Balance breakdown"/>
      <sheetName val="WMS-1580"/>
      <sheetName val="CBDR ClassA-1580 Sub"/>
      <sheetName val="CBDR ClassB-1580 Sub "/>
      <sheetName val="NW-1584"/>
      <sheetName val="CN-1586"/>
      <sheetName val="Power-1588"/>
      <sheetName val="GA-1589"/>
      <sheetName val="GL Dump"/>
      <sheetName val="Cognos_Office_Connection_Cache"/>
      <sheetName val="GL Month Over Month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69">
          <cell r="E69">
            <v>2918422.4901427329</v>
          </cell>
        </row>
      </sheetData>
      <sheetData sheetId="9"/>
      <sheetData sheetId="10"/>
      <sheetData sheetId="1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Notes"/>
      <sheetName val="Form 1598"/>
      <sheetName val="Summ Stats"/>
      <sheetName val="Input"/>
      <sheetName val="Bill Stats (2A)"/>
      <sheetName val="Adj Stats (4A)"/>
      <sheetName val="Exit Fees (3A)"/>
      <sheetName val="Retailer"/>
      <sheetName val="GA True -up"/>
      <sheetName val="microFIT NSLS"/>
      <sheetName val="GM microFIT"/>
      <sheetName val="FIT 10 to 250"/>
      <sheetName val="OCEB"/>
      <sheetName val="OESP"/>
    </sheetNames>
    <sheetDataSet>
      <sheetData sheetId="0"/>
      <sheetData sheetId="1"/>
      <sheetData sheetId="2"/>
      <sheetData sheetId="3"/>
      <sheetData sheetId="4">
        <row r="18">
          <cell r="I18">
            <v>0.1178</v>
          </cell>
        </row>
        <row r="19">
          <cell r="N19">
            <v>2786292.642</v>
          </cell>
        </row>
        <row r="154">
          <cell r="K154">
            <v>38059508.489999995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1. Information Sheet"/>
      <sheetName val="List"/>
      <sheetName val="GA Analysis "/>
      <sheetName val="GA 2014"/>
      <sheetName val="GA 2015"/>
      <sheetName val="GA 2016"/>
      <sheetName val="GA 2017"/>
      <sheetName val="2.GA Detailed Analysis"/>
      <sheetName val="3.RPP True-up"/>
      <sheetName val="4.UBR Retailer Contract"/>
      <sheetName val="Test - Using Flash Reports L5-9"/>
      <sheetName val="Test - 2.GA Detailed Analysis"/>
      <sheetName val="4.IESO Invoice Analysis"/>
      <sheetName val="GA Rates"/>
      <sheetName val="2 1 5 TotalConsumptionData_Dist"/>
    </sheetNames>
    <sheetDataSet>
      <sheetData sheetId="0"/>
      <sheetData sheetId="1"/>
      <sheetData sheetId="2">
        <row r="1">
          <cell r="A1" t="str">
            <v>ALECTRA UTILITIES CORPORATION</v>
          </cell>
        </row>
        <row r="2">
          <cell r="A2" t="str">
            <v>ALGOMA POWER INC.</v>
          </cell>
        </row>
        <row r="3">
          <cell r="A3" t="str">
            <v>ATIKOKAN HYDRO INC.</v>
          </cell>
        </row>
        <row r="4">
          <cell r="A4" t="str">
            <v>BLUEWATER POWER DISTRIBUTION CORPORATION</v>
          </cell>
        </row>
        <row r="5">
          <cell r="A5" t="str">
            <v>BRANTFORD POWER INC.</v>
          </cell>
        </row>
        <row r="6">
          <cell r="A6" t="str">
            <v>BURLINGTON HYDRO INC.</v>
          </cell>
        </row>
        <row r="7">
          <cell r="A7" t="str">
            <v>CANADIAN NIAGARA POWER INC.</v>
          </cell>
        </row>
        <row r="8">
          <cell r="A8" t="str">
            <v>COLLUS POWERSTREAM CORP.</v>
          </cell>
        </row>
        <row r="9">
          <cell r="A9" t="str">
            <v>E.L.K. ENERGY INC.</v>
          </cell>
        </row>
        <row r="10">
          <cell r="A10" t="str">
            <v>ENERGY+ INC.</v>
          </cell>
        </row>
        <row r="11">
          <cell r="A11" t="str">
            <v>ENTEGRUS POWERLINES INC.</v>
          </cell>
        </row>
        <row r="12">
          <cell r="A12" t="str">
            <v>ENWIN UTILITIES LTD.</v>
          </cell>
        </row>
        <row r="13">
          <cell r="A13" t="str">
            <v>FESTIVAL HYDRO INC.</v>
          </cell>
        </row>
        <row r="14">
          <cell r="A14" t="str">
            <v>FORT FRANCES POWER CORPORATION</v>
          </cell>
        </row>
        <row r="15">
          <cell r="A15" t="str">
            <v>GREATER SUDBURY HYDRO INC.</v>
          </cell>
        </row>
        <row r="16">
          <cell r="A16" t="str">
            <v>GRIMSBY POWER INCORPORATED</v>
          </cell>
        </row>
        <row r="17">
          <cell r="A17" t="str">
            <v>GUELPH HYDRO ELECTRIC SYSTEMS INC.</v>
          </cell>
        </row>
        <row r="18">
          <cell r="A18" t="str">
            <v>HALTON HILLS HYDRO INC.</v>
          </cell>
        </row>
        <row r="19">
          <cell r="A19" t="str">
            <v>HEARST POWER DISTRIBUTION COMPANY LTD.</v>
          </cell>
        </row>
        <row r="20">
          <cell r="A20" t="str">
            <v>HYDRO HAWKESBURY INC.</v>
          </cell>
        </row>
        <row r="21">
          <cell r="A21" t="str">
            <v>HYDRO ONE NETWORKS INC.</v>
          </cell>
        </row>
        <row r="22">
          <cell r="A22" t="str">
            <v>HYDRO OTTAWA LIMITED</v>
          </cell>
        </row>
        <row r="23">
          <cell r="A23" t="str">
            <v>INNPOWER CORPORATION</v>
          </cell>
        </row>
        <row r="24">
          <cell r="A24" t="str">
            <v>KENORA HYDRO ELECTRIC CORPORATION LTD.</v>
          </cell>
        </row>
        <row r="25">
          <cell r="A25" t="str">
            <v>KINGSTON HYDRO CORPORATION</v>
          </cell>
        </row>
        <row r="26">
          <cell r="A26" t="str">
            <v>KITCHENER-WILMOT HYDRO INC.</v>
          </cell>
        </row>
        <row r="27">
          <cell r="A27" t="str">
            <v>LAKEFRONT UTILITIES INC.</v>
          </cell>
        </row>
        <row r="28">
          <cell r="A28" t="str">
            <v>LAKELAND POWER DISTRIBUTION LTD.</v>
          </cell>
        </row>
        <row r="29">
          <cell r="A29" t="str">
            <v>LONDON HYDRO INC.</v>
          </cell>
        </row>
        <row r="30">
          <cell r="A30" t="str">
            <v>MIDLAND POWER UTILITY CORPORATION</v>
          </cell>
        </row>
        <row r="31">
          <cell r="A31" t="str">
            <v>MILTON HYDRO DISTRIBUTION INC.</v>
          </cell>
        </row>
        <row r="32">
          <cell r="A32" t="str">
            <v>NEWMARKET - TAY POWER DISTRIBUTION LTD.</v>
          </cell>
        </row>
        <row r="33">
          <cell r="A33" t="str">
            <v>NIAGARA PENINSULA ENERGY INC.</v>
          </cell>
        </row>
        <row r="34">
          <cell r="A34" t="str">
            <v>NIAGARA-ON-THE-LAKE HYDRO INC.</v>
          </cell>
        </row>
        <row r="35">
          <cell r="A35" t="str">
            <v>NORTH BAY HYDRO DISTRIBUTION LIMITED</v>
          </cell>
        </row>
        <row r="36">
          <cell r="A36" t="str">
            <v>NORTHERN ONTARIO WIRES INC.</v>
          </cell>
        </row>
        <row r="37">
          <cell r="A37" t="str">
            <v>OAKVILLE HYDRO ELECTRICITY DISTRIBUTION INC.</v>
          </cell>
        </row>
        <row r="38">
          <cell r="A38" t="str">
            <v>ORANGEVILLE HYDRO LIMITED</v>
          </cell>
        </row>
        <row r="39">
          <cell r="A39" t="str">
            <v>ORILLIA POWER DISTRIBUTION CORPORATION</v>
          </cell>
        </row>
        <row r="40">
          <cell r="A40" t="str">
            <v>OSHAWA PUC NETWORKS INC.</v>
          </cell>
        </row>
        <row r="41">
          <cell r="A41" t="str">
            <v>OTTAWA RIVER POWER CORPORATION</v>
          </cell>
        </row>
        <row r="42">
          <cell r="A42" t="str">
            <v>PETERBOROUGH DISTRIBUTION INCORPORATED</v>
          </cell>
        </row>
        <row r="43">
          <cell r="A43" t="str">
            <v>RENFREW HYDRO INC.</v>
          </cell>
        </row>
        <row r="44">
          <cell r="A44" t="str">
            <v>RIDEAU ST. LAWRENCE DISTRIBUTION INC.</v>
          </cell>
        </row>
        <row r="45">
          <cell r="A45" t="str">
            <v>ST. THOMAS ENERGY INC.</v>
          </cell>
        </row>
        <row r="46">
          <cell r="A46" t="str">
            <v>THUNDER BAY HYDRO ELECTRICITY DISTRIBUTION INC.</v>
          </cell>
        </row>
        <row r="47">
          <cell r="A47" t="str">
            <v>TILLSONBURG HYDRO INC.</v>
          </cell>
        </row>
        <row r="48">
          <cell r="A48" t="str">
            <v>TORONTO HYDRO-ELECTRIC SYSTEM LIMITED</v>
          </cell>
        </row>
        <row r="49">
          <cell r="A49" t="str">
            <v>VERIDIAN CONNECTIONS INC.</v>
          </cell>
        </row>
        <row r="50">
          <cell r="A50" t="str">
            <v>WASAGA DISTRIBUTION INC.</v>
          </cell>
        </row>
        <row r="51">
          <cell r="A51" t="str">
            <v>WATERLOO NORTH HYDRO INC.</v>
          </cell>
        </row>
        <row r="52">
          <cell r="A52" t="str">
            <v>WELLAND HYDRO-ELECTRIC SYSTEM CORP.</v>
          </cell>
        </row>
        <row r="53">
          <cell r="A53" t="str">
            <v>WELLINGTON NORTH POWER INC.</v>
          </cell>
        </row>
        <row r="54">
          <cell r="A54" t="str">
            <v>WEST COAST HURON ENERGY INC.</v>
          </cell>
        </row>
        <row r="55">
          <cell r="A55" t="str">
            <v>WHITBY HYDRO ELECTRIC CORPORATION</v>
          </cell>
        </row>
      </sheetData>
      <sheetData sheetId="3"/>
      <sheetData sheetId="4"/>
      <sheetData sheetId="5"/>
      <sheetData sheetId="6"/>
      <sheetData sheetId="7">
        <row r="14">
          <cell r="D14">
            <v>1595971298.0599999</v>
          </cell>
        </row>
        <row r="15">
          <cell r="D15">
            <v>471809092.87</v>
          </cell>
        </row>
        <row r="17">
          <cell r="D17">
            <v>562293627.92999995</v>
          </cell>
        </row>
        <row r="39">
          <cell r="D39">
            <v>55089872.229999989</v>
          </cell>
        </row>
      </sheetData>
      <sheetData sheetId="8"/>
      <sheetData sheetId="9"/>
      <sheetData sheetId="10"/>
      <sheetData sheetId="11">
        <row r="39">
          <cell r="C39">
            <v>57439866.889999993</v>
          </cell>
        </row>
        <row r="40">
          <cell r="C40">
            <v>65438059.940000005</v>
          </cell>
        </row>
        <row r="41">
          <cell r="C41">
            <v>63950795.389999993</v>
          </cell>
        </row>
        <row r="42">
          <cell r="C42">
            <v>62284323.769999996</v>
          </cell>
        </row>
        <row r="43">
          <cell r="C43">
            <v>61967482.710000008</v>
          </cell>
        </row>
        <row r="44">
          <cell r="C44">
            <v>60246186.969999991</v>
          </cell>
        </row>
        <row r="45">
          <cell r="C45">
            <v>63062218.320000023</v>
          </cell>
        </row>
        <row r="46">
          <cell r="C46">
            <v>32527919.409999996</v>
          </cell>
        </row>
        <row r="47">
          <cell r="C47">
            <v>29044788.66</v>
          </cell>
        </row>
        <row r="48">
          <cell r="C48">
            <v>30900972.879999995</v>
          </cell>
        </row>
        <row r="49">
          <cell r="C49">
            <v>31321022.729999993</v>
          </cell>
        </row>
        <row r="50">
          <cell r="C50">
            <v>30584178.569999993</v>
          </cell>
        </row>
        <row r="63">
          <cell r="C63">
            <v>-54994.356181980111</v>
          </cell>
        </row>
        <row r="64">
          <cell r="C64">
            <v>-145887.61191949993</v>
          </cell>
        </row>
        <row r="65">
          <cell r="C65"/>
        </row>
        <row r="66">
          <cell r="C66"/>
        </row>
        <row r="67">
          <cell r="C67"/>
        </row>
        <row r="68">
          <cell r="C68"/>
        </row>
        <row r="69">
          <cell r="C69"/>
        </row>
        <row r="70">
          <cell r="C70"/>
        </row>
        <row r="71">
          <cell r="C71">
            <v>-534557.63000002503</v>
          </cell>
        </row>
        <row r="72">
          <cell r="C72"/>
        </row>
        <row r="73">
          <cell r="C73"/>
        </row>
        <row r="74">
          <cell r="C74">
            <v>-896689.38238249719</v>
          </cell>
        </row>
        <row r="75">
          <cell r="C75">
            <v>-37942.244896199962</v>
          </cell>
        </row>
      </sheetData>
      <sheetData sheetId="12"/>
      <sheetData sheetId="13"/>
      <sheetData sheetId="14">
        <row r="15">
          <cell r="F15">
            <v>0.10594000000000001</v>
          </cell>
        </row>
      </sheetData>
      <sheetData sheetId="15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Notes"/>
      <sheetName val="Form 1598"/>
      <sheetName val="Summ Stats"/>
      <sheetName val="Input"/>
      <sheetName val="Bill Stats (2A)"/>
      <sheetName val="Adj Stats (4A)"/>
      <sheetName val="Exit Fees (3A)"/>
      <sheetName val="Retailer"/>
      <sheetName val="GA True -up"/>
      <sheetName val="microFIT NSLS"/>
      <sheetName val="GM microFIT"/>
      <sheetName val="FIT 10 to 250"/>
      <sheetName val="OCEB"/>
      <sheetName val="OESP"/>
    </sheetNames>
    <sheetDataSet>
      <sheetData sheetId="0"/>
      <sheetData sheetId="1"/>
      <sheetData sheetId="2"/>
      <sheetData sheetId="3"/>
      <sheetData sheetId="4">
        <row r="18">
          <cell r="I18">
            <v>0.115</v>
          </cell>
        </row>
        <row r="19">
          <cell r="N19">
            <v>3320656.34</v>
          </cell>
        </row>
        <row r="154">
          <cell r="K154">
            <v>34468366.030000001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Notes"/>
      <sheetName val="Form 1598"/>
      <sheetName val="Summ Stats"/>
      <sheetName val="Input"/>
      <sheetName val="Bill Stats (2A)"/>
      <sheetName val="Bill Stats (2A) 8% Rebate"/>
      <sheetName val="Adj Stats (4A)"/>
      <sheetName val="Exit Fees (3A)"/>
      <sheetName val="Retailer"/>
      <sheetName val="GA True -up"/>
      <sheetName val="microFIT NSLS"/>
      <sheetName val="GM microFIT"/>
      <sheetName val="FIT 10 to 250"/>
      <sheetName val="OCEB"/>
      <sheetName val="OESP"/>
      <sheetName val="OREC 8%"/>
    </sheetNames>
    <sheetDataSet>
      <sheetData sheetId="0"/>
      <sheetData sheetId="1"/>
      <sheetData sheetId="2"/>
      <sheetData sheetId="3"/>
      <sheetData sheetId="4">
        <row r="18">
          <cell r="I18">
            <v>7.8719999999999998E-2</v>
          </cell>
        </row>
        <row r="19">
          <cell r="N19">
            <v>2111988.81</v>
          </cell>
        </row>
        <row r="160">
          <cell r="K160">
            <v>36051463.289999999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Notes"/>
      <sheetName val="Form 1598"/>
      <sheetName val="Summ Stats"/>
      <sheetName val="Input"/>
      <sheetName val="Bill Stats (2A) (OCEB)"/>
      <sheetName val="Bill Stats (2A)"/>
      <sheetName val="Adj Stats (4A)"/>
      <sheetName val="Exit Fees (3A)"/>
      <sheetName val="Retailer"/>
      <sheetName val="GA True -up"/>
      <sheetName val="microFIT NSLS"/>
      <sheetName val="GM microFIT"/>
      <sheetName val="FIT 10 to 250"/>
      <sheetName val="OREC"/>
      <sheetName val="OCEB"/>
      <sheetName val="OESP"/>
    </sheetNames>
    <sheetDataSet>
      <sheetData sheetId="0"/>
      <sheetData sheetId="1"/>
      <sheetData sheetId="2"/>
      <sheetData sheetId="3"/>
      <sheetData sheetId="4">
        <row r="18">
          <cell r="I18">
            <v>8.677E-2</v>
          </cell>
        </row>
        <row r="19">
          <cell r="N19">
            <v>2700242.88</v>
          </cell>
        </row>
        <row r="160">
          <cell r="K160">
            <v>43309080.539999999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Notes"/>
      <sheetName val="Form 1598"/>
      <sheetName val="Summ Stats"/>
      <sheetName val="Input"/>
      <sheetName val="Bill Stats (2A) (OCEB)"/>
      <sheetName val="Bill Stats (2A)"/>
      <sheetName val="Adj Stats (4A)"/>
      <sheetName val="Exit Fees (3A)"/>
      <sheetName val="Retailer"/>
      <sheetName val="GA True -up"/>
      <sheetName val="microFIT NSLS"/>
      <sheetName val="GM microFIT"/>
      <sheetName val="FIT 10 to 250"/>
      <sheetName val="OREC"/>
      <sheetName val="OCEB"/>
      <sheetName val="OESP"/>
    </sheetNames>
    <sheetDataSet>
      <sheetData sheetId="0"/>
      <sheetData sheetId="1"/>
      <sheetData sheetId="2"/>
      <sheetData sheetId="3"/>
      <sheetData sheetId="4">
        <row r="18">
          <cell r="I18">
            <v>8.43E-2</v>
          </cell>
        </row>
        <row r="19">
          <cell r="N19">
            <v>2791208.4200000004</v>
          </cell>
        </row>
        <row r="160">
          <cell r="K160">
            <v>39160070.890000001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Notes"/>
      <sheetName val="Form 1598"/>
      <sheetName val="Summ Stats"/>
      <sheetName val="Input"/>
      <sheetName val="Bill Stats (2A) (OCEB)"/>
      <sheetName val="Bill Stats (2A)"/>
      <sheetName val="Adj Stats (4A)"/>
      <sheetName val="Exit Fees (3A)"/>
      <sheetName val="Retailer"/>
      <sheetName val="GA True -up"/>
      <sheetName val="microFIT NSLS"/>
      <sheetName val="GM microFIT"/>
      <sheetName val="FIT 10 to 250"/>
      <sheetName val="OREC"/>
      <sheetName val="OCEB"/>
      <sheetName val="OESP"/>
    </sheetNames>
    <sheetDataSet>
      <sheetData sheetId="0"/>
      <sheetData sheetId="1"/>
      <sheetData sheetId="2"/>
      <sheetData sheetId="3"/>
      <sheetData sheetId="4">
        <row r="18">
          <cell r="I18">
            <v>6.8860000000000005E-2</v>
          </cell>
        </row>
        <row r="19">
          <cell r="N19">
            <v>4488812</v>
          </cell>
        </row>
        <row r="160">
          <cell r="K160">
            <v>45702375.590000004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Notes"/>
      <sheetName val="Form 1598"/>
      <sheetName val="Summ Stats"/>
      <sheetName val="Input"/>
      <sheetName val="Bill Stats (2A) (OCEB)"/>
      <sheetName val="Bill Stats (2A)"/>
      <sheetName val="Adj Stats (4A)"/>
      <sheetName val="Exit Fees (3A)"/>
      <sheetName val="Retailer"/>
      <sheetName val="GA True -up"/>
      <sheetName val="microFIT NSLS"/>
      <sheetName val="GM microFIT"/>
      <sheetName val="FIT 10 to 250"/>
      <sheetName val="OREC"/>
      <sheetName val="OCEB"/>
      <sheetName val="OESP"/>
    </sheetNames>
    <sheetDataSet>
      <sheetData sheetId="0"/>
      <sheetData sheetId="1"/>
      <sheetData sheetId="2"/>
      <sheetData sheetId="3"/>
      <sheetData sheetId="4">
        <row r="18">
          <cell r="I18">
            <v>0.10218000000000001</v>
          </cell>
        </row>
        <row r="19">
          <cell r="N19">
            <v>1917681.8900000004</v>
          </cell>
        </row>
        <row r="160">
          <cell r="K160">
            <v>34063644.449999996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Notes"/>
      <sheetName val="Form 1598"/>
      <sheetName val="Summ Stats"/>
      <sheetName val="Input"/>
      <sheetName val="Bill Stats (2A) (OCEB)"/>
      <sheetName val="FHP variances"/>
      <sheetName val="Bill Stats (2A)"/>
      <sheetName val="Adj Stats (4A)"/>
      <sheetName val="Exit Fees (3A)"/>
      <sheetName val="Retailer"/>
      <sheetName val="GA True -up"/>
      <sheetName val="microFIT NSLS"/>
      <sheetName val="GM microFIT"/>
      <sheetName val="FIT 10 to 250"/>
      <sheetName val="OREC"/>
      <sheetName val="OCEB"/>
      <sheetName val="OESP"/>
    </sheetNames>
    <sheetDataSet>
      <sheetData sheetId="0"/>
      <sheetData sheetId="1"/>
      <sheetData sheetId="2"/>
      <sheetData sheetId="3"/>
      <sheetData sheetId="4">
        <row r="18">
          <cell r="I18">
            <v>0.12776000000000001</v>
          </cell>
        </row>
        <row r="19">
          <cell r="N19">
            <v>4158693.1300000004</v>
          </cell>
        </row>
        <row r="160">
          <cell r="K160">
            <v>38703538.589999996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Notes"/>
      <sheetName val="Form 1598"/>
      <sheetName val="Summ Stats"/>
      <sheetName val="Input"/>
      <sheetName val="Bill Stats (2A) (OCEB)"/>
      <sheetName val="FHP variances"/>
      <sheetName val="Bill Stats (2A)"/>
      <sheetName val="Adj Stats (4A)"/>
      <sheetName val="Exit Fees (3A)"/>
      <sheetName val="Retailer"/>
      <sheetName val="GA True -up"/>
      <sheetName val="microFIT NSLS"/>
      <sheetName val="GM microFIT"/>
      <sheetName val="FIT 10 to 250"/>
      <sheetName val="OREC"/>
      <sheetName val="OCEB"/>
      <sheetName val="OESP"/>
    </sheetNames>
    <sheetDataSet>
      <sheetData sheetId="0"/>
      <sheetData sheetId="1"/>
      <sheetData sheetId="2"/>
      <sheetData sheetId="3"/>
      <sheetData sheetId="4">
        <row r="19">
          <cell r="N19">
            <v>2487948.4</v>
          </cell>
        </row>
        <row r="160">
          <cell r="K160">
            <v>32385710.079999998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Notes"/>
      <sheetName val="Form 1598"/>
      <sheetName val="Summ Stats"/>
      <sheetName val="Input"/>
      <sheetName val="GL Activity"/>
      <sheetName val="Bill Stats (2A) (OCEB)"/>
      <sheetName val="FHP variances"/>
      <sheetName val="Bill Stats (2A)"/>
      <sheetName val="Adj Stats (4A)"/>
      <sheetName val="Exit Fees (3A)"/>
      <sheetName val="Retailer"/>
      <sheetName val="GA True -up"/>
      <sheetName val="microFIT NSLS"/>
      <sheetName val="GM microFIT"/>
      <sheetName val="FIT 10 to 250"/>
      <sheetName val="OREC"/>
      <sheetName val="OCEB"/>
      <sheetName val="OESP"/>
    </sheetNames>
    <sheetDataSet>
      <sheetData sheetId="0"/>
      <sheetData sheetId="1"/>
      <sheetData sheetId="2"/>
      <sheetData sheetId="3"/>
      <sheetData sheetId="4">
        <row r="18">
          <cell r="I18">
            <v>0.10197000000000001</v>
          </cell>
        </row>
        <row r="19">
          <cell r="N19">
            <v>3577965.71</v>
          </cell>
        </row>
        <row r="160">
          <cell r="K160">
            <v>38713235.949999996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Notes"/>
      <sheetName val="Form 1598"/>
      <sheetName val="Summ Stats"/>
      <sheetName val="Input"/>
      <sheetName val="GL Activity"/>
      <sheetName val="Bill Stats (2A) (OCEB)"/>
      <sheetName val="FHP variances"/>
      <sheetName val="Bill Stats (2A)"/>
      <sheetName val="Adj Stats (4A)"/>
      <sheetName val="Exit Fees (3A)"/>
      <sheetName val="Retailer"/>
      <sheetName val="GA True -up"/>
      <sheetName val="microFIT NSLS"/>
      <sheetName val="GM microFIT"/>
      <sheetName val="FIT 10 to 250"/>
      <sheetName val="OREC"/>
      <sheetName val="OCEB"/>
      <sheetName val="OESP"/>
    </sheetNames>
    <sheetDataSet>
      <sheetData sheetId="0"/>
      <sheetData sheetId="1"/>
      <sheetData sheetId="2"/>
      <sheetData sheetId="3"/>
      <sheetData sheetId="4">
        <row r="19">
          <cell r="N19">
            <v>5090007.5399999991</v>
          </cell>
        </row>
        <row r="160">
          <cell r="K160">
            <v>40963687.049999997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1. Information Sheet"/>
      <sheetName val="List"/>
      <sheetName val="GA Analysis "/>
      <sheetName val="GA 2014"/>
      <sheetName val="GA 2015"/>
      <sheetName val="GA 2016"/>
      <sheetName val="GA 2017"/>
      <sheetName val="2.GA Detailed Analysis"/>
      <sheetName val="Test - Using Flash Reports L5-9"/>
      <sheetName val="Test - 2.GA Detailed Analysis"/>
      <sheetName val="3.RPP True-up"/>
      <sheetName val="4.UBR Retailer Contract"/>
      <sheetName val="4.IESO Invoice Analysis"/>
      <sheetName val="GA Rates"/>
      <sheetName val="2 1 5 TotalConsumptionData_Dist"/>
    </sheetNames>
    <sheetDataSet>
      <sheetData sheetId="0"/>
      <sheetData sheetId="1"/>
      <sheetData sheetId="2">
        <row r="1">
          <cell r="A1" t="str">
            <v>ALECTRA UTILITIES CORPORATION</v>
          </cell>
        </row>
        <row r="2">
          <cell r="A2" t="str">
            <v>ALGOMA POWER INC.</v>
          </cell>
        </row>
        <row r="3">
          <cell r="A3" t="str">
            <v>ATIKOKAN HYDRO INC.</v>
          </cell>
        </row>
        <row r="4">
          <cell r="A4" t="str">
            <v>BLUEWATER POWER DISTRIBUTION CORPORATION</v>
          </cell>
        </row>
        <row r="5">
          <cell r="A5" t="str">
            <v>BRANTFORD POWER INC.</v>
          </cell>
        </row>
        <row r="6">
          <cell r="A6" t="str">
            <v>BURLINGTON HYDRO INC.</v>
          </cell>
        </row>
        <row r="7">
          <cell r="A7" t="str">
            <v>CANADIAN NIAGARA POWER INC.</v>
          </cell>
        </row>
        <row r="8">
          <cell r="A8" t="str">
            <v>COLLUS POWERSTREAM CORP.</v>
          </cell>
        </row>
        <row r="9">
          <cell r="A9" t="str">
            <v>E.L.K. ENERGY INC.</v>
          </cell>
        </row>
        <row r="10">
          <cell r="A10" t="str">
            <v>ENERGY+ INC.</v>
          </cell>
        </row>
        <row r="11">
          <cell r="A11" t="str">
            <v>ENTEGRUS POWERLINES INC.</v>
          </cell>
        </row>
        <row r="12">
          <cell r="A12" t="str">
            <v>ENWIN UTILITIES LTD.</v>
          </cell>
        </row>
        <row r="13">
          <cell r="A13" t="str">
            <v>FESTIVAL HYDRO INC.</v>
          </cell>
        </row>
        <row r="14">
          <cell r="A14" t="str">
            <v>FORT FRANCES POWER CORPORATION</v>
          </cell>
        </row>
        <row r="15">
          <cell r="A15" t="str">
            <v>GREATER SUDBURY HYDRO INC.</v>
          </cell>
        </row>
        <row r="16">
          <cell r="A16" t="str">
            <v>GRIMSBY POWER INCORPORATED</v>
          </cell>
        </row>
        <row r="17">
          <cell r="A17" t="str">
            <v>GUELPH HYDRO ELECTRIC SYSTEMS INC.</v>
          </cell>
        </row>
        <row r="18">
          <cell r="A18" t="str">
            <v>HALTON HILLS HYDRO INC.</v>
          </cell>
        </row>
        <row r="19">
          <cell r="A19" t="str">
            <v>HEARST POWER DISTRIBUTION COMPANY LTD.</v>
          </cell>
        </row>
        <row r="20">
          <cell r="A20" t="str">
            <v>HYDRO HAWKESBURY INC.</v>
          </cell>
        </row>
        <row r="21">
          <cell r="A21" t="str">
            <v>HYDRO ONE NETWORKS INC.</v>
          </cell>
        </row>
        <row r="22">
          <cell r="A22" t="str">
            <v>HYDRO OTTAWA LIMITED</v>
          </cell>
        </row>
        <row r="23">
          <cell r="A23" t="str">
            <v>INNPOWER CORPORATION</v>
          </cell>
        </row>
        <row r="24">
          <cell r="A24" t="str">
            <v>KENORA HYDRO ELECTRIC CORPORATION LTD.</v>
          </cell>
        </row>
        <row r="25">
          <cell r="A25" t="str">
            <v>KINGSTON HYDRO CORPORATION</v>
          </cell>
        </row>
        <row r="26">
          <cell r="A26" t="str">
            <v>KITCHENER-WILMOT HYDRO INC.</v>
          </cell>
        </row>
        <row r="27">
          <cell r="A27" t="str">
            <v>LAKEFRONT UTILITIES INC.</v>
          </cell>
        </row>
        <row r="28">
          <cell r="A28" t="str">
            <v>LAKELAND POWER DISTRIBUTION LTD.</v>
          </cell>
        </row>
        <row r="29">
          <cell r="A29" t="str">
            <v>LONDON HYDRO INC.</v>
          </cell>
        </row>
        <row r="30">
          <cell r="A30" t="str">
            <v>MIDLAND POWER UTILITY CORPORATION</v>
          </cell>
        </row>
        <row r="31">
          <cell r="A31" t="str">
            <v>MILTON HYDRO DISTRIBUTION INC.</v>
          </cell>
        </row>
        <row r="32">
          <cell r="A32" t="str">
            <v>NEWMARKET - TAY POWER DISTRIBUTION LTD.</v>
          </cell>
        </row>
        <row r="33">
          <cell r="A33" t="str">
            <v>NIAGARA PENINSULA ENERGY INC.</v>
          </cell>
        </row>
        <row r="34">
          <cell r="A34" t="str">
            <v>NIAGARA-ON-THE-LAKE HYDRO INC.</v>
          </cell>
        </row>
        <row r="35">
          <cell r="A35" t="str">
            <v>NORTH BAY HYDRO DISTRIBUTION LIMITED</v>
          </cell>
        </row>
        <row r="36">
          <cell r="A36" t="str">
            <v>NORTHERN ONTARIO WIRES INC.</v>
          </cell>
        </row>
        <row r="37">
          <cell r="A37" t="str">
            <v>OAKVILLE HYDRO ELECTRICITY DISTRIBUTION INC.</v>
          </cell>
        </row>
        <row r="38">
          <cell r="A38" t="str">
            <v>ORANGEVILLE HYDRO LIMITED</v>
          </cell>
        </row>
        <row r="39">
          <cell r="A39" t="str">
            <v>ORILLIA POWER DISTRIBUTION CORPORATION</v>
          </cell>
        </row>
        <row r="40">
          <cell r="A40" t="str">
            <v>OSHAWA PUC NETWORKS INC.</v>
          </cell>
        </row>
        <row r="41">
          <cell r="A41" t="str">
            <v>OTTAWA RIVER POWER CORPORATION</v>
          </cell>
        </row>
        <row r="42">
          <cell r="A42" t="str">
            <v>PETERBOROUGH DISTRIBUTION INCORPORATED</v>
          </cell>
        </row>
        <row r="43">
          <cell r="A43" t="str">
            <v>RENFREW HYDRO INC.</v>
          </cell>
        </row>
        <row r="44">
          <cell r="A44" t="str">
            <v>RIDEAU ST. LAWRENCE DISTRIBUTION INC.</v>
          </cell>
        </row>
        <row r="45">
          <cell r="A45" t="str">
            <v>ST. THOMAS ENERGY INC.</v>
          </cell>
        </row>
        <row r="46">
          <cell r="A46" t="str">
            <v>THUNDER BAY HYDRO ELECTRICITY DISTRIBUTION INC.</v>
          </cell>
        </row>
        <row r="47">
          <cell r="A47" t="str">
            <v>TILLSONBURG HYDRO INC.</v>
          </cell>
        </row>
        <row r="48">
          <cell r="A48" t="str">
            <v>TORONTO HYDRO-ELECTRIC SYSTEM LIMITED</v>
          </cell>
        </row>
        <row r="49">
          <cell r="A49" t="str">
            <v>VERIDIAN CONNECTIONS INC.</v>
          </cell>
        </row>
        <row r="50">
          <cell r="A50" t="str">
            <v>WASAGA DISTRIBUTION INC.</v>
          </cell>
        </row>
        <row r="51">
          <cell r="A51" t="str">
            <v>WATERLOO NORTH HYDRO INC.</v>
          </cell>
        </row>
        <row r="52">
          <cell r="A52" t="str">
            <v>WELLAND HYDRO-ELECTRIC SYSTEM CORP.</v>
          </cell>
        </row>
        <row r="53">
          <cell r="A53" t="str">
            <v>WELLINGTON NORTH POWER INC.</v>
          </cell>
        </row>
        <row r="54">
          <cell r="A54" t="str">
            <v>WEST COAST HURON ENERGY INC.</v>
          </cell>
        </row>
        <row r="55">
          <cell r="A55" t="str">
            <v>WHITBY HYDRO ELECTRIC CORPORATION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Notes"/>
      <sheetName val="Form 1598"/>
      <sheetName val="Summ Stats"/>
      <sheetName val="Input"/>
      <sheetName val="GL Activity"/>
      <sheetName val="Bill Stats (2A) (OCEB)"/>
      <sheetName val="FHP variances"/>
      <sheetName val="Bill Stats (2A)"/>
      <sheetName val="Adj Stats (4A)"/>
      <sheetName val="Exit Fees (3A)"/>
      <sheetName val="Retailer"/>
      <sheetName val="GA True -up"/>
      <sheetName val="microFIT NSLS"/>
      <sheetName val="GM microFIT"/>
      <sheetName val="FIT 10 to 250"/>
      <sheetName val="OREC"/>
      <sheetName val="OCEB"/>
      <sheetName val="OESP"/>
    </sheetNames>
    <sheetDataSet>
      <sheetData sheetId="0"/>
      <sheetData sheetId="1"/>
      <sheetData sheetId="2"/>
      <sheetData sheetId="3"/>
      <sheetData sheetId="4">
        <row r="19">
          <cell r="N19">
            <v>2383884.6700000004</v>
          </cell>
        </row>
        <row r="160">
          <cell r="K160">
            <v>37930175.470000006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Notes"/>
      <sheetName val="Form 1598"/>
      <sheetName val="Summ Stats"/>
      <sheetName val="Input"/>
      <sheetName val="Bill Stats (2A) (OCEB)"/>
      <sheetName val="FHP variances"/>
      <sheetName val="Bill Stats (2A)"/>
      <sheetName val="Adj Stats (4A)"/>
      <sheetName val="Exit Fees (3A)"/>
      <sheetName val="Retailer"/>
      <sheetName val="GA True -up"/>
      <sheetName val="microFIT NSLS"/>
      <sheetName val="GM microFIT"/>
      <sheetName val="FIT 10 to 250"/>
      <sheetName val="OREC"/>
      <sheetName val="OCEB"/>
      <sheetName val="OESP"/>
    </sheetNames>
    <sheetDataSet>
      <sheetData sheetId="0"/>
      <sheetData sheetId="1"/>
      <sheetData sheetId="2"/>
      <sheetData sheetId="3"/>
      <sheetData sheetId="4">
        <row r="18">
          <cell r="I18">
            <v>0.11973</v>
          </cell>
        </row>
        <row r="19">
          <cell r="N19">
            <v>4160259.7499999995</v>
          </cell>
        </row>
        <row r="160">
          <cell r="K160">
            <v>37665214.659999996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Notes"/>
      <sheetName val="Summ Stats"/>
      <sheetName val="Form 1598"/>
      <sheetName val="Input"/>
      <sheetName val="Bill Stats (2A) (OCEB)"/>
      <sheetName val="FHP variances"/>
      <sheetName val="Bill Stats (2A)"/>
      <sheetName val="Adj Stats (4A)"/>
      <sheetName val="Exit Fees (3A)"/>
      <sheetName val="Retailer"/>
      <sheetName val="GA True -up"/>
      <sheetName val="microFIT NSLS"/>
      <sheetName val="GM microFIT"/>
      <sheetName val="FIT 10 to 250"/>
      <sheetName val="OREC"/>
      <sheetName val="OCEB"/>
      <sheetName val="OESP"/>
    </sheetNames>
    <sheetDataSet>
      <sheetData sheetId="0"/>
      <sheetData sheetId="1"/>
      <sheetData sheetId="2"/>
      <sheetData sheetId="3"/>
      <sheetData sheetId="4">
        <row r="18">
          <cell r="I18">
            <v>9.6689999999999998E-2</v>
          </cell>
        </row>
        <row r="19">
          <cell r="N19">
            <v>3026042.9000000004</v>
          </cell>
        </row>
        <row r="160">
          <cell r="K160">
            <v>36670335.159999996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IS Billed Revenue by Range gro"/>
    </sheetNames>
    <sheetDataSet>
      <sheetData sheetId="0">
        <row r="3841">
          <cell r="I3841">
            <v>21264463.860000003</v>
          </cell>
        </row>
      </sheetData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IS Billed Revenue by Range gro"/>
    </sheetNames>
    <sheetDataSet>
      <sheetData sheetId="0">
        <row r="5181">
          <cell r="I5181">
            <v>26251504.239999995</v>
          </cell>
        </row>
      </sheetData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IS Billed Revenue by Range gro"/>
    </sheetNames>
    <sheetDataSet>
      <sheetData sheetId="0">
        <row r="4502">
          <cell r="I4502">
            <v>22367555.519999996</v>
          </cell>
        </row>
      </sheetData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IS Billed Revenue by Range gro"/>
    </sheetNames>
    <sheetDataSet>
      <sheetData sheetId="0">
        <row r="3656">
          <cell r="I3656">
            <v>19720330.319999997</v>
          </cell>
        </row>
      </sheetData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IS Billed Revenue by Range gro"/>
    </sheetNames>
    <sheetDataSet>
      <sheetData sheetId="0">
        <row r="3259">
          <cell r="I3259">
            <v>23978743.390000015</v>
          </cell>
        </row>
      </sheetData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IS Billed Revenue by Range gro"/>
    </sheetNames>
    <sheetDataSet>
      <sheetData sheetId="0">
        <row r="4174">
          <cell r="I4174">
            <v>17285944.309999991</v>
          </cell>
        </row>
      </sheetData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IS Billed Revenue by Range gro"/>
    </sheetNames>
    <sheetDataSet>
      <sheetData sheetId="0">
        <row r="3452">
          <cell r="I3452">
            <v>23428339.590000011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1. Information Sheet"/>
      <sheetName val="List"/>
      <sheetName val="GA Analysis "/>
      <sheetName val="GA 2014"/>
      <sheetName val="GA 2015"/>
      <sheetName val="GA 2016"/>
      <sheetName val="GA 2017"/>
      <sheetName val="2.GA Detailed Analysis"/>
      <sheetName val="3.RPP True-up"/>
      <sheetName val="4.UBR Retailer Contract"/>
      <sheetName val="Test - Using Flash Reports L5-9"/>
      <sheetName val="Test - 2.GA Detailed Analysis"/>
      <sheetName val="GA Rates"/>
      <sheetName val="2 1 5 TotalConsumptionData_Dist"/>
    </sheetNames>
    <sheetDataSet>
      <sheetData sheetId="0"/>
      <sheetData sheetId="1"/>
      <sheetData sheetId="2">
        <row r="1">
          <cell r="A1" t="str">
            <v>ALECTRA UTILITIES CORPORATION</v>
          </cell>
        </row>
        <row r="2">
          <cell r="A2" t="str">
            <v>ALGOMA POWER INC.</v>
          </cell>
        </row>
        <row r="3">
          <cell r="A3" t="str">
            <v>ATIKOKAN HYDRO INC.</v>
          </cell>
        </row>
        <row r="4">
          <cell r="A4" t="str">
            <v>BLUEWATER POWER DISTRIBUTION CORPORATION</v>
          </cell>
        </row>
        <row r="5">
          <cell r="A5" t="str">
            <v>BRANTFORD POWER INC.</v>
          </cell>
        </row>
        <row r="6">
          <cell r="A6" t="str">
            <v>BURLINGTON HYDRO INC.</v>
          </cell>
        </row>
        <row r="7">
          <cell r="A7" t="str">
            <v>CANADIAN NIAGARA POWER INC.</v>
          </cell>
        </row>
        <row r="8">
          <cell r="A8" t="str">
            <v>COLLUS POWERSTREAM CORP.</v>
          </cell>
        </row>
        <row r="9">
          <cell r="A9" t="str">
            <v>E.L.K. ENERGY INC.</v>
          </cell>
        </row>
        <row r="10">
          <cell r="A10" t="str">
            <v>ENERGY+ INC.</v>
          </cell>
        </row>
        <row r="11">
          <cell r="A11" t="str">
            <v>ENTEGRUS POWERLINES INC.</v>
          </cell>
        </row>
        <row r="12">
          <cell r="A12" t="str">
            <v>ENWIN UTILITIES LTD.</v>
          </cell>
        </row>
        <row r="13">
          <cell r="A13" t="str">
            <v>FESTIVAL HYDRO INC.</v>
          </cell>
        </row>
        <row r="14">
          <cell r="A14" t="str">
            <v>FORT FRANCES POWER CORPORATION</v>
          </cell>
        </row>
        <row r="15">
          <cell r="A15" t="str">
            <v>GREATER SUDBURY HYDRO INC.</v>
          </cell>
        </row>
        <row r="16">
          <cell r="A16" t="str">
            <v>GRIMSBY POWER INCORPORATED</v>
          </cell>
        </row>
        <row r="17">
          <cell r="A17" t="str">
            <v>GUELPH HYDRO ELECTRIC SYSTEMS INC.</v>
          </cell>
        </row>
        <row r="18">
          <cell r="A18" t="str">
            <v>HALTON HILLS HYDRO INC.</v>
          </cell>
        </row>
        <row r="19">
          <cell r="A19" t="str">
            <v>HEARST POWER DISTRIBUTION COMPANY LTD.</v>
          </cell>
        </row>
        <row r="20">
          <cell r="A20" t="str">
            <v>HYDRO HAWKESBURY INC.</v>
          </cell>
        </row>
        <row r="21">
          <cell r="A21" t="str">
            <v>HYDRO ONE NETWORKS INC.</v>
          </cell>
        </row>
        <row r="22">
          <cell r="A22" t="str">
            <v>HYDRO OTTAWA LIMITED</v>
          </cell>
        </row>
        <row r="23">
          <cell r="A23" t="str">
            <v>INNPOWER CORPORATION</v>
          </cell>
        </row>
        <row r="24">
          <cell r="A24" t="str">
            <v>KENORA HYDRO ELECTRIC CORPORATION LTD.</v>
          </cell>
        </row>
        <row r="25">
          <cell r="A25" t="str">
            <v>KINGSTON HYDRO CORPORATION</v>
          </cell>
        </row>
        <row r="26">
          <cell r="A26" t="str">
            <v>KITCHENER-WILMOT HYDRO INC.</v>
          </cell>
        </row>
        <row r="27">
          <cell r="A27" t="str">
            <v>LAKEFRONT UTILITIES INC.</v>
          </cell>
        </row>
        <row r="28">
          <cell r="A28" t="str">
            <v>LAKELAND POWER DISTRIBUTION LTD.</v>
          </cell>
        </row>
        <row r="29">
          <cell r="A29" t="str">
            <v>LONDON HYDRO INC.</v>
          </cell>
        </row>
        <row r="30">
          <cell r="A30" t="str">
            <v>MIDLAND POWER UTILITY CORPORATION</v>
          </cell>
        </row>
        <row r="31">
          <cell r="A31" t="str">
            <v>MILTON HYDRO DISTRIBUTION INC.</v>
          </cell>
        </row>
        <row r="32">
          <cell r="A32" t="str">
            <v>NEWMARKET - TAY POWER DISTRIBUTION LTD.</v>
          </cell>
        </row>
        <row r="33">
          <cell r="A33" t="str">
            <v>NIAGARA PENINSULA ENERGY INC.</v>
          </cell>
        </row>
        <row r="34">
          <cell r="A34" t="str">
            <v>NIAGARA-ON-THE-LAKE HYDRO INC.</v>
          </cell>
        </row>
        <row r="35">
          <cell r="A35" t="str">
            <v>NORTH BAY HYDRO DISTRIBUTION LIMITED</v>
          </cell>
        </row>
        <row r="36">
          <cell r="A36" t="str">
            <v>NORTHERN ONTARIO WIRES INC.</v>
          </cell>
        </row>
        <row r="37">
          <cell r="A37" t="str">
            <v>OAKVILLE HYDRO ELECTRICITY DISTRIBUTION INC.</v>
          </cell>
        </row>
        <row r="38">
          <cell r="A38" t="str">
            <v>ORANGEVILLE HYDRO LIMITED</v>
          </cell>
        </row>
        <row r="39">
          <cell r="A39" t="str">
            <v>ORILLIA POWER DISTRIBUTION CORPORATION</v>
          </cell>
        </row>
        <row r="40">
          <cell r="A40" t="str">
            <v>OSHAWA PUC NETWORKS INC.</v>
          </cell>
        </row>
        <row r="41">
          <cell r="A41" t="str">
            <v>OTTAWA RIVER POWER CORPORATION</v>
          </cell>
        </row>
        <row r="42">
          <cell r="A42" t="str">
            <v>PETERBOROUGH DISTRIBUTION INCORPORATED</v>
          </cell>
        </row>
        <row r="43">
          <cell r="A43" t="str">
            <v>RENFREW HYDRO INC.</v>
          </cell>
        </row>
        <row r="44">
          <cell r="A44" t="str">
            <v>RIDEAU ST. LAWRENCE DISTRIBUTION INC.</v>
          </cell>
        </row>
        <row r="45">
          <cell r="A45" t="str">
            <v>ST. THOMAS ENERGY INC.</v>
          </cell>
        </row>
        <row r="46">
          <cell r="A46" t="str">
            <v>THUNDER BAY HYDRO ELECTRICITY DISTRIBUTION INC.</v>
          </cell>
        </row>
        <row r="47">
          <cell r="A47" t="str">
            <v>TILLSONBURG HYDRO INC.</v>
          </cell>
        </row>
        <row r="48">
          <cell r="A48" t="str">
            <v>TORONTO HYDRO-ELECTRIC SYSTEM LIMITED</v>
          </cell>
        </row>
        <row r="49">
          <cell r="A49" t="str">
            <v>VERIDIAN CONNECTIONS INC.</v>
          </cell>
        </row>
        <row r="50">
          <cell r="A50" t="str">
            <v>WASAGA DISTRIBUTION INC.</v>
          </cell>
        </row>
        <row r="51">
          <cell r="A51" t="str">
            <v>WATERLOO NORTH HYDRO INC.</v>
          </cell>
        </row>
        <row r="52">
          <cell r="A52" t="str">
            <v>WELLAND HYDRO-ELECTRIC SYSTEM CORP.</v>
          </cell>
        </row>
        <row r="53">
          <cell r="A53" t="str">
            <v>WELLINGTON NORTH POWER INC.</v>
          </cell>
        </row>
        <row r="54">
          <cell r="A54" t="str">
            <v>WEST COAST HURON ENERGY INC.</v>
          </cell>
        </row>
        <row r="55">
          <cell r="A55" t="str">
            <v>WHITBY HYDRO ELECTRIC CORPORATION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IS Billed Revenue by Range gro"/>
    </sheetNames>
    <sheetDataSet>
      <sheetData sheetId="0">
        <row r="4819">
          <cell r="I4819">
            <v>24789047.840000004</v>
          </cell>
        </row>
      </sheetData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IS Billed Revenue by Range gro"/>
    </sheetNames>
    <sheetDataSet>
      <sheetData sheetId="0">
        <row r="2869">
          <cell r="I2869">
            <v>20170905.130000006</v>
          </cell>
        </row>
      </sheetData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IS Billed Revenue by Range gro"/>
    </sheetNames>
    <sheetDataSet>
      <sheetData sheetId="0">
        <row r="2671">
          <cell r="I2671">
            <v>25962448.679999996</v>
          </cell>
        </row>
      </sheetData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IS Billed Revenue by Range gro"/>
    </sheetNames>
    <sheetDataSet>
      <sheetData sheetId="0">
        <row r="2926">
          <cell r="I2926">
            <v>23337393.079999991</v>
          </cell>
        </row>
      </sheetData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Notes"/>
      <sheetName val="Summ Stats"/>
      <sheetName val="Form 1598"/>
      <sheetName val="Input"/>
      <sheetName val="Bill Stats (2A) (OCEB)"/>
      <sheetName val="FHP variances"/>
      <sheetName val="Bill Stats (2A)"/>
      <sheetName val="Adj Stats (4A)"/>
      <sheetName val="Exit Fees (3A)"/>
      <sheetName val="Retailer"/>
      <sheetName val="GA True -up"/>
      <sheetName val="microFIT NSLS"/>
      <sheetName val="GM microFIT"/>
      <sheetName val="FIT 10 to 250"/>
      <sheetName val="OREC"/>
      <sheetName val="OCEB"/>
      <sheetName val="OESP"/>
    </sheetNames>
    <sheetDataSet>
      <sheetData sheetId="0"/>
      <sheetData sheetId="1"/>
      <sheetData sheetId="2"/>
      <sheetData sheetId="3"/>
      <sheetData sheetId="4">
        <row r="18">
          <cell r="I18">
            <v>9.6689999999999998E-2</v>
          </cell>
        </row>
        <row r="19">
          <cell r="N19">
            <v>4052233.22</v>
          </cell>
        </row>
        <row r="160">
          <cell r="K160">
            <v>37947540.989999995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IS Billed Revenue by Range gro"/>
    </sheetNames>
    <sheetDataSet>
      <sheetData sheetId="0">
        <row r="3897">
          <cell r="I3897">
            <v>25847467.620000001</v>
          </cell>
        </row>
      </sheetData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 2016_CNF-GUELPHHYDRO_ST-P-P"/>
    </sheetNames>
    <sheetDataSet>
      <sheetData sheetId="0">
        <row r="26">
          <cell r="X26">
            <v>9.2020185701217574E-2</v>
          </cell>
        </row>
        <row r="39">
          <cell r="F39">
            <v>-10441315.59</v>
          </cell>
          <cell r="X39">
            <v>113470.12300000001</v>
          </cell>
          <cell r="Y39">
            <v>277.98399999999998</v>
          </cell>
        </row>
      </sheetData>
    </sheetDataSet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F-GUELPHHYDRO_ST-P-P_20160229"/>
    </sheetNames>
    <sheetDataSet>
      <sheetData sheetId="0">
        <row r="29">
          <cell r="X29">
            <v>9.8881172659946295E-2</v>
          </cell>
        </row>
        <row r="40">
          <cell r="F40">
            <v>-10470843.470000001</v>
          </cell>
          <cell r="X40">
            <v>105883.04</v>
          </cell>
          <cell r="Y40">
            <v>394.149</v>
          </cell>
        </row>
        <row r="318">
          <cell r="F318">
            <v>1533.44</v>
          </cell>
        </row>
      </sheetData>
    </sheetDataSet>
  </externalBook>
</externalLink>
</file>

<file path=xl/externalLinks/externalLink7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F-GUELPHHYDRO_ST-P-P_20160331"/>
    </sheetNames>
    <sheetDataSet>
      <sheetData sheetId="0">
        <row r="26">
          <cell r="X26">
            <v>0.10674920898216179</v>
          </cell>
        </row>
        <row r="38">
          <cell r="F38">
            <v>-11339067.49</v>
          </cell>
          <cell r="X38">
            <v>106313.026</v>
          </cell>
          <cell r="Y38">
            <v>657.48</v>
          </cell>
        </row>
        <row r="303">
          <cell r="F303">
            <v>-9031.4</v>
          </cell>
        </row>
      </sheetData>
    </sheetDataSet>
  </externalBook>
</externalLink>
</file>

<file path=xl/externalLinks/externalLink7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F-GUELPHHYDRO_ST-P-P_20160430"/>
    </sheetNames>
    <sheetDataSet>
      <sheetData sheetId="0">
        <row r="26">
          <cell r="X26">
            <v>0.11239744760358679</v>
          </cell>
        </row>
        <row r="39">
          <cell r="F39">
            <v>-11165570.77</v>
          </cell>
          <cell r="X39">
            <v>99362.622000000003</v>
          </cell>
          <cell r="Y39">
            <v>955.47900000000004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DC Info"/>
      <sheetName val="Index"/>
      <sheetName val="COS Flowchart"/>
      <sheetName val="List of Key References"/>
      <sheetName val="App.2-AA_Capital Projects"/>
      <sheetName val="App.2-AB_Capital Expenditures"/>
      <sheetName val="App. 2-AC_Customer Engagement"/>
      <sheetName val="App.2-B_Acct Instructions"/>
      <sheetName val="App.2-BA_Fixed Asset Cont"/>
      <sheetName val="Appendix 2-BB Service Life  "/>
      <sheetName val="App.2-CA_OldCGAAP_DepExp_2012"/>
      <sheetName val="App.2-CB_NewCGAAP_DepExp_2012"/>
      <sheetName val="App.2-CC_NewCGAAP_DepExp_2013"/>
      <sheetName val="App.2-CD_MIFRS_DepExp_2014"/>
      <sheetName val="App.2-CE_MIFRS_DepExp_2015"/>
      <sheetName val="App.2-CF_MIFRS_DepExp_2016"/>
      <sheetName val="App.2-CG_OldCGAAP_DepExp_2013"/>
      <sheetName val="App.2-CH_NewCGAAP_DepExp_2013"/>
      <sheetName val="App.2-CI_MIFRS_DepExp_2014"/>
      <sheetName val="App.2-CJ MIFRS_DepExp_2015"/>
      <sheetName val="App.2-CK MIFRS_DepExp_2016"/>
      <sheetName val="App.2-D_Overhead"/>
      <sheetName val="App.2-EA_Account 1575 (2015)"/>
      <sheetName val="App.2-EB_Account 1576 (2012)"/>
      <sheetName val="App.2-EC_Account 1576 (2013)"/>
      <sheetName val="App.2-FA Proposed REG Invest."/>
      <sheetName val="App.2-FB Calc of REG Improvemnt"/>
      <sheetName val="App.2-FC Calc of REG Expansion"/>
      <sheetName val="App.2-G SQI"/>
      <sheetName val="App.2-H_Other_Oper_Rev"/>
      <sheetName val="App_2-I LF_CDM"/>
      <sheetName val="App.2-IA_Act_Frcst_Data"/>
      <sheetName val="App.2-JA_OM&amp;A_Summary_Analys"/>
      <sheetName val="App.2-JB_OM&amp;A_Cost _Drivers"/>
      <sheetName val="App.2-JC_OMA Programs"/>
      <sheetName val="App.2-K_Employee Costs"/>
      <sheetName val="App.2-L_OM&amp;A_per_Cust_FTEE"/>
      <sheetName val="App.2-M_Regulatory_Costs"/>
      <sheetName val="App.2-N_Corp_Cost_Allocation"/>
      <sheetName val="App.2-OA Capital Structure"/>
      <sheetName val="App.2-OB_Debt Instruments"/>
      <sheetName val="App.2-P_Cost_Allocation"/>
      <sheetName val="App.2-PA_Res_Rate_Design"/>
      <sheetName val="App.2-Q_Cost of Serv. Emb. Dx"/>
      <sheetName val="App.2-R_Loss Factors"/>
      <sheetName val="App.2-S_Stranded Meters"/>
      <sheetName val="App.2-TA_1592_Tax_Variance"/>
      <sheetName val="App.2-TB_1592_HST-OVAT"/>
      <sheetName val="App.2-U_IFRS Transition Costs"/>
      <sheetName val="App.2-V_Rev_Reconciliation"/>
      <sheetName val="App.2-W_Bill Impacts"/>
      <sheetName val="App.2-W_Bill Impacts_hidden"/>
      <sheetName val="App.2-Y_MIFRS Summary Impacts"/>
      <sheetName val="App. 2-Z_Tariff"/>
      <sheetName val="lists"/>
      <sheetName val="lists2"/>
      <sheetName val="Sheet19"/>
    </sheetNames>
    <sheetDataSet>
      <sheetData sheetId="0">
        <row r="3">
          <cell r="AA3" t="str">
            <v>Algoma Power Inc.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>
        <row r="1">
          <cell r="Z1" t="str">
            <v>Account History</v>
          </cell>
        </row>
        <row r="2">
          <cell r="A2" t="str">
            <v>DISTRIBUTED GENERATION [DGEN]</v>
          </cell>
        </row>
        <row r="3">
          <cell r="A3" t="str">
            <v>EMBEDDED DISTRIBUTOR</v>
          </cell>
        </row>
        <row r="4">
          <cell r="A4" t="str">
            <v>EMBEDDED DISTRIBUTOR</v>
          </cell>
        </row>
        <row r="5">
          <cell r="A5" t="str">
            <v>FARMS - SINGLE PHASE ENERGY-BILLED [F1]</v>
          </cell>
        </row>
        <row r="6">
          <cell r="A6" t="str">
            <v>FARMS - THREE PHASE ENERGY-BILLED [F3]</v>
          </cell>
        </row>
        <row r="7">
          <cell r="A7" t="str">
            <v>GENERAL SERVICE - COMMERCIAL</v>
          </cell>
        </row>
        <row r="8">
          <cell r="A8" t="str">
            <v>GENERAL SERVICE - INSTITUTIONAL</v>
          </cell>
        </row>
        <row r="9">
          <cell r="A9" t="str">
            <v>GENERAL SERVICE 1,000 TO 2,999 KW</v>
          </cell>
        </row>
        <row r="10">
          <cell r="A10" t="str">
            <v>GENERAL SERVICE 1,000 TO 4,999 KW</v>
          </cell>
        </row>
        <row r="11">
          <cell r="A11" t="str">
            <v>GENERAL SERVICE 1,000 TO 4,999 KW - INTERVAL METERS</v>
          </cell>
        </row>
        <row r="12">
          <cell r="A12" t="str">
            <v>GENERAL SERVICE 1,000 TO 4,999 KW (CO-GENERATION)</v>
          </cell>
        </row>
        <row r="13">
          <cell r="A13" t="str">
            <v>GENERAL SERVICE 1,500 TO 4,999 KW</v>
          </cell>
        </row>
        <row r="14">
          <cell r="A14" t="str">
            <v>GENERAL SERVICE 2,500 TO 4,999 KW</v>
          </cell>
        </row>
        <row r="15">
          <cell r="A15" t="str">
            <v>GENERAL SERVICE 3,000 TO 4,999 KW</v>
          </cell>
        </row>
        <row r="16">
          <cell r="A16" t="str">
            <v>GENERAL SERVICE 3,000 TO 4,999 KW - INTERMEDIATE USE</v>
          </cell>
        </row>
        <row r="17">
          <cell r="A17" t="str">
            <v>GENERAL SERVICE 3,000 TO 4,999 KW - INTERVAL METERED</v>
          </cell>
        </row>
        <row r="18">
          <cell r="A18" t="str">
            <v>GENERAL SERVICE 3,000 TO 4,999 KW - TIME OF USE</v>
          </cell>
        </row>
        <row r="19">
          <cell r="A19" t="str">
            <v>GENERAL SERVICE 50 TO 1,000 KW</v>
          </cell>
        </row>
        <row r="20">
          <cell r="A20" t="str">
            <v>GENERAL SERVICE 50 TO 1,000 KW - INTERVAL METERS</v>
          </cell>
        </row>
        <row r="21">
          <cell r="A21" t="str">
            <v>GENERAL SERVICE 50 TO 1,000 KW - NON INTERVAL METERS</v>
          </cell>
        </row>
        <row r="22">
          <cell r="A22" t="str">
            <v>GENERAL SERVICE 50 TO 1,499 KW</v>
          </cell>
        </row>
        <row r="23">
          <cell r="A23" t="str">
            <v>GENERAL SERVICE 50 TO 1,499 KW - INTERVAL METERED</v>
          </cell>
        </row>
        <row r="24">
          <cell r="A24" t="str">
            <v>GENERAL SERVICE 50 TO 2,499 KW</v>
          </cell>
        </row>
        <row r="25">
          <cell r="A25" t="str">
            <v>GENERAL SERVICE 50 TO 2,999 KW</v>
          </cell>
        </row>
        <row r="26">
          <cell r="A26" t="str">
            <v>GENERAL SERVICE 50 TO 2,999 KW - INTERVAL METERED</v>
          </cell>
        </row>
        <row r="27">
          <cell r="A27" t="str">
            <v>GENERAL SERVICE 50 TO 2,999 KW - TIME OF USE</v>
          </cell>
        </row>
        <row r="28">
          <cell r="A28" t="str">
            <v>GENERAL SERVICE 50 TO 4,999 KW</v>
          </cell>
        </row>
        <row r="29">
          <cell r="A29" t="str">
            <v>GENERAL SERVICE 50 TO 4,999 KW - INTERVAL METERED</v>
          </cell>
        </row>
        <row r="30">
          <cell r="A30" t="str">
            <v>GENERAL SERVICE 50 TO 4,999 KW - TIME OF USE</v>
          </cell>
        </row>
        <row r="31">
          <cell r="A31" t="str">
            <v>GENERAL SERVICE 50 TO 4,999 KW (COGENERATION)</v>
          </cell>
        </row>
        <row r="32">
          <cell r="A32" t="str">
            <v>GENERAL SERVICE 50 TO 4,999 KW (FORMERLY TIME OF USE)</v>
          </cell>
        </row>
        <row r="33">
          <cell r="A33" t="str">
            <v>GENERAL SERVICE 50 TO 499 KW</v>
          </cell>
        </row>
        <row r="34">
          <cell r="A34" t="str">
            <v>GENERAL SERVICE 50 TO 699 KW</v>
          </cell>
        </row>
        <row r="35">
          <cell r="A35" t="str">
            <v>GENERAL SERVICE 50 TO 999 KW</v>
          </cell>
        </row>
        <row r="36">
          <cell r="A36" t="str">
            <v>GENERAL SERVICE 50 TO 999 KW - INTERVAL METERED</v>
          </cell>
        </row>
        <row r="37">
          <cell r="A37" t="str">
            <v>GENERAL SERVICE 500 TO 4,999 KW</v>
          </cell>
        </row>
        <row r="38">
          <cell r="A38" t="str">
            <v>GENERAL SERVICE 700 TO 4,999 KW</v>
          </cell>
        </row>
        <row r="39">
          <cell r="A39" t="str">
            <v>GENERAL SERVICE DEMAND BILLED (50 KW AND ABOVE) [GSD]</v>
          </cell>
        </row>
        <row r="40">
          <cell r="A40" t="str">
            <v>GENERAL SERVICE ENERGY BILLED (LESS THAN 50 KW) [GSE-METERED]</v>
          </cell>
        </row>
        <row r="41">
          <cell r="A41" t="str">
            <v>GENERAL SERVICE ENERGY BILLED (LESS THAN TO 50 KW) [GSE-UNMETERED]</v>
          </cell>
        </row>
        <row r="42">
          <cell r="A42" t="str">
            <v>GENERAL SERVICE EQUAL TO OR GREATER THAN 1,500 KW</v>
          </cell>
        </row>
        <row r="43">
          <cell r="A43" t="str">
            <v>GENERAL SERVICE EQUAL TO OR GREATER THAN 1,500 KW - INTERVAL METERED</v>
          </cell>
        </row>
        <row r="44">
          <cell r="A44" t="str">
            <v>GENERAL SERVICE GREATER THAN 1,000 KW</v>
          </cell>
        </row>
        <row r="45">
          <cell r="A45" t="str">
            <v>GENERAL SERVICE GREATER THAN 50 kW - WMP</v>
          </cell>
        </row>
        <row r="46">
          <cell r="A46" t="str">
            <v>GENERAL SERVICE INTERMEDIATE 1,000 TO 4,999 KW</v>
          </cell>
        </row>
        <row r="47">
          <cell r="A47" t="str">
            <v>GENERAL SERVICE INTERMEDIATE RATE CLASS 1,000 TO 4,999 KW (FORMERLY GENERAL SERVICE &gt; 50 KW CUSTOMERS)</v>
          </cell>
        </row>
        <row r="48">
          <cell r="A48" t="str">
            <v>GENERAL SERVICE INTERMEDIATE RATE CLASS 1,000 TO 4,999 KW (FORMERLY LARGE USE CUSTOMERS)</v>
          </cell>
        </row>
        <row r="49">
          <cell r="A49" t="str">
            <v>GENERAL SERVICE LESS THAN 50 KW</v>
          </cell>
        </row>
        <row r="50">
          <cell r="A50" t="str">
            <v>GENERAL SERVICE LESS THAN 50 KW - SINGLE PHASE ENERGY-BILLED [G1]</v>
          </cell>
        </row>
        <row r="51">
          <cell r="A51" t="str">
            <v>GENERAL SERVICE LESS THAN 50 KW - THREE PHASE ENERGY-BILLED [G3]</v>
          </cell>
        </row>
        <row r="52">
          <cell r="A52" t="str">
            <v>GENERAL SERVICE LESS THAN 50 KW - TRANSMISSION CLASS ENERGY-BILLED [T]</v>
          </cell>
        </row>
        <row r="53">
          <cell r="A53" t="str">
            <v>GENERAL SERVICE LESS THAN 50 KW - URBAN ENERGY-BILLED [UG]</v>
          </cell>
        </row>
        <row r="54">
          <cell r="A54" t="str">
            <v>GENERAL SERVICE SINGLE PHASE - G1</v>
          </cell>
        </row>
        <row r="55">
          <cell r="A55" t="str">
            <v>GENERAL SERVICE THREE PHASE - G3</v>
          </cell>
        </row>
        <row r="56">
          <cell r="A56" t="str">
            <v>INTERMEDIATE USERS</v>
          </cell>
        </row>
        <row r="57">
          <cell r="A57" t="str">
            <v>INTERMEDIATE WITH SELF GENERATION</v>
          </cell>
        </row>
        <row r="58">
          <cell r="A58" t="str">
            <v>LARGE USE</v>
          </cell>
        </row>
        <row r="59">
          <cell r="A59" t="str">
            <v>LARGE USE - 3TS</v>
          </cell>
        </row>
        <row r="60">
          <cell r="A60" t="str">
            <v>LARGE USE - FORD ANNEX</v>
          </cell>
        </row>
        <row r="61">
          <cell r="A61" t="str">
            <v>LARGE USE - REGULAR</v>
          </cell>
        </row>
        <row r="62">
          <cell r="A62" t="str">
            <v>LARGE USE &gt; 5000 KW</v>
          </cell>
        </row>
        <row r="63">
          <cell r="A63" t="str">
            <v>microFIT</v>
          </cell>
        </row>
        <row r="64">
          <cell r="A64" t="str">
            <v>RESIDENTIAL</v>
          </cell>
        </row>
        <row r="65">
          <cell r="A65" t="str">
            <v>RESIDENTIAL - HENSALL</v>
          </cell>
        </row>
        <row r="66">
          <cell r="A66" t="str">
            <v>RESIDENTIAL - HIGH DENSITY [R1]</v>
          </cell>
        </row>
        <row r="67">
          <cell r="A67" t="str">
            <v>RESIDENTIAL - LOW DENSITY [R2]</v>
          </cell>
        </row>
        <row r="68">
          <cell r="A68" t="str">
            <v>RESIDENTIAL - MEDIUM DENSITY [R1]</v>
          </cell>
        </row>
        <row r="69">
          <cell r="A69" t="str">
            <v>RESIDENTIAL - NORMAL DENSITY [R2]</v>
          </cell>
        </row>
        <row r="70">
          <cell r="A70" t="str">
            <v>RESIDENTIAL - TIME OF USE</v>
          </cell>
        </row>
        <row r="71">
          <cell r="A71" t="str">
            <v>RESIDENTIAL - URBAN [UR]</v>
          </cell>
        </row>
        <row r="72">
          <cell r="A72" t="str">
            <v>RESIDENTIAL REGULAR</v>
          </cell>
        </row>
        <row r="73">
          <cell r="A73" t="str">
            <v>RESIDENTIAL SUBURBAN</v>
          </cell>
        </row>
        <row r="74">
          <cell r="A74" t="str">
            <v>RESIDENTIAL SUBURBAN SEASONAL</v>
          </cell>
        </row>
        <row r="75">
          <cell r="A75" t="str">
            <v>RESIDENTIAL SUBURBAN YEAR ROUND</v>
          </cell>
        </row>
        <row r="76">
          <cell r="A76" t="str">
            <v>RESIDENTIAL URBAN</v>
          </cell>
        </row>
        <row r="77">
          <cell r="A77" t="str">
            <v>RESIDENTIAL URBAN YEAR-ROUND</v>
          </cell>
        </row>
        <row r="78">
          <cell r="A78" t="str">
            <v>SEASONAL RESIDENTIAL</v>
          </cell>
        </row>
        <row r="79">
          <cell r="A79" t="str">
            <v>SEASONAL RESIDENTIAL - HIGH DENSITY [R3]</v>
          </cell>
        </row>
        <row r="80">
          <cell r="A80" t="str">
            <v>SEASONAL RESIDENTIAL - NORMAL DENSITY [R4]</v>
          </cell>
        </row>
        <row r="81">
          <cell r="A81" t="str">
            <v>SENTINEL LIGHTING</v>
          </cell>
        </row>
        <row r="82">
          <cell r="A82" t="str">
            <v>SMALL COMMERCIAL AND USL - PER CONNECTION</v>
          </cell>
        </row>
        <row r="83">
          <cell r="A83" t="str">
            <v>SMALL COMMERCIAL AND USL - PER METER</v>
          </cell>
        </row>
        <row r="84">
          <cell r="A84" t="str">
            <v>STANDARD A GENERAL SERVICE AIR ACCESS</v>
          </cell>
        </row>
        <row r="85">
          <cell r="A85" t="str">
            <v>STANDARD A GENERAL SERVICE ROAD/RAIL</v>
          </cell>
        </row>
        <row r="86">
          <cell r="A86" t="str">
            <v>STANDARD A GRID CONNECTED</v>
          </cell>
        </row>
        <row r="87">
          <cell r="A87" t="str">
            <v>STANDARD A RESIDENTIAL AIR ACCESS</v>
          </cell>
        </row>
        <row r="88">
          <cell r="A88" t="str">
            <v>STANDARD A RESIDENTIAL ROAD/RAIL</v>
          </cell>
        </row>
        <row r="89">
          <cell r="A89" t="str">
            <v>STANDBY - GENERAL SERVICE 1,000 - 5,000 KW</v>
          </cell>
        </row>
        <row r="90">
          <cell r="A90" t="str">
            <v>STANDBY - GENERAL SERVICE 50 - 1,000 KW</v>
          </cell>
        </row>
        <row r="91">
          <cell r="A91" t="str">
            <v>STANDBY - LARGE USE</v>
          </cell>
        </row>
        <row r="92">
          <cell r="A92" t="str">
            <v>STANDBY DISTRIBUTION SERVICE</v>
          </cell>
        </row>
        <row r="93">
          <cell r="A93" t="str">
            <v>STANDBY POWER</v>
          </cell>
        </row>
        <row r="94">
          <cell r="A94" t="str">
            <v>STANDBY POWER - APPROVED ON AN INTERIM BASIS</v>
          </cell>
        </row>
        <row r="95">
          <cell r="A95" t="str">
            <v>STANDBY POWER GENERAL SERVICE 1,500 TO 4,999 KW</v>
          </cell>
        </row>
        <row r="96">
          <cell r="A96" t="str">
            <v>STANDBY POWER GENERAL SERVICE 50 TO 1,499 KW</v>
          </cell>
        </row>
        <row r="97">
          <cell r="A97" t="str">
            <v>STANDBY POWER GENERAL SERVICE LARGE USE</v>
          </cell>
        </row>
        <row r="98">
          <cell r="A98" t="str">
            <v>STREET LIGHTING</v>
          </cell>
        </row>
        <row r="99">
          <cell r="A99" t="str">
            <v>SUB TRANSMISSION [ST]</v>
          </cell>
        </row>
        <row r="100">
          <cell r="A100" t="str">
            <v>UNMETERED SCATTERED LOAD</v>
          </cell>
        </row>
        <row r="101">
          <cell r="A101" t="str">
            <v>URBAN GENERAL SERVICE DEMAND BILLED (50 KW AND ABOVE) [UGD]</v>
          </cell>
        </row>
        <row r="102">
          <cell r="A102" t="str">
            <v>URBAN GENERAL SERVICE ENERGY BILLED (LESS THAN 50 KW) [UGE]</v>
          </cell>
        </row>
        <row r="103">
          <cell r="A103" t="str">
            <v>WESTPORT SEWAGE TREATMENT PLANT</v>
          </cell>
        </row>
        <row r="104">
          <cell r="A104" t="str">
            <v>YEAR-ROUND RESIDENTIAL - R2</v>
          </cell>
        </row>
      </sheetData>
      <sheetData sheetId="55"/>
      <sheetData sheetId="56"/>
    </sheetDataSet>
  </externalBook>
</externalLink>
</file>

<file path=xl/externalLinks/externalLink8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F-GUELPHHYDRO_ST-P-P_20160531"/>
    </sheetNames>
    <sheetDataSet>
      <sheetData sheetId="0">
        <row r="26">
          <cell r="X26">
            <v>0.10901059847286008</v>
          </cell>
        </row>
        <row r="40">
          <cell r="F40">
            <v>-10828737.93</v>
          </cell>
          <cell r="X40">
            <v>99227.975000000006</v>
          </cell>
          <cell r="Y40">
            <v>1406.777</v>
          </cell>
        </row>
        <row r="368">
          <cell r="F368">
            <v>12734.98</v>
          </cell>
        </row>
      </sheetData>
    </sheetDataSet>
  </externalBook>
</externalLink>
</file>

<file path=xl/externalLinks/externalLink8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F-GUELPHHYDRO_ST-P-P_20160630"/>
    </sheetNames>
    <sheetDataSet>
      <sheetData sheetId="0">
        <row r="23">
          <cell r="X23">
            <v>9.7030846134448859E-2</v>
          </cell>
        </row>
        <row r="38">
          <cell r="F38">
            <v>-9946320.2899999991</v>
          </cell>
          <cell r="X38">
            <v>103039.783</v>
          </cell>
          <cell r="Y38">
            <v>1700.452</v>
          </cell>
        </row>
        <row r="369">
          <cell r="F369">
            <v>-3666.56</v>
          </cell>
        </row>
        <row r="370">
          <cell r="F370">
            <v>-4220.07</v>
          </cell>
        </row>
        <row r="371">
          <cell r="F371">
            <v>-6444.05</v>
          </cell>
        </row>
        <row r="372">
          <cell r="F372">
            <v>-3801.07</v>
          </cell>
        </row>
        <row r="373">
          <cell r="F373">
            <v>-3908.64</v>
          </cell>
        </row>
        <row r="374">
          <cell r="F374">
            <v>-5143.6499999999996</v>
          </cell>
        </row>
        <row r="375">
          <cell r="F375">
            <v>-5282.9</v>
          </cell>
        </row>
        <row r="376">
          <cell r="F376">
            <v>-6305.49</v>
          </cell>
        </row>
        <row r="377">
          <cell r="F377">
            <v>-4829.59</v>
          </cell>
        </row>
        <row r="378">
          <cell r="F378">
            <v>-6158.55</v>
          </cell>
        </row>
      </sheetData>
    </sheetDataSet>
  </externalBook>
</externalLink>
</file>

<file path=xl/externalLinks/externalLink8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F-GUELPHHYDRO_ST-P-P_20160731"/>
    </sheetNames>
    <sheetDataSet>
      <sheetData sheetId="0">
        <row r="28">
          <cell r="X28">
            <v>8.4503900442052138E-2</v>
          </cell>
        </row>
        <row r="39">
          <cell r="F39">
            <v>-9381230.9199999999</v>
          </cell>
          <cell r="X39">
            <v>111248.416</v>
          </cell>
          <cell r="Y39">
            <v>1935.527</v>
          </cell>
        </row>
        <row r="369">
          <cell r="F369">
            <v>-21124.16</v>
          </cell>
        </row>
        <row r="370">
          <cell r="F370">
            <v>0</v>
          </cell>
        </row>
        <row r="371">
          <cell r="F371">
            <v>0</v>
          </cell>
        </row>
      </sheetData>
    </sheetDataSet>
  </externalBook>
</externalLink>
</file>

<file path=xl/externalLinks/externalLink8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F-GUELPHHYDRO_ST-P-P_20160831"/>
    </sheetNames>
    <sheetDataSet>
      <sheetData sheetId="0">
        <row r="22">
          <cell r="X22">
            <v>7.2083864483660026E-2</v>
          </cell>
        </row>
        <row r="40">
          <cell r="F40">
            <v>-8668261.8100000005</v>
          </cell>
          <cell r="X40">
            <v>120276.68399999999</v>
          </cell>
          <cell r="Y40">
            <v>1781.845</v>
          </cell>
        </row>
        <row r="377">
          <cell r="F377">
            <v>-1228.6099999999999</v>
          </cell>
        </row>
      </sheetData>
    </sheetDataSet>
  </externalBook>
</externalLink>
</file>

<file path=xl/externalLinks/externalLink8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F-GUELPHHYDRO_ST-P-P_20160930"/>
    </sheetNames>
    <sheetDataSet>
      <sheetData sheetId="0">
        <row r="30">
          <cell r="X30">
            <v>9.6737940988535331E-2</v>
          </cell>
        </row>
        <row r="40">
          <cell r="F40">
            <v>-10185920.51</v>
          </cell>
          <cell r="X40">
            <v>105274.052</v>
          </cell>
          <cell r="Y40">
            <v>1585.2139999999999</v>
          </cell>
        </row>
        <row r="358">
          <cell r="F358">
            <v>6360.21</v>
          </cell>
        </row>
      </sheetData>
    </sheetDataSet>
  </externalBook>
</externalLink>
</file>

<file path=xl/externalLinks/externalLink8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F-GUELPHHYDRO_ST-P-P_20161031"/>
    </sheetNames>
    <sheetDataSet>
      <sheetData sheetId="0">
        <row r="20">
          <cell r="X20">
            <v>0.11370472816756631</v>
          </cell>
        </row>
        <row r="38">
          <cell r="F38">
            <v>-11437594.960000001</v>
          </cell>
          <cell r="X38">
            <v>100601.13</v>
          </cell>
          <cell r="Y38">
            <v>1293.567</v>
          </cell>
        </row>
      </sheetData>
    </sheetDataSet>
  </externalBook>
</externalLink>
</file>

<file path=xl/externalLinks/externalLink8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F-GUELPHHYDRO_ST-P-P_20161130"/>
    </sheetNames>
    <sheetDataSet>
      <sheetData sheetId="0">
        <row r="25">
          <cell r="X25">
            <v>0.1121163126961354</v>
          </cell>
        </row>
        <row r="40">
          <cell r="F40">
            <v>-11522517.869999999</v>
          </cell>
          <cell r="X40">
            <v>102769.572</v>
          </cell>
          <cell r="Y40">
            <v>944.351</v>
          </cell>
        </row>
      </sheetData>
    </sheetDataSet>
  </externalBook>
</externalLink>
</file>

<file path=xl/externalLinks/externalLink8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F-GUELPHHYDRO_ST-P-P_20161231"/>
    </sheetNames>
    <sheetDataSet>
      <sheetData sheetId="0">
        <row r="20">
          <cell r="X20">
            <v>8.7595358220541319E-2</v>
          </cell>
        </row>
        <row r="40">
          <cell r="F40">
            <v>-9536142.2799999993</v>
          </cell>
          <cell r="X40">
            <v>108899.185</v>
          </cell>
          <cell r="Y40">
            <v>646.47</v>
          </cell>
        </row>
        <row r="319">
          <cell r="F319">
            <v>40.24</v>
          </cell>
        </row>
      </sheetData>
    </sheetDataSet>
  </externalBook>
</externalLink>
</file>

<file path=xl/externalLinks/externalLink8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F-GUELPHHYDRO_ST-P-P_20170131"/>
    </sheetNames>
    <sheetDataSet>
      <sheetData sheetId="0">
        <row r="19">
          <cell r="E19">
            <v>-891682.14</v>
          </cell>
        </row>
        <row r="22">
          <cell r="X22">
            <v>8.2376774879492062E-2</v>
          </cell>
        </row>
        <row r="39">
          <cell r="F39">
            <v>-9419115.4399999995</v>
          </cell>
          <cell r="X39">
            <v>113745.821</v>
          </cell>
          <cell r="Y39">
            <v>127.86799999999999</v>
          </cell>
        </row>
      </sheetData>
    </sheetDataSet>
  </externalBook>
</externalLink>
</file>

<file path=xl/externalLinks/externalLink8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F-GUELPHHYDRO_ST-P-P_20170228"/>
    </sheetNames>
    <sheetDataSet>
      <sheetData sheetId="0">
        <row r="18">
          <cell r="E18">
            <v>-874963.26</v>
          </cell>
        </row>
        <row r="25">
          <cell r="X25">
            <v>8.6584582522026929E-2</v>
          </cell>
        </row>
        <row r="39">
          <cell r="F39">
            <v>-8684680.2100000009</v>
          </cell>
          <cell r="X39">
            <v>100300.166</v>
          </cell>
          <cell r="Y39">
            <v>224.571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Info"/>
      <sheetName val="2. Applicable Worksheets"/>
      <sheetName val="3. Rate Classes"/>
      <sheetName val="hidden1"/>
      <sheetName val="4. Most Recent Tariff"/>
    </sheetNames>
    <sheetDataSet>
      <sheetData sheetId="0"/>
      <sheetData sheetId="1" refreshError="1"/>
      <sheetData sheetId="2"/>
      <sheetData sheetId="3">
        <row r="1">
          <cell r="D1" t="str">
            <v>Applicable only for Non-RPP Customers</v>
          </cell>
        </row>
        <row r="2">
          <cell r="D2" t="str">
            <v>Deferral / Variance Account Rate Rider</v>
          </cell>
        </row>
        <row r="3">
          <cell r="D3" t="str">
            <v>Deferral / Variance Account Rate Rider (excl GA)</v>
          </cell>
        </row>
        <row r="4">
          <cell r="D4" t="str">
            <v>Deferral / Variance Account Rate Rider (GA) – if applicable</v>
          </cell>
        </row>
        <row r="5">
          <cell r="D5" t="str">
            <v>Distribution Volumetric Rate</v>
          </cell>
        </row>
        <row r="6">
          <cell r="D6" t="str">
            <v>Distribution Wheeling Service Rate</v>
          </cell>
        </row>
        <row r="7">
          <cell r="D7" t="str">
            <v>General Service 1,500 to 4,999 kW customer</v>
          </cell>
        </row>
        <row r="8">
          <cell r="D8" t="str">
            <v>General Service 50 to 1,499 kW customer</v>
          </cell>
        </row>
        <row r="9">
          <cell r="D9" t="str">
            <v>General Service Large Use customer</v>
          </cell>
        </row>
        <row r="10">
          <cell r="D10" t="str">
            <v>Green Energy Act Initiatives Funding Adder</v>
          </cell>
        </row>
        <row r="11">
          <cell r="D11" t="str">
            <v>Lost Revenue Adjustment Mechanism (LRAM) Recovery/Shared Savings Mechanism (SSM) Recovery Rate Rider – effective until April 30, 2012</v>
          </cell>
        </row>
        <row r="12">
          <cell r="D12" t="str">
            <v>Lost Revenue Adjustment Mechanism (LRAM) Recovery/Shared Savings Mechanism (SSM) Recovery Rate Rider (2011) – effective until April 30, 2014</v>
          </cell>
        </row>
        <row r="13">
          <cell r="D13" t="str">
            <v>Low Voltage Service Rate</v>
          </cell>
        </row>
        <row r="14">
          <cell r="D14" t="str">
            <v>Low Voltage Volumetric Rate</v>
          </cell>
        </row>
        <row r="15">
          <cell r="D15" t="str">
            <v>LRAM &amp; SSM Rate Rider</v>
          </cell>
        </row>
        <row r="16">
          <cell r="D16" t="str">
            <v>Minimum Distribution Charge – per KW of maximum billing demand in the previous 11 months</v>
          </cell>
        </row>
        <row r="17">
          <cell r="D17" t="str">
            <v>Monthly Distribution Wheeling Service Rate – Dedicated LV Line</v>
          </cell>
        </row>
        <row r="18">
          <cell r="D18" t="str">
            <v>Monthly Distribution Wheeling Service Rate – Hydro One Networks</v>
          </cell>
        </row>
        <row r="19">
          <cell r="D19" t="str">
            <v>Monthly Distribution Wheeling Service Rate – Shared LV Line</v>
          </cell>
        </row>
        <row r="20">
          <cell r="D20" t="str">
            <v>Monthly Distribution Wheeling Service Rate – Waterloo North Hydro</v>
          </cell>
        </row>
        <row r="21">
          <cell r="D21" t="str">
            <v>Rate Rider for Deferral/Variance Account Disposition – effective until April 30, 2014</v>
          </cell>
        </row>
        <row r="22">
          <cell r="D22" t="str">
            <v>Rate Rider for Deferral/Variance Account Disposition (2009) – effective until April 30, 2013</v>
          </cell>
        </row>
        <row r="23">
          <cell r="D23" t="str">
            <v>Rate Rider for Deferral/Variance Account Disposition (2010) – effective until April 30, 2012</v>
          </cell>
        </row>
        <row r="24">
          <cell r="D24" t="str">
            <v>Rate Rider for Deferral/Variance Account Disposition (2010) – effective until April 30, 2012 Applicable only for Wholesale Market Participants</v>
          </cell>
        </row>
        <row r="25">
          <cell r="D25" t="str">
            <v>Rate Rider for Deferral/Variance Account Disposition (2010) – effective until April 30, 2013</v>
          </cell>
        </row>
        <row r="26">
          <cell r="D26" t="str">
            <v>Rate Rider for Deferral/Variance Account Disposition (2010) – effective until April 30, 2014</v>
          </cell>
        </row>
        <row r="27">
          <cell r="D27" t="str">
            <v>Rate Rider for Deferral/Variance Account Disposition (2010) – effective until January 31, 2012</v>
          </cell>
        </row>
        <row r="28">
          <cell r="D28" t="str">
            <v>Rate Rider for Deferral/Variance Account Disposition (2011) – effective until April 30, 2012</v>
          </cell>
        </row>
        <row r="29">
          <cell r="D29" t="str">
            <v>Rate Rider for Deferral/Variance Account Disposition (2011) – effective until April 30, 2012 (per connection)</v>
          </cell>
        </row>
        <row r="30">
          <cell r="D30" t="str">
            <v>Rate Rider for Deferral/Variance Account Disposition (2011) – effective until April 30, 2013</v>
          </cell>
        </row>
        <row r="31">
          <cell r="D31" t="str">
            <v>Rate Rider for Deferral/Variance Account Disposition (2011) – effective until April 30, 2013 Applicable only for Wholesale Market Participants</v>
          </cell>
        </row>
        <row r="32">
          <cell r="D32" t="str">
            <v>Rate Rider for Deferral/Variance Account Disposition (2011) – effective until April 30, 2014</v>
          </cell>
        </row>
        <row r="33">
          <cell r="D33" t="str">
            <v>Rate Rider for Deferral/Variance Account Disposition (2011) – effective until April 30, 2015</v>
          </cell>
        </row>
        <row r="34">
          <cell r="D34" t="str">
            <v>Rate Rider for Deferral/Variance Account Disposition (2011) – effective until December 31, 2011</v>
          </cell>
        </row>
        <row r="35">
          <cell r="D35" t="str">
            <v>Rate Rider for Global Adjustment Sub-Account (2010) – effective until April 30, 2012 Applicable only for Non-RPP Customers</v>
          </cell>
        </row>
        <row r="36">
          <cell r="D36" t="str">
            <v>Rate Rider for Global Adjustment Sub-Account (2011) – effective until April 30, 2012 Applicable only for Non-RPP Customers</v>
          </cell>
        </row>
        <row r="37">
          <cell r="D37" t="str">
            <v>Rate Rider for Global Adjustment Sub-Account Disposition – effective until April 30, 2012 Applicable only for Non-RPP Customers</v>
          </cell>
        </row>
        <row r="38">
          <cell r="D38" t="str">
            <v>Rate Rider for Global Adjustment Sub-Account Disposition – effective until April 30, 2014 Applicable only for Non-RPP Customers</v>
          </cell>
        </row>
        <row r="39">
          <cell r="D39" t="str">
            <v>Rate Rider for Global Adjustment Sub-Account Disposition (2010 credit) – effective until April 30, 2012 Applicable only for Non-RPP Customers</v>
          </cell>
        </row>
        <row r="40">
          <cell r="D40" t="str">
            <v>Rate Rider for Global Adjustment Sub-Account Disposition (2010 recalculated) – effective until April 30, 2013 Applicable only for Non-RPP Customers</v>
          </cell>
        </row>
        <row r="41">
          <cell r="D41" t="str">
            <v>Rate Rider for Global Adjustment Sub-Account Disposition (2010) – effective until April 30, 2012 Applicable only for Non-RPP Customers</v>
          </cell>
        </row>
        <row r="42">
          <cell r="D42" t="str">
            <v>Rate Rider for Global Adjustment Sub-Account Disposition (2010) – effective until April 30, 2013 Applicable only for Non-RPP Customers</v>
          </cell>
        </row>
        <row r="43">
          <cell r="D43" t="str">
            <v>Rate Rider for Global Adjustment Sub-Account Disposition (2010) – effective until April 30, 2014 Applicable only for Non-RPP Customers</v>
          </cell>
        </row>
        <row r="44">
          <cell r="D44" t="str">
            <v>Rate Rider for Global Adjustment Sub-Account Disposition (2011) – effective until April 30, 2012 Applicable only for Non-RPP Customers</v>
          </cell>
        </row>
        <row r="45">
          <cell r="D45" t="str">
            <v>Rate Rider for Global Adjustment Sub-Account Disposition (2011) – effective until April 30, 2012 Applicable only for Non-RPP Customers (per connection)</v>
          </cell>
        </row>
        <row r="46">
          <cell r="D46" t="str">
            <v>Rate Rider for Global Adjustment Sub-Account Disposition (2011) – effective until April 30, 2013 Applicable only for Non-RPP Customers</v>
          </cell>
        </row>
        <row r="47">
          <cell r="D47" t="str">
            <v>Rate Rider for Global Adjustment Sub-Account Disposition (2011) – effective until April 30, 2013 Applicable only for Non-RPP Customers and excluding Wholesale Market Participants</v>
          </cell>
        </row>
        <row r="48">
          <cell r="D48" t="str">
            <v>Rate Rider for Global Adjustment Sub-Account Disposition (2011) – effective until April 30, 2015 Applicable only for Non-RPP Customers</v>
          </cell>
        </row>
        <row r="49">
          <cell r="D49" t="str">
            <v>Rate Rider for Lost Revenue Adjustment Mechanism (LRAM) Recovery – effective until April 30, 2012</v>
          </cell>
        </row>
        <row r="50">
          <cell r="D50" t="str">
            <v>Rate Rider for Lost Revenue Adjustment Mechanism (LRAM) Recovery/Shared Savings Mechanism (SSM) Recovery – effective until April 30, 2012</v>
          </cell>
        </row>
        <row r="51">
          <cell r="D51" t="str">
            <v>Rate Rider for Lost Revenue Adjustment Mechanism (LRAM) Recovery/Shared Savings Mechanism (SSM) Recovery – effective until April 30, 2012</v>
          </cell>
        </row>
        <row r="52">
          <cell r="D52" t="str">
            <v>Rate Rider for Lost Revenue Adjustment Mechanism (LRAM) Recovery/Shared Savings Mechanism (SSM) Recovery – effective until April 30, 2013</v>
          </cell>
        </row>
        <row r="53">
          <cell r="D53" t="str">
            <v>Rate Rider for Lost Revenue Adjustment Mechanism (LRAM) Recovery/Shared Savings Mechanism (SSM) Recovery – effective until April 30, 2014</v>
          </cell>
        </row>
        <row r="54">
          <cell r="D54" t="str">
            <v>Rate Rider for Lost Revenue Adjustment Mechanism (LRAM) Recovery/Shared Savings Mechanism (SSM) Recovery – effective until December 31, 2012</v>
          </cell>
        </row>
        <row r="55">
          <cell r="D55" t="str">
            <v>Rate Rider for Lost Revenue Adjustment Mechanism (LRAM) Recovery/Shared Savings Mechanism (SSM) Recovery (2009) – effective until April 30, 2012</v>
          </cell>
        </row>
        <row r="56">
          <cell r="D56" t="str">
            <v>Rate Rider for Lost Revenue Adjustment Mechanism (LRAM) Recovery/Shared Savings Mechanism (SSM) Recovery (2011) – effective until April 30, 2012</v>
          </cell>
        </row>
        <row r="57">
          <cell r="D57" t="str">
            <v>Rate Rider for Lost Revenue Adjustment Mechanism (LRAM) Recovery/Shared Savings Mechanism (SSM) Recovery (2011) – effective until April 30, 2013</v>
          </cell>
        </row>
        <row r="58">
          <cell r="D58" t="str">
            <v>Rate Rider for Recalculated Deferral/Variance Account Disposition (2010) – effective until April 30, 2013</v>
          </cell>
        </row>
        <row r="59">
          <cell r="D59" t="str">
            <v>Rate Rider for Recovery of Foregone Revenue – effective until December 31, 2011</v>
          </cell>
        </row>
        <row r="60">
          <cell r="D60" t="str">
            <v>Rate Rider for Recovery of Incremental Capital Costs – effective until April 30, 2012</v>
          </cell>
        </row>
        <row r="61">
          <cell r="D61" t="str">
            <v>Rate Rider for Recovery of Incremental Capital Costs – effective until April 30, 2013</v>
          </cell>
        </row>
        <row r="62">
          <cell r="D62" t="str">
            <v>Rate Rider for Recovery of Late Payment Penalty Litigation Costs – effective until April 30, 2012</v>
          </cell>
        </row>
        <row r="63">
          <cell r="D63" t="str">
            <v>Rate Rider for Recovery of Late Payment Penalty Litigation Costs – effective until April 30, 2012 (per connection)</v>
          </cell>
        </row>
        <row r="64">
          <cell r="D64" t="str">
            <v>Rate Rider for Recovery of Late Payment Penalty Litigation Costs (per customer) – effective until April 30, 2012</v>
          </cell>
        </row>
        <row r="65">
          <cell r="D65" t="str">
            <v>Rate Rider for Recovery of Stranded Meter Assets – effective until December 31, 2012</v>
          </cell>
        </row>
        <row r="66">
          <cell r="D66" t="str">
            <v>Rate Rider for Regulatory Asset Recovery – effective until April 30, 2012</v>
          </cell>
        </row>
        <row r="67">
          <cell r="D67" t="str">
            <v>Rate Rider for Regulatory Asset Recovery – effective until April 30, 2013</v>
          </cell>
        </row>
        <row r="68">
          <cell r="D68" t="str">
            <v>Rate Rider for Return of Revenue Sufficiency – effective until December 31, 2011</v>
          </cell>
        </row>
        <row r="69">
          <cell r="D69" t="str">
            <v>Rate Rider for Return of Transformer Ownership Allowance Sufficiency – effective until December 31, 2011</v>
          </cell>
        </row>
        <row r="70">
          <cell r="D70" t="str">
            <v>Rate Rider for Smart Meter Incremental Revenue Requirement – in effect until the effective date of the next cost of service application</v>
          </cell>
        </row>
        <row r="71">
          <cell r="D71" t="str">
            <v>Rate Rider for Smart Meter Variance Account Disposition – effective until April 30, 2012</v>
          </cell>
        </row>
        <row r="72">
          <cell r="D72" t="str">
            <v>Rate Rider for Smart Meter Variance Account Disposition – effective until December 31, 2011</v>
          </cell>
        </row>
        <row r="73">
          <cell r="D73" t="str">
            <v>Rate Rider for Tax Change – effective until April 20, 2012</v>
          </cell>
        </row>
        <row r="74">
          <cell r="D74" t="str">
            <v>Rate Rider for Tax Change – effective until April 30, 2012</v>
          </cell>
        </row>
        <row r="75">
          <cell r="D75" t="str">
            <v>Rate Rider for Tax Change – effective until April 30, 2012 (per connection)</v>
          </cell>
        </row>
        <row r="76">
          <cell r="D76" t="str">
            <v>Rate Rider for Tax Change – Hydro One Networks - effective until April 30, 2012</v>
          </cell>
        </row>
        <row r="77">
          <cell r="D77" t="str">
            <v>Rate Rider for Tax Change – Waterloo North Hydro – effective until April 30, 2012</v>
          </cell>
        </row>
        <row r="78">
          <cell r="D78" t="str">
            <v>Rate Rider for Tax Change Dedicated LV Line – effective until April 30, 2012</v>
          </cell>
        </row>
        <row r="79">
          <cell r="D79" t="str">
            <v>Rate Rider for Tax Change Shared LV Line – effective until April 30, 2012</v>
          </cell>
        </row>
        <row r="80">
          <cell r="D80" t="str">
            <v>Rate Rider for Z-Factor Recovery – Effective until April 30, 2012</v>
          </cell>
        </row>
        <row r="81">
          <cell r="D81" t="str">
            <v>Retail Transmission Rate – Line and Transformation Connection Service Rate</v>
          </cell>
        </row>
        <row r="82">
          <cell r="D82" t="str">
            <v>Retail Transmission Rate – Line and Transformation Connection Service Rate – Interval Metered</v>
          </cell>
        </row>
        <row r="83">
          <cell r="D83" t="str">
            <v>Retail Transmission Rate – Line and Transformation Connection Service Rate – Interval Metered &lt; 1,000 kW</v>
          </cell>
        </row>
        <row r="84">
          <cell r="D84" t="str">
            <v>Retail Transmission Rate – Line and Transformation Connection Service Rate – Interval Metered &gt; 1,000 kW</v>
          </cell>
        </row>
        <row r="85">
          <cell r="D85" t="str">
            <v>Retail Transmission Rate – Line and Transformation Connection Service Rate – Interval Metered ≥ 1,000kW</v>
          </cell>
        </row>
        <row r="86">
          <cell r="D86" t="str">
            <v>Retail Transmission Rate – Line Connection Service Rate</v>
          </cell>
        </row>
        <row r="87">
          <cell r="D87" t="str">
            <v>Retail Transmission Rate – Network Service Rate</v>
          </cell>
        </row>
        <row r="88">
          <cell r="D88" t="str">
            <v>Retail Transmission Rate – Network Service Rate – Interval Metered</v>
          </cell>
        </row>
        <row r="89">
          <cell r="D89" t="str">
            <v>Retail Transmission Rate – Network Service Rate – Interval Metered &lt; 1,000 kW Rate</v>
          </cell>
        </row>
        <row r="90">
          <cell r="D90" t="str">
            <v>Retail Transmission Rate – Network Service Rate – Interval Metered &gt; 1,000 kW</v>
          </cell>
        </row>
        <row r="91">
          <cell r="D91" t="str">
            <v>Retail Transmission Rate – Network Service Rate – Interval Metered ≥ 1,000 kW</v>
          </cell>
        </row>
        <row r="92">
          <cell r="D92" t="str">
            <v>Retail Transmission Rate – Transformation Connection Service Rate</v>
          </cell>
        </row>
        <row r="93">
          <cell r="D93" t="str">
            <v>Service Charge</v>
          </cell>
        </row>
        <row r="94">
          <cell r="D94" t="str">
            <v>Service Charge (Based on 30 day month)</v>
          </cell>
        </row>
        <row r="95">
          <cell r="D95" t="str">
            <v>Service Charge (per account)</v>
          </cell>
        </row>
        <row r="96">
          <cell r="D96" t="str">
            <v>Service Charge (per connection)</v>
          </cell>
        </row>
        <row r="97">
          <cell r="D97" t="str">
            <v>Service Charge (per customer)</v>
          </cell>
        </row>
        <row r="98">
          <cell r="D98" t="str">
            <v>Service Charge for metered account</v>
          </cell>
        </row>
        <row r="99">
          <cell r="D99" t="str">
            <v>Service Charge for Unmetered Scattered Load account (per connection)</v>
          </cell>
        </row>
        <row r="100">
          <cell r="D100" t="str">
            <v>Smart Grid Rate Adder</v>
          </cell>
        </row>
        <row r="101">
          <cell r="D101" t="str">
            <v>Smart Meter Disposition Rider 2 – effective until next cost of service application</v>
          </cell>
        </row>
        <row r="102">
          <cell r="D102" t="str">
            <v>Smart Meter Disposition Rider 3 – effective until next cost of service application</v>
          </cell>
        </row>
        <row r="103">
          <cell r="D103" t="str">
            <v>Smart Meter Funding Adder</v>
          </cell>
        </row>
        <row r="104">
          <cell r="D104" t="str">
            <v>Smart Meter Funding Adder – effective until April 30, 2012</v>
          </cell>
        </row>
        <row r="105">
          <cell r="D105" t="str">
            <v>Smart Meter Funding Adder – effective until December 31, 2011</v>
          </cell>
        </row>
        <row r="106">
          <cell r="D106" t="str">
            <v>Smart Meter Funding Adder for metered account – effective until April 30, 2012</v>
          </cell>
        </row>
        <row r="107">
          <cell r="D107" t="str">
            <v>Standby Charge – for a month where standby power is not provided. The charge is applied to the contracted amount (e.g. nameplate rating of the generation facility).</v>
          </cell>
        </row>
        <row r="108">
          <cell r="D108" t="str">
            <v>Total Loss Factor – Primary Metered Customer &lt; 5,000 kW</v>
          </cell>
        </row>
        <row r="109">
          <cell r="D109" t="str">
            <v>Total Loss Factor – Primary Metered Customer &gt; 5,000 kW</v>
          </cell>
        </row>
        <row r="110">
          <cell r="D110" t="str">
            <v>Total Loss Factor – Secondary Metered Customer &lt; 5,000 kW</v>
          </cell>
        </row>
        <row r="111">
          <cell r="D111" t="str">
            <v>Total Loss Factor – Secondary Metered Customer &gt; 5,000 kW</v>
          </cell>
        </row>
        <row r="112">
          <cell r="D112" t="str">
            <v>Transmission Rate – Network Service Rate – Interval Metered</v>
          </cell>
        </row>
      </sheetData>
      <sheetData sheetId="4" refreshError="1"/>
    </sheetDataSet>
  </externalBook>
</externalLink>
</file>

<file path=xl/externalLinks/externalLink9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F-GUELPHHYDRO_ST-P-P_20170331"/>
    </sheetNames>
    <sheetDataSet>
      <sheetData sheetId="0">
        <row r="19">
          <cell r="E19">
            <v>-850825.56</v>
          </cell>
        </row>
        <row r="29">
          <cell r="X29">
            <v>7.1869313656790543E-2</v>
          </cell>
        </row>
        <row r="41">
          <cell r="F41">
            <v>-7951786.8899999997</v>
          </cell>
          <cell r="X41">
            <v>110632.17200000001</v>
          </cell>
          <cell r="Y41">
            <v>807.98800000000006</v>
          </cell>
        </row>
        <row r="366">
          <cell r="F366">
            <v>807.12</v>
          </cell>
        </row>
      </sheetData>
    </sheetDataSet>
  </externalBook>
</externalLink>
</file>

<file path=xl/externalLinks/externalLink9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F-GUELPHHYDRO_ST-P-P_20170430"/>
    </sheetNames>
    <sheetDataSet>
      <sheetData sheetId="0">
        <row r="18">
          <cell r="E18">
            <v>-786482.76</v>
          </cell>
        </row>
        <row r="34">
          <cell r="X34">
            <v>0.10917592243405685</v>
          </cell>
        </row>
        <row r="40">
          <cell r="F40">
            <v>-10196735.74</v>
          </cell>
          <cell r="X40">
            <v>94420.407999999996</v>
          </cell>
          <cell r="Y40">
            <v>1215.134</v>
          </cell>
        </row>
        <row r="347">
          <cell r="F347">
            <v>-5746.82</v>
          </cell>
        </row>
        <row r="348">
          <cell r="F348">
            <v>-1730.88</v>
          </cell>
        </row>
        <row r="349">
          <cell r="F349">
            <v>-104188.96</v>
          </cell>
        </row>
      </sheetData>
    </sheetDataSet>
  </externalBook>
</externalLink>
</file>

<file path=xl/externalLinks/externalLink9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F-GUELPHHYDRO_ST-P-P_20170531"/>
    </sheetNames>
    <sheetDataSet>
      <sheetData sheetId="0">
        <row r="20">
          <cell r="E20">
            <v>-818024.64</v>
          </cell>
        </row>
        <row r="32">
          <cell r="X32">
            <v>0.12492496682475766</v>
          </cell>
        </row>
        <row r="40">
          <cell r="F40">
            <v>-12205772.08</v>
          </cell>
          <cell r="X40">
            <v>98542.611000000004</v>
          </cell>
          <cell r="Y40">
            <v>1497.53</v>
          </cell>
        </row>
        <row r="313">
          <cell r="F313">
            <v>-86854.33</v>
          </cell>
        </row>
      </sheetData>
    </sheetDataSet>
  </externalBook>
</externalLink>
</file>

<file path=xl/externalLinks/externalLink9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F-GUELPHHYDRO_ST-P-P_20170630"/>
    </sheetNames>
    <sheetDataSet>
      <sheetData sheetId="0">
        <row r="17">
          <cell r="E17">
            <v>-936451.26</v>
          </cell>
        </row>
        <row r="38">
          <cell r="X38">
            <v>136095.82999999999</v>
          </cell>
        </row>
      </sheetData>
    </sheetDataSet>
  </externalBook>
</externalLink>
</file>

<file path=xl/externalLinks/externalLink9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F-GUELPHHYDRO_ST-P-P_20170731"/>
    </sheetNames>
    <sheetDataSet>
      <sheetData sheetId="0">
        <row r="39">
          <cell r="F39">
            <v>-7956370.2000000002</v>
          </cell>
          <cell r="X39">
            <v>75247.001000000004</v>
          </cell>
          <cell r="Y39">
            <v>1915.1759999999999</v>
          </cell>
        </row>
        <row r="363">
          <cell r="F363">
            <v>-237671.16</v>
          </cell>
        </row>
        <row r="364">
          <cell r="F364">
            <v>21358.94</v>
          </cell>
        </row>
      </sheetData>
    </sheetDataSet>
  </externalBook>
</externalLink>
</file>

<file path=xl/externalLinks/externalLink9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F-GUELPHHYDRO_ST-P-P_20170831"/>
    </sheetNames>
    <sheetDataSet>
      <sheetData sheetId="0">
        <row r="17">
          <cell r="E17">
            <v>-899049.72</v>
          </cell>
        </row>
        <row r="38">
          <cell r="F38">
            <v>-7604427.29</v>
          </cell>
          <cell r="X38">
            <v>73132.77</v>
          </cell>
          <cell r="Y38">
            <v>1777.9839999999999</v>
          </cell>
        </row>
        <row r="311">
          <cell r="F311">
            <v>-267124.64</v>
          </cell>
        </row>
        <row r="312">
          <cell r="F312">
            <v>293375.37</v>
          </cell>
        </row>
      </sheetData>
    </sheetDataSet>
  </externalBook>
</externalLink>
</file>

<file path=xl/externalLinks/externalLink9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F-GUELPHHYDRO_ST-P-P_20170930"/>
    </sheetNames>
    <sheetDataSet>
      <sheetData sheetId="0">
        <row r="18">
          <cell r="E18">
            <v>-974932.5</v>
          </cell>
        </row>
        <row r="40">
          <cell r="F40">
            <v>-6414181.4100000001</v>
          </cell>
          <cell r="X40">
            <v>72564.410999999993</v>
          </cell>
          <cell r="Y40">
            <v>1702.596</v>
          </cell>
        </row>
        <row r="356">
          <cell r="F356">
            <v>-202045.95</v>
          </cell>
        </row>
        <row r="357">
          <cell r="F357">
            <v>-5864.18</v>
          </cell>
        </row>
      </sheetData>
    </sheetDataSet>
  </externalBook>
</externalLink>
</file>

<file path=xl/externalLinks/externalLink9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F-GUELPHHYDRO_ST-P-P_20171031"/>
    </sheetNames>
    <sheetDataSet>
      <sheetData sheetId="0">
        <row r="18">
          <cell r="E18">
            <v>-811842.9</v>
          </cell>
        </row>
        <row r="40">
          <cell r="F40">
            <v>-9046197.9700000007</v>
          </cell>
          <cell r="X40">
            <v>71720.630999999994</v>
          </cell>
          <cell r="Y40">
            <v>1614.61</v>
          </cell>
        </row>
        <row r="323">
          <cell r="F323">
            <v>-6.96</v>
          </cell>
        </row>
        <row r="324">
          <cell r="F324">
            <v>-197252.29</v>
          </cell>
        </row>
      </sheetData>
    </sheetDataSet>
  </externalBook>
</externalLink>
</file>

<file path=xl/externalLinks/externalLink9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F-GUELPHHYDRO_ST-P-P_20171130"/>
    </sheetNames>
    <sheetDataSet>
      <sheetData sheetId="0">
        <row r="19">
          <cell r="E19">
            <v>-504612.72</v>
          </cell>
        </row>
        <row r="42">
          <cell r="F42">
            <v>-7178241.8099999996</v>
          </cell>
          <cell r="X42">
            <v>74835.103000000003</v>
          </cell>
          <cell r="Y42">
            <v>973.67</v>
          </cell>
        </row>
        <row r="332">
          <cell r="F332">
            <v>-209049.85</v>
          </cell>
        </row>
        <row r="333">
          <cell r="F333">
            <v>258.12</v>
          </cell>
        </row>
      </sheetData>
    </sheetDataSet>
  </externalBook>
</externalLink>
</file>

<file path=xl/externalLinks/externalLink9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F-GUELPHHYDRO_ST-P-P_20171231"/>
    </sheetNames>
    <sheetDataSet>
      <sheetData sheetId="0">
        <row r="19">
          <cell r="E19">
            <v>-853937.92</v>
          </cell>
        </row>
        <row r="42">
          <cell r="F42">
            <v>-7636545.2599999998</v>
          </cell>
          <cell r="X42">
            <v>82879.150999999998</v>
          </cell>
          <cell r="Y42">
            <v>512.62</v>
          </cell>
        </row>
        <row r="350">
          <cell r="F350">
            <v>-4167.76</v>
          </cell>
        </row>
        <row r="351">
          <cell r="F351">
            <v>-4169.45</v>
          </cell>
        </row>
        <row r="352">
          <cell r="F352">
            <v>-5783.33</v>
          </cell>
        </row>
        <row r="353">
          <cell r="F353">
            <v>-4322.8100000000004</v>
          </cell>
        </row>
        <row r="354">
          <cell r="F354">
            <v>-6496.88</v>
          </cell>
        </row>
        <row r="355">
          <cell r="F355">
            <v>-6829.01</v>
          </cell>
        </row>
        <row r="356">
          <cell r="F356">
            <v>-4572.32</v>
          </cell>
        </row>
        <row r="357">
          <cell r="F357">
            <v>-11991.92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ieso.ca/en/sector-participants/settlements/global-adjustment-for-class-b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44"/>
  <sheetViews>
    <sheetView workbookViewId="0">
      <selection activeCell="G16" sqref="G16"/>
    </sheetView>
  </sheetViews>
  <sheetFormatPr defaultColWidth="9.140625" defaultRowHeight="12.75"/>
  <cols>
    <col min="1" max="1" width="9.5703125" style="133" bestFit="1" customWidth="1"/>
    <col min="2" max="3" width="15.7109375" style="133" customWidth="1"/>
    <col min="4" max="6" width="13.42578125" style="133" customWidth="1"/>
    <col min="7" max="7" width="15.7109375" style="133" customWidth="1"/>
    <col min="8" max="9" width="12.7109375" style="133" customWidth="1"/>
    <col min="10" max="10" width="18.85546875" style="133" customWidth="1"/>
    <col min="11" max="13" width="15.7109375" style="133" customWidth="1"/>
    <col min="14" max="14" width="7.28515625" style="133" customWidth="1"/>
    <col min="15" max="15" width="14.28515625" style="133" bestFit="1" customWidth="1"/>
    <col min="16" max="16" width="19.5703125" style="134" customWidth="1"/>
    <col min="17" max="17" width="12.28515625" style="135" bestFit="1" customWidth="1"/>
    <col min="18" max="18" width="9.5703125" style="133" bestFit="1" customWidth="1"/>
    <col min="19" max="19" width="11.42578125" style="133" bestFit="1" customWidth="1"/>
    <col min="20" max="16384" width="9.140625" style="133"/>
  </cols>
  <sheetData>
    <row r="1" spans="1:18" s="1" customFormat="1" ht="13.5" thickBot="1">
      <c r="A1" s="1" t="s">
        <v>0</v>
      </c>
      <c r="B1" s="270" t="s">
        <v>125</v>
      </c>
      <c r="C1" s="270"/>
      <c r="D1" s="270"/>
      <c r="E1" s="270"/>
      <c r="F1" s="270"/>
      <c r="G1" s="270"/>
      <c r="H1" s="270"/>
      <c r="I1" s="270"/>
      <c r="J1" s="270"/>
      <c r="K1" s="270"/>
      <c r="L1" s="270"/>
      <c r="M1" s="270"/>
      <c r="N1" s="2"/>
      <c r="O1" s="2"/>
      <c r="P1" s="3"/>
      <c r="Q1" s="4"/>
    </row>
    <row r="2" spans="1:18" s="1" customFormat="1" ht="19.5" thickBot="1">
      <c r="B2" s="5" t="s">
        <v>1</v>
      </c>
      <c r="C2" s="6"/>
      <c r="D2" s="6"/>
      <c r="E2" s="6"/>
      <c r="F2" s="6"/>
      <c r="G2" s="6"/>
      <c r="H2" s="7"/>
      <c r="I2" s="7"/>
      <c r="J2" s="7"/>
      <c r="K2" s="7"/>
      <c r="L2" s="7"/>
      <c r="M2" s="7"/>
      <c r="N2" s="7"/>
      <c r="O2" s="7"/>
      <c r="P2" s="8"/>
      <c r="Q2" s="4"/>
    </row>
    <row r="3" spans="1:18" s="1" customFormat="1">
      <c r="B3" s="9" t="s">
        <v>2</v>
      </c>
      <c r="C3" s="10"/>
      <c r="D3" s="10"/>
      <c r="E3" s="10"/>
      <c r="F3" s="10"/>
      <c r="G3" s="10"/>
      <c r="H3" s="11"/>
      <c r="I3" s="12"/>
      <c r="J3" s="12"/>
      <c r="K3" s="12"/>
      <c r="L3" s="13"/>
      <c r="M3" s="7"/>
      <c r="N3" s="7"/>
      <c r="O3" s="7"/>
      <c r="Q3" s="4"/>
    </row>
    <row r="4" spans="1:18" s="1" customFormat="1">
      <c r="B4" s="14" t="s">
        <v>3</v>
      </c>
      <c r="C4" s="14"/>
      <c r="D4" s="14"/>
      <c r="E4" s="14"/>
      <c r="F4" s="14"/>
      <c r="G4" s="14"/>
      <c r="H4" s="15"/>
      <c r="I4" s="16"/>
      <c r="J4" s="17">
        <f>'[5]GA 2017'!D14</f>
        <v>1595971298.0599999</v>
      </c>
      <c r="K4" s="18" t="s">
        <v>4</v>
      </c>
      <c r="L4" s="19">
        <v>1</v>
      </c>
      <c r="M4" s="7" t="s">
        <v>5</v>
      </c>
      <c r="N4" s="7"/>
      <c r="O4" s="7"/>
      <c r="P4" s="8"/>
      <c r="Q4" s="4"/>
    </row>
    <row r="5" spans="1:18" s="1" customFormat="1">
      <c r="B5" s="14" t="s">
        <v>6</v>
      </c>
      <c r="C5" s="14"/>
      <c r="D5" s="14"/>
      <c r="E5" s="14"/>
      <c r="F5" s="14"/>
      <c r="G5" s="14"/>
      <c r="H5" s="15"/>
      <c r="I5" s="16"/>
      <c r="J5" s="17">
        <f>'[5]GA 2017'!D15</f>
        <v>471809092.87</v>
      </c>
      <c r="K5" s="18" t="s">
        <v>4</v>
      </c>
      <c r="L5" s="20">
        <f>J5/J4</f>
        <v>0.29562504879850449</v>
      </c>
      <c r="M5" s="7"/>
      <c r="N5" s="7"/>
      <c r="O5" s="7"/>
      <c r="P5" s="8"/>
      <c r="Q5" s="4"/>
    </row>
    <row r="6" spans="1:18" s="1" customFormat="1">
      <c r="B6" s="14" t="s">
        <v>7</v>
      </c>
      <c r="C6" s="14"/>
      <c r="D6" s="14"/>
      <c r="E6" s="14"/>
      <c r="F6" s="14"/>
      <c r="G6" s="14"/>
      <c r="H6" s="15"/>
      <c r="I6" s="16"/>
      <c r="J6" s="21">
        <f>J4-J5</f>
        <v>1124162205.1900001</v>
      </c>
      <c r="K6" s="18" t="s">
        <v>4</v>
      </c>
      <c r="L6" s="20">
        <f>J6/J4</f>
        <v>0.70437495120149562</v>
      </c>
      <c r="M6" s="7" t="s">
        <v>8</v>
      </c>
      <c r="N6" s="7"/>
      <c r="O6" s="7"/>
      <c r="P6" s="8"/>
      <c r="Q6" s="4"/>
    </row>
    <row r="7" spans="1:18" s="1" customFormat="1" ht="13.5" thickBot="1">
      <c r="B7" s="22" t="s">
        <v>9</v>
      </c>
      <c r="C7" s="22"/>
      <c r="D7" s="22"/>
      <c r="E7" s="22"/>
      <c r="F7" s="22"/>
      <c r="G7" s="22"/>
      <c r="H7" s="23"/>
      <c r="I7" s="24"/>
      <c r="J7" s="25">
        <f>'[5]GA 2017'!D17</f>
        <v>562293627.92999995</v>
      </c>
      <c r="K7" s="26" t="s">
        <v>4</v>
      </c>
      <c r="L7" s="27">
        <f>J7/J4</f>
        <v>0.35232063923298745</v>
      </c>
      <c r="M7" s="7"/>
      <c r="N7" s="7"/>
      <c r="O7" s="7"/>
      <c r="P7" s="8"/>
      <c r="Q7" s="4"/>
    </row>
    <row r="8" spans="1:18" s="1" customFormat="1" ht="13.5" thickBot="1">
      <c r="B8" s="28" t="s">
        <v>10</v>
      </c>
      <c r="C8" s="29"/>
      <c r="D8" s="29"/>
      <c r="E8" s="29"/>
      <c r="F8" s="29"/>
      <c r="G8" s="29"/>
      <c r="H8" s="30"/>
      <c r="I8" s="31"/>
      <c r="J8" s="32">
        <f>J6-J7</f>
        <v>561868577.26000011</v>
      </c>
      <c r="K8" s="33" t="s">
        <v>4</v>
      </c>
      <c r="L8" s="34">
        <f>J8/J4</f>
        <v>0.35205431196850812</v>
      </c>
      <c r="M8" s="35"/>
      <c r="N8" s="35"/>
      <c r="O8" s="35"/>
      <c r="P8" s="36"/>
      <c r="Q8" s="4"/>
    </row>
    <row r="9" spans="1:18" s="1" customFormat="1">
      <c r="B9" s="37"/>
      <c r="C9" s="37"/>
      <c r="D9" s="37"/>
      <c r="E9" s="37"/>
      <c r="F9" s="37"/>
      <c r="G9" s="37"/>
      <c r="H9" s="38"/>
      <c r="I9" s="38"/>
      <c r="J9" s="39"/>
      <c r="K9" s="38"/>
      <c r="L9" s="38"/>
      <c r="M9" s="38"/>
      <c r="N9" s="38"/>
      <c r="O9" s="38"/>
      <c r="P9" s="40"/>
      <c r="Q9" s="4"/>
    </row>
    <row r="10" spans="1:18" s="1" customFormat="1">
      <c r="B10" s="41" t="s">
        <v>11</v>
      </c>
      <c r="C10" s="42"/>
      <c r="D10" s="42"/>
      <c r="E10" s="42"/>
      <c r="F10" s="42"/>
      <c r="G10" s="43"/>
      <c r="H10" s="42"/>
      <c r="I10" s="42"/>
      <c r="J10" s="42"/>
      <c r="K10" s="42"/>
      <c r="L10" s="42"/>
      <c r="M10" s="44"/>
      <c r="N10" s="45"/>
      <c r="O10" s="45"/>
      <c r="Q10" s="4"/>
    </row>
    <row r="11" spans="1:18" s="46" customFormat="1" ht="25.5">
      <c r="B11" s="47" t="s">
        <v>12</v>
      </c>
      <c r="C11" s="47" t="s">
        <v>13</v>
      </c>
      <c r="D11" s="47" t="s">
        <v>14</v>
      </c>
      <c r="E11" s="47" t="s">
        <v>15</v>
      </c>
      <c r="F11" s="48" t="s">
        <v>16</v>
      </c>
      <c r="G11" s="49" t="s">
        <v>17</v>
      </c>
      <c r="H11" s="50" t="s">
        <v>18</v>
      </c>
      <c r="I11" s="51" t="s">
        <v>19</v>
      </c>
      <c r="J11" s="51" t="s">
        <v>20</v>
      </c>
      <c r="K11" s="47" t="s">
        <v>21</v>
      </c>
      <c r="L11" s="47" t="s">
        <v>21</v>
      </c>
      <c r="M11" s="47" t="s">
        <v>22</v>
      </c>
      <c r="N11" s="52"/>
    </row>
    <row r="12" spans="1:18" s="46" customFormat="1" ht="38.25">
      <c r="B12" s="53" t="s">
        <v>23</v>
      </c>
      <c r="C12" s="53" t="s">
        <v>24</v>
      </c>
      <c r="D12" s="53" t="s">
        <v>24</v>
      </c>
      <c r="E12" s="53" t="s">
        <v>4</v>
      </c>
      <c r="F12" s="54"/>
      <c r="G12" s="53" t="s">
        <v>25</v>
      </c>
      <c r="H12" s="55" t="s">
        <v>26</v>
      </c>
      <c r="I12" s="53" t="s">
        <v>26</v>
      </c>
      <c r="J12" s="53" t="s">
        <v>26</v>
      </c>
      <c r="K12" s="56" t="s">
        <v>27</v>
      </c>
      <c r="L12" s="56" t="s">
        <v>28</v>
      </c>
      <c r="M12" s="53" t="s">
        <v>29</v>
      </c>
      <c r="N12" s="57"/>
      <c r="O12" s="52" t="s">
        <v>30</v>
      </c>
      <c r="P12" s="58" t="s">
        <v>31</v>
      </c>
    </row>
    <row r="13" spans="1:18" s="1" customFormat="1" ht="51.75" thickBot="1">
      <c r="B13" s="59" t="s">
        <v>32</v>
      </c>
      <c r="C13" s="60" t="s">
        <v>33</v>
      </c>
      <c r="D13" s="60" t="s">
        <v>34</v>
      </c>
      <c r="E13" s="60" t="s">
        <v>35</v>
      </c>
      <c r="F13" s="61" t="s">
        <v>36</v>
      </c>
      <c r="G13" s="61" t="s">
        <v>37</v>
      </c>
      <c r="H13" s="62" t="s">
        <v>38</v>
      </c>
      <c r="I13" s="62" t="s">
        <v>39</v>
      </c>
      <c r="J13" s="62" t="s">
        <v>40</v>
      </c>
      <c r="K13" s="63" t="s">
        <v>41</v>
      </c>
      <c r="L13" s="63" t="s">
        <v>42</v>
      </c>
      <c r="M13" s="62" t="s">
        <v>43</v>
      </c>
      <c r="N13" s="64"/>
      <c r="O13" s="57" t="s">
        <v>44</v>
      </c>
      <c r="P13" s="4" t="s">
        <v>45</v>
      </c>
      <c r="Q13" s="46" t="s">
        <v>46</v>
      </c>
      <c r="R13" s="1" t="s">
        <v>47</v>
      </c>
    </row>
    <row r="14" spans="1:18" s="1" customFormat="1" ht="15">
      <c r="A14" s="65">
        <v>42736</v>
      </c>
      <c r="B14" s="66">
        <f>'[5]Test - Using Flash Reports L5-9'!C39</f>
        <v>57439866.889999993</v>
      </c>
      <c r="C14" s="67">
        <f>SUM([11]Query!$H$435:$H$452)</f>
        <v>21557105.98</v>
      </c>
      <c r="D14" s="269">
        <f>'[5]GA 2017'!D39</f>
        <v>55089872.229999989</v>
      </c>
      <c r="E14" s="68">
        <f>C14-D14</f>
        <v>-33532766.249999989</v>
      </c>
      <c r="F14" s="69">
        <f>B14+C14-D14</f>
        <v>23907100.640000001</v>
      </c>
      <c r="G14" s="70">
        <f>C14*H14-D14*'[12]GA Analysis '!O58</f>
        <v>-3181067.5019366988</v>
      </c>
      <c r="H14" s="71">
        <f>'[12]GA Analysis '!G47</f>
        <v>6.6869999999999999E-2</v>
      </c>
      <c r="I14" s="72">
        <f>'[12]GA Analysis '!I47</f>
        <v>8.2269999999999996E-2</v>
      </c>
      <c r="J14" s="73">
        <f t="shared" ref="J14:J25" si="0">+H14-I14</f>
        <v>-1.5399999999999997E-2</v>
      </c>
      <c r="K14" s="74">
        <f>+F14*H14</f>
        <v>1598667.8197967999</v>
      </c>
      <c r="L14" s="74">
        <f t="shared" ref="L14:L25" si="1">F14*I14</f>
        <v>1966837.1696527998</v>
      </c>
      <c r="M14" s="75">
        <f>+L14-K14</f>
        <v>368169.34985599993</v>
      </c>
      <c r="N14" s="76"/>
      <c r="O14" s="216">
        <f>P14+C14*H14-D14*'[5]GA Rates'!F15</f>
        <v>1760495.202836399</v>
      </c>
      <c r="P14" s="76">
        <f>'[13]RA-Flash Report Billed'!$H$962+'[14]RA-Flash Report Adjustments'!$H$36</f>
        <v>6155192.5899999989</v>
      </c>
      <c r="Q14" s="77">
        <f>P14/B14</f>
        <v>0.10715889369638475</v>
      </c>
      <c r="R14" s="78">
        <f>H14</f>
        <v>6.6869999999999999E-2</v>
      </c>
    </row>
    <row r="15" spans="1:18" s="1" customFormat="1" ht="15">
      <c r="A15" s="65">
        <v>42767</v>
      </c>
      <c r="B15" s="79">
        <f>'[5]Test - Using Flash Reports L5-9'!C40</f>
        <v>65438059.940000005</v>
      </c>
      <c r="C15" s="67">
        <f>SUM([15]Query!$M$368:$M$370,[15]Query!$H$391:$H$396)</f>
        <v>49432202.609999999</v>
      </c>
      <c r="D15" s="80">
        <f t="shared" ref="D15:D25" si="2">(-C14)*-1</f>
        <v>21557105.98</v>
      </c>
      <c r="E15" s="81">
        <f t="shared" ref="E15:E26" si="3">C15-D15</f>
        <v>27875096.629999999</v>
      </c>
      <c r="F15" s="69">
        <f t="shared" ref="F15:F24" si="4">B15+C15-D15</f>
        <v>93313156.570000008</v>
      </c>
      <c r="G15" s="82">
        <f t="shared" ref="G15:G24" si="5">C15*H15-D15*H14</f>
        <v>3778022.5967072998</v>
      </c>
      <c r="H15" s="83">
        <f>'[12]GA Analysis '!G48</f>
        <v>0.10559</v>
      </c>
      <c r="I15" s="84">
        <f>'[12]GA Analysis '!I48</f>
        <v>8.6389999999999995E-2</v>
      </c>
      <c r="J15" s="85">
        <f t="shared" si="0"/>
        <v>1.9200000000000009E-2</v>
      </c>
      <c r="K15" s="74">
        <f t="shared" ref="K15:K25" si="6">+F15*H15</f>
        <v>9852936.2022263017</v>
      </c>
      <c r="L15" s="74">
        <f t="shared" si="1"/>
        <v>8061323.5960822999</v>
      </c>
      <c r="M15" s="74">
        <f t="shared" ref="M15:M25" si="7">+L15-K15</f>
        <v>-1791612.6061440017</v>
      </c>
      <c r="N15" s="76"/>
      <c r="O15" s="216">
        <f>P15+C15*H15-D15*H14</f>
        <v>8496834.1367072985</v>
      </c>
      <c r="P15" s="76">
        <f>'[16]RA-Flash Report Billed'!$H$965+'[17]RA-Flash Report Adjustments'!$H$128</f>
        <v>4718811.5399999991</v>
      </c>
      <c r="Q15" s="77">
        <f t="shared" ref="Q15:Q25" si="8">P15/B15</f>
        <v>7.2111116135268466E-2</v>
      </c>
      <c r="R15" s="78">
        <f t="shared" ref="R15:R25" si="9">H15</f>
        <v>0.10559</v>
      </c>
    </row>
    <row r="16" spans="1:18" s="1" customFormat="1" ht="15">
      <c r="A16" s="65">
        <v>42795</v>
      </c>
      <c r="B16" s="79">
        <f>'[5]Test - Using Flash Reports L5-9'!C41</f>
        <v>63950795.389999993</v>
      </c>
      <c r="C16" s="67">
        <f>SUM([18]Query!$M$368:$M$370,[18]Query!$H$385:$H$390)</f>
        <v>55169528.550000004</v>
      </c>
      <c r="D16" s="80">
        <f t="shared" si="2"/>
        <v>49432202.609999999</v>
      </c>
      <c r="E16" s="81">
        <f t="shared" si="3"/>
        <v>5737325.9400000051</v>
      </c>
      <c r="F16" s="69">
        <f t="shared" si="4"/>
        <v>69688121.329999998</v>
      </c>
      <c r="G16" s="82">
        <f t="shared" si="5"/>
        <v>-580340.61782039981</v>
      </c>
      <c r="H16" s="83">
        <f>'[12]GA Analysis '!G49</f>
        <v>8.4089999999999998E-2</v>
      </c>
      <c r="I16" s="84">
        <f>'[12]GA Analysis '!I49</f>
        <v>7.1349999999999997E-2</v>
      </c>
      <c r="J16" s="85">
        <f t="shared" si="0"/>
        <v>1.2740000000000001E-2</v>
      </c>
      <c r="K16" s="74">
        <f t="shared" si="6"/>
        <v>5860074.1226396998</v>
      </c>
      <c r="L16" s="74">
        <f t="shared" si="1"/>
        <v>4972247.4568954995</v>
      </c>
      <c r="M16" s="74">
        <f t="shared" si="7"/>
        <v>-887826.66574420035</v>
      </c>
      <c r="N16" s="76"/>
      <c r="O16" s="216">
        <f t="shared" ref="O16:O25" si="10">P16+C16*H16-D16*H15</f>
        <v>5821598.7521796022</v>
      </c>
      <c r="P16" s="76">
        <f>'[19]RA-Flash Report Billed'!$H$926+'[20]RA-Flash Report Adjustments'!$H$53</f>
        <v>6401939.370000001</v>
      </c>
      <c r="Q16" s="77">
        <f t="shared" si="8"/>
        <v>0.10010726732886069</v>
      </c>
      <c r="R16" s="78">
        <f t="shared" si="9"/>
        <v>8.4089999999999998E-2</v>
      </c>
    </row>
    <row r="17" spans="1:22" s="1" customFormat="1" ht="15">
      <c r="A17" s="65">
        <v>42826</v>
      </c>
      <c r="B17" s="79">
        <f>'[5]Test - Using Flash Reports L5-9'!C42</f>
        <v>62284323.769999996</v>
      </c>
      <c r="C17" s="67">
        <f>SUM([21]Query!$M$368:$M$370,[21]Query!$H$349:$H$354)</f>
        <v>51858733.409999996</v>
      </c>
      <c r="D17" s="80">
        <f t="shared" si="2"/>
        <v>55169528.550000004</v>
      </c>
      <c r="E17" s="81">
        <f t="shared" si="3"/>
        <v>-3310795.140000008</v>
      </c>
      <c r="F17" s="69">
        <f t="shared" si="4"/>
        <v>58973528.629999988</v>
      </c>
      <c r="G17" s="82">
        <f t="shared" si="5"/>
        <v>-1074436.3211661004</v>
      </c>
      <c r="H17" s="83">
        <f>'[12]GA Analysis '!G50</f>
        <v>6.8739999999999996E-2</v>
      </c>
      <c r="I17" s="84">
        <f>'[12]GA Analysis '!I50</f>
        <v>0.10778</v>
      </c>
      <c r="J17" s="85">
        <f t="shared" si="0"/>
        <v>-3.9040000000000005E-2</v>
      </c>
      <c r="K17" s="74">
        <f t="shared" si="6"/>
        <v>4053840.358026199</v>
      </c>
      <c r="L17" s="74">
        <f t="shared" si="1"/>
        <v>6356166.9157413989</v>
      </c>
      <c r="M17" s="74">
        <f t="shared" si="7"/>
        <v>2302326.5577151999</v>
      </c>
      <c r="N17" s="76"/>
      <c r="O17" s="216">
        <f t="shared" si="10"/>
        <v>4265928.0288339006</v>
      </c>
      <c r="P17" s="76">
        <f>'[22]RA-Flash Report Billed'!$H$897+'[23]RA-Flash Report Adjustments'!$H$36</f>
        <v>5340364.3500000006</v>
      </c>
      <c r="Q17" s="77">
        <f>P17/B17</f>
        <v>8.5741708776041203E-2</v>
      </c>
      <c r="R17" s="78">
        <f t="shared" si="9"/>
        <v>6.8739999999999996E-2</v>
      </c>
    </row>
    <row r="18" spans="1:22" s="1" customFormat="1" ht="15">
      <c r="A18" s="65">
        <v>42856</v>
      </c>
      <c r="B18" s="79">
        <f>'[5]Test - Using Flash Reports L5-9'!C43</f>
        <v>61967482.710000008</v>
      </c>
      <c r="C18" s="67">
        <f>SUM([24]Query!$M$368:$M$370,[24]Query!$H$499:$H$508)</f>
        <v>51313499.57</v>
      </c>
      <c r="D18" s="80">
        <f t="shared" si="2"/>
        <v>51858733.409999996</v>
      </c>
      <c r="E18" s="81">
        <f t="shared" si="3"/>
        <v>-545233.83999999613</v>
      </c>
      <c r="F18" s="69">
        <f t="shared" si="4"/>
        <v>61422248.870000005</v>
      </c>
      <c r="G18" s="82">
        <f t="shared" si="5"/>
        <v>1886263.7247177004</v>
      </c>
      <c r="H18" s="83">
        <f>'[12]GA Analysis '!G51</f>
        <v>0.10623</v>
      </c>
      <c r="I18" s="84">
        <f>'[12]GA Analysis '!I51</f>
        <v>0.12307</v>
      </c>
      <c r="J18" s="85">
        <f t="shared" si="0"/>
        <v>-1.6839999999999994E-2</v>
      </c>
      <c r="K18" s="74">
        <f t="shared" si="6"/>
        <v>6524885.4974601008</v>
      </c>
      <c r="L18" s="74">
        <f t="shared" si="1"/>
        <v>7559236.1684309002</v>
      </c>
      <c r="M18" s="74">
        <f t="shared" si="7"/>
        <v>1034350.6709707994</v>
      </c>
      <c r="N18" s="76"/>
      <c r="O18" s="216">
        <f t="shared" si="10"/>
        <v>6283852.4347176999</v>
      </c>
      <c r="P18" s="76">
        <f>'[25]RA-Flash Report Billed'!$H$918+'[26]RA-Flash Report Adjustments'!$H$63</f>
        <v>4397588.71</v>
      </c>
      <c r="Q18" s="77">
        <f t="shared" si="8"/>
        <v>7.0966069907666893E-2</v>
      </c>
      <c r="R18" s="78">
        <f t="shared" si="9"/>
        <v>0.10623</v>
      </c>
    </row>
    <row r="19" spans="1:22" s="1" customFormat="1" ht="15">
      <c r="A19" s="65">
        <v>42887</v>
      </c>
      <c r="B19" s="79">
        <f>'[5]Test - Using Flash Reports L5-9'!C44</f>
        <v>60246186.969999991</v>
      </c>
      <c r="C19" s="67">
        <f>SUM([27]Query!$M$368:$M$370,[27]Query!$H$368:$H$371)</f>
        <v>52121934.00999999</v>
      </c>
      <c r="D19" s="80">
        <f t="shared" si="2"/>
        <v>51313499.57</v>
      </c>
      <c r="E19" s="81">
        <f t="shared" si="3"/>
        <v>808434.43999999017</v>
      </c>
      <c r="F19" s="69">
        <f t="shared" si="4"/>
        <v>61054621.409999989</v>
      </c>
      <c r="G19" s="82">
        <f t="shared" si="5"/>
        <v>779622.93223429844</v>
      </c>
      <c r="H19" s="83">
        <f>'[12]GA Analysis '!G52</f>
        <v>0.11953999999999999</v>
      </c>
      <c r="I19" s="84">
        <f>'[12]GA Analysis '!I52</f>
        <v>0.11848</v>
      </c>
      <c r="J19" s="85">
        <f t="shared" si="0"/>
        <v>1.0599999999999915E-3</v>
      </c>
      <c r="K19" s="74">
        <f t="shared" si="6"/>
        <v>7298469.4433513982</v>
      </c>
      <c r="L19" s="74">
        <f t="shared" si="1"/>
        <v>7233751.5446567992</v>
      </c>
      <c r="M19" s="74">
        <f t="shared" si="7"/>
        <v>-64717.898694599047</v>
      </c>
      <c r="N19" s="76"/>
      <c r="O19" s="216">
        <f t="shared" si="10"/>
        <v>7018221.1122343</v>
      </c>
      <c r="P19" s="76">
        <f>'[28]RA-Flash Report Billed'!$H$955+'[29]RA-Flash Report Adjustments'!$H$22</f>
        <v>6238598.1800000006</v>
      </c>
      <c r="Q19" s="77">
        <f t="shared" si="8"/>
        <v>0.10355175146779919</v>
      </c>
      <c r="R19" s="78">
        <f t="shared" si="9"/>
        <v>0.11953999999999999</v>
      </c>
    </row>
    <row r="20" spans="1:22" s="1" customFormat="1" ht="15">
      <c r="A20" s="65">
        <v>42917</v>
      </c>
      <c r="B20" s="79">
        <f>'[5]Test - Using Flash Reports L5-9'!C45</f>
        <v>63062218.320000023</v>
      </c>
      <c r="C20" s="67">
        <f>SUM([30]Query!$M$368:$M$371)</f>
        <v>56095688.819999993</v>
      </c>
      <c r="D20" s="80">
        <f t="shared" si="2"/>
        <v>52121934.00999999</v>
      </c>
      <c r="E20" s="81">
        <f t="shared" si="3"/>
        <v>3973754.8100000024</v>
      </c>
      <c r="F20" s="69">
        <f t="shared" si="4"/>
        <v>67035973.130000025</v>
      </c>
      <c r="G20" s="82">
        <f t="shared" si="5"/>
        <v>-255343.21844899934</v>
      </c>
      <c r="H20" s="83">
        <f>'[12]GA Analysis '!G53</f>
        <v>0.10652</v>
      </c>
      <c r="I20" s="84">
        <f>'[12]GA Analysis '!I53</f>
        <v>0.1128</v>
      </c>
      <c r="J20" s="85">
        <f t="shared" si="0"/>
        <v>-6.2799999999999939E-3</v>
      </c>
      <c r="K20" s="74">
        <f>+F20*H20</f>
        <v>7140671.8578076027</v>
      </c>
      <c r="L20" s="74">
        <f t="shared" si="1"/>
        <v>7561657.7690640027</v>
      </c>
      <c r="M20" s="74">
        <f t="shared" si="7"/>
        <v>420985.91125639994</v>
      </c>
      <c r="N20" s="76"/>
      <c r="O20" s="216">
        <f t="shared" si="10"/>
        <v>7192479.1815510001</v>
      </c>
      <c r="P20" s="76">
        <f>'[31]RA-Flash Report Billed'!$H$1011+'[32]RA-Flash Report Adjustments'!$H$70</f>
        <v>7447822.4000000004</v>
      </c>
      <c r="Q20" s="77">
        <f t="shared" si="8"/>
        <v>0.1181027657829465</v>
      </c>
      <c r="R20" s="78">
        <f t="shared" si="9"/>
        <v>0.10652</v>
      </c>
    </row>
    <row r="21" spans="1:22" s="1" customFormat="1" ht="15">
      <c r="A21" s="65">
        <v>42948</v>
      </c>
      <c r="B21" s="79">
        <f>'[5]Test - Using Flash Reports L5-9'!C46</f>
        <v>32527919.409999996</v>
      </c>
      <c r="C21" s="67">
        <f>SUM([33]Query!$M$368:$M$371)</f>
        <v>22192396.490000002</v>
      </c>
      <c r="D21" s="80">
        <f t="shared" si="2"/>
        <v>56095688.819999993</v>
      </c>
      <c r="E21" s="81">
        <f t="shared" si="3"/>
        <v>-33903292.329999991</v>
      </c>
      <c r="F21" s="69">
        <f>B21+C21-D21</f>
        <v>-1375372.9199999943</v>
      </c>
      <c r="G21" s="82">
        <f t="shared" si="5"/>
        <v>-3423187.1767563988</v>
      </c>
      <c r="H21" s="83">
        <f>'[12]GA Analysis '!G54</f>
        <v>0.115</v>
      </c>
      <c r="I21" s="84">
        <f>'[12]GA Analysis '!I54</f>
        <v>0.10109</v>
      </c>
      <c r="J21" s="85">
        <f t="shared" si="0"/>
        <v>1.3910000000000006E-2</v>
      </c>
      <c r="K21" s="74">
        <f>+F21*H21</f>
        <v>-158167.88579999935</v>
      </c>
      <c r="L21" s="74">
        <f t="shared" si="1"/>
        <v>-139036.44848279943</v>
      </c>
      <c r="M21" s="74">
        <f t="shared" si="7"/>
        <v>19131.437317199918</v>
      </c>
      <c r="N21" s="76"/>
      <c r="O21" s="216">
        <f t="shared" si="10"/>
        <v>131688.61324360035</v>
      </c>
      <c r="P21" s="76">
        <f>'[34]RA-Flash Report Billed'!$H$977+'[35]RA-Flash Report Adjustments'!$H$53</f>
        <v>3554875.7899999991</v>
      </c>
      <c r="Q21" s="77">
        <f t="shared" si="8"/>
        <v>0.10928690966035566</v>
      </c>
      <c r="R21" s="78">
        <f t="shared" si="9"/>
        <v>0.115</v>
      </c>
    </row>
    <row r="22" spans="1:22" s="1" customFormat="1" ht="15">
      <c r="A22" s="65">
        <v>42979</v>
      </c>
      <c r="B22" s="79">
        <f>'[5]Test - Using Flash Reports L5-9'!C47</f>
        <v>29044788.66</v>
      </c>
      <c r="C22" s="67">
        <f>SUM([36]Query!$M$368:$M$371)</f>
        <v>21609279.339999996</v>
      </c>
      <c r="D22" s="80">
        <f t="shared" si="2"/>
        <v>22192396.490000002</v>
      </c>
      <c r="E22" s="81">
        <f t="shared" si="3"/>
        <v>-583117.15000000596</v>
      </c>
      <c r="F22" s="69">
        <f>B22+C22-D22</f>
        <v>28461671.509999998</v>
      </c>
      <c r="G22" s="82">
        <f t="shared" si="5"/>
        <v>200680.49877259927</v>
      </c>
      <c r="H22" s="83">
        <f>'[12]GA Analysis '!G55</f>
        <v>0.12739</v>
      </c>
      <c r="I22" s="84">
        <f>'[12]GA Analysis '!I55</f>
        <v>8.8639999999999997E-2</v>
      </c>
      <c r="J22" s="85">
        <f t="shared" si="0"/>
        <v>3.8750000000000007E-2</v>
      </c>
      <c r="K22" s="74">
        <f t="shared" si="6"/>
        <v>3625732.3336588996</v>
      </c>
      <c r="L22" s="74">
        <f t="shared" si="1"/>
        <v>2522842.5626463997</v>
      </c>
      <c r="M22" s="74">
        <f t="shared" si="7"/>
        <v>-1102889.7710124999</v>
      </c>
      <c r="N22" s="76"/>
      <c r="O22" s="216">
        <f t="shared" si="10"/>
        <v>3500562.2187725995</v>
      </c>
      <c r="P22" s="76">
        <f>'[37]RA-Flash Report Billed'!$H$933+'[38]RA-Flash Report Adjustments'!$H$37</f>
        <v>3299881.72</v>
      </c>
      <c r="Q22" s="77">
        <f t="shared" si="8"/>
        <v>0.11361355589908431</v>
      </c>
      <c r="R22" s="78">
        <f t="shared" si="9"/>
        <v>0.12739</v>
      </c>
    </row>
    <row r="23" spans="1:22" s="1" customFormat="1" ht="15">
      <c r="A23" s="65">
        <v>43009</v>
      </c>
      <c r="B23" s="79">
        <f>'[5]Test - Using Flash Reports L5-9'!C48</f>
        <v>30900972.879999995</v>
      </c>
      <c r="C23" s="67">
        <f>SUM([39]Query!$M$368:$M$371)</f>
        <v>23017086.259999998</v>
      </c>
      <c r="D23" s="80">
        <f t="shared" si="2"/>
        <v>21609279.339999996</v>
      </c>
      <c r="E23" s="81">
        <f t="shared" si="3"/>
        <v>1407806.9200000018</v>
      </c>
      <c r="F23" s="69">
        <f t="shared" si="4"/>
        <v>32308779.799999997</v>
      </c>
      <c r="G23" s="82">
        <f t="shared" si="5"/>
        <v>-402301.24625139963</v>
      </c>
      <c r="H23" s="83">
        <f>'[12]GA Analysis '!G56</f>
        <v>0.10212</v>
      </c>
      <c r="I23" s="84">
        <f>'[12]GA Analysis '!I56</f>
        <v>0.12562999999999999</v>
      </c>
      <c r="J23" s="85">
        <f t="shared" si="0"/>
        <v>-2.3509999999999989E-2</v>
      </c>
      <c r="K23" s="74">
        <f t="shared" si="6"/>
        <v>3299372.5931759998</v>
      </c>
      <c r="L23" s="74">
        <f t="shared" si="1"/>
        <v>4058952.0062739993</v>
      </c>
      <c r="M23" s="74">
        <f t="shared" si="7"/>
        <v>759579.41309799952</v>
      </c>
      <c r="N23" s="86"/>
      <c r="O23" s="216">
        <f t="shared" si="10"/>
        <v>3441964.2037485992</v>
      </c>
      <c r="P23" s="76">
        <f>'[40]RA-Flash Report Billed'!$H$925+'[41]RA-Flash Report Adjustments'!$H$30</f>
        <v>3844265.4499999993</v>
      </c>
      <c r="Q23" s="77">
        <f t="shared" si="8"/>
        <v>0.12440596821752882</v>
      </c>
      <c r="R23" s="78">
        <f t="shared" si="9"/>
        <v>0.10212</v>
      </c>
    </row>
    <row r="24" spans="1:22" s="1" customFormat="1" ht="15">
      <c r="A24" s="65">
        <v>43040</v>
      </c>
      <c r="B24" s="79">
        <f>'[5]Test - Using Flash Reports L5-9'!C49</f>
        <v>31321022.729999993</v>
      </c>
      <c r="C24" s="67">
        <f>SUM([42]Query!$M$368:$M$371)</f>
        <v>21565937.060000002</v>
      </c>
      <c r="D24" s="80">
        <f t="shared" si="2"/>
        <v>23017086.259999998</v>
      </c>
      <c r="E24" s="81">
        <f t="shared" si="3"/>
        <v>-1451149.1999999955</v>
      </c>
      <c r="F24" s="69">
        <f t="shared" si="4"/>
        <v>29869873.529999994</v>
      </c>
      <c r="G24" s="82">
        <f t="shared" si="5"/>
        <v>57116.364507200662</v>
      </c>
      <c r="H24" s="83">
        <f>'[12]GA Analysis '!G57</f>
        <v>0.11164</v>
      </c>
      <c r="I24" s="84">
        <f>'[12]GA Analysis '!I57</f>
        <v>9.7040000000000001E-2</v>
      </c>
      <c r="J24" s="85">
        <f t="shared" si="0"/>
        <v>1.4600000000000002E-2</v>
      </c>
      <c r="K24" s="74">
        <f t="shared" si="6"/>
        <v>3334672.6808891995</v>
      </c>
      <c r="L24" s="74">
        <f t="shared" si="1"/>
        <v>2898572.5273511996</v>
      </c>
      <c r="M24" s="74">
        <f t="shared" si="7"/>
        <v>-436100.15353799984</v>
      </c>
      <c r="N24" s="86"/>
      <c r="O24" s="216">
        <f t="shared" si="10"/>
        <v>3432362.6945071998</v>
      </c>
      <c r="P24" s="76">
        <f>'[43]RA-Flash Report Billed'!$H$883+'[44]RA-Flash Report Adjustments'!$H$55</f>
        <v>3375246.3299999996</v>
      </c>
      <c r="Q24" s="77">
        <f t="shared" si="8"/>
        <v>0.10776296671714718</v>
      </c>
      <c r="R24" s="78">
        <f t="shared" si="9"/>
        <v>0.11164</v>
      </c>
    </row>
    <row r="25" spans="1:22" s="1" customFormat="1" ht="15.75" thickBot="1">
      <c r="A25" s="65">
        <v>43070</v>
      </c>
      <c r="B25" s="87">
        <f>'[5]Test - Using Flash Reports L5-9'!C50</f>
        <v>30584178.569999993</v>
      </c>
      <c r="C25" s="88">
        <f>SUM([45]Query!$M$11:$M$14)</f>
        <v>33115104.5</v>
      </c>
      <c r="D25" s="89">
        <f t="shared" si="2"/>
        <v>21565937.060000002</v>
      </c>
      <c r="E25" s="90">
        <f>C25-D25</f>
        <v>11549167.439999998</v>
      </c>
      <c r="F25" s="91">
        <f>B25+C25-D25</f>
        <v>42133346.00999999</v>
      </c>
      <c r="G25" s="92">
        <f>C25*H25-D25*H24</f>
        <v>371067.20521659963</v>
      </c>
      <c r="H25" s="93">
        <f>'[12]GA Analysis '!G58</f>
        <v>8.3909999999999998E-2</v>
      </c>
      <c r="I25" s="94">
        <f>'[12]GA Analysis '!I58</f>
        <v>9.2069999999999999E-2</v>
      </c>
      <c r="J25" s="95">
        <f t="shared" si="0"/>
        <v>-8.1600000000000006E-3</v>
      </c>
      <c r="K25" s="96">
        <f t="shared" si="6"/>
        <v>3535409.0636990992</v>
      </c>
      <c r="L25" s="96">
        <f t="shared" si="1"/>
        <v>3879217.167140699</v>
      </c>
      <c r="M25" s="96">
        <f t="shared" si="7"/>
        <v>343808.10344159976</v>
      </c>
      <c r="N25" s="86"/>
      <c r="O25" s="216">
        <f t="shared" si="10"/>
        <v>3723888.1252165986</v>
      </c>
      <c r="P25" s="97">
        <f>'[46]RA-Flash Report Billed'!$H$820+'[47]RA-Flash Report Adjustments'!$H$44</f>
        <v>3352820.9199999995</v>
      </c>
      <c r="Q25" s="77">
        <f t="shared" si="8"/>
        <v>0.10962599215559053</v>
      </c>
      <c r="R25" s="78">
        <f t="shared" si="9"/>
        <v>8.3909999999999998E-2</v>
      </c>
    </row>
    <row r="26" spans="1:22" s="1" customFormat="1" ht="15">
      <c r="B26" s="98">
        <f>SUM(B14:B25)</f>
        <v>588767816.24000001</v>
      </c>
      <c r="C26" s="98">
        <f>SUM(C14:C25)</f>
        <v>459048496.59999996</v>
      </c>
      <c r="D26" s="98">
        <f>SUM(D14:D25)</f>
        <v>481023264.32999998</v>
      </c>
      <c r="E26" s="98">
        <f t="shared" si="3"/>
        <v>-21974767.730000019</v>
      </c>
      <c r="F26" s="98">
        <f>SUM(F14:F25)</f>
        <v>566793048.50999999</v>
      </c>
      <c r="G26" s="98">
        <f>SUM(G14:G25)</f>
        <v>-1843902.7602242986</v>
      </c>
      <c r="H26" s="99">
        <f>AVERAGE(H14:H25)</f>
        <v>9.9803333333333341E-2</v>
      </c>
      <c r="I26" s="99">
        <f>AVERAGE(I14:I25)</f>
        <v>0.10055083333333333</v>
      </c>
      <c r="J26" s="99">
        <f>AVERAGE(J14:J25)</f>
        <v>-7.4749999999999697E-4</v>
      </c>
      <c r="K26" s="100">
        <f>SUM(K14:K25)</f>
        <v>55966564.086931288</v>
      </c>
      <c r="L26" s="100">
        <f>SUM(L14:L25)</f>
        <v>56931768.435453199</v>
      </c>
      <c r="M26" s="101">
        <f>L26-K26</f>
        <v>965204.34852191061</v>
      </c>
      <c r="N26" s="102" t="s">
        <v>32</v>
      </c>
      <c r="O26" s="103">
        <f>SUM(O14:O25)</f>
        <v>55069874.704548791</v>
      </c>
      <c r="P26" s="104">
        <f>SUM(P14:P25)</f>
        <v>58127407.349999994</v>
      </c>
      <c r="Q26" s="104"/>
    </row>
    <row r="27" spans="1:22" s="1" customFormat="1" ht="14.25">
      <c r="B27" s="38"/>
      <c r="C27" s="38"/>
      <c r="D27" s="38"/>
      <c r="E27" s="37"/>
      <c r="F27" s="38"/>
      <c r="G27" s="105">
        <f>'[12]1.Adjustments'!O15</f>
        <v>-2019641.8638098994</v>
      </c>
      <c r="H27" s="38"/>
      <c r="I27" s="38"/>
      <c r="J27" s="106"/>
      <c r="K27" s="38"/>
      <c r="L27" s="107" t="s">
        <v>48</v>
      </c>
      <c r="M27" s="108">
        <f>'[48]GA-1589'!$E$69</f>
        <v>2918422.4901427329</v>
      </c>
      <c r="N27" s="102" t="s">
        <v>33</v>
      </c>
      <c r="O27" s="109">
        <f>-O26+K26</f>
        <v>896689.38238249719</v>
      </c>
      <c r="P27" s="110"/>
      <c r="Q27" s="4"/>
      <c r="S27" s="111"/>
    </row>
    <row r="28" spans="1:22" s="1" customFormat="1" ht="14.25">
      <c r="B28" s="112">
        <f>(B26-$J$8)/$J$8</f>
        <v>4.7874609950918287E-2</v>
      </c>
      <c r="C28" s="38"/>
      <c r="D28" s="38"/>
      <c r="E28" s="38"/>
      <c r="F28" s="112">
        <f>(F26-$J$8)/$J$8</f>
        <v>8.7644539120064046E-3</v>
      </c>
      <c r="G28" s="113">
        <f>G26-G27</f>
        <v>175739.10358560085</v>
      </c>
      <c r="H28" s="38"/>
      <c r="I28" s="38"/>
      <c r="J28" s="114"/>
      <c r="K28" s="38"/>
      <c r="L28" s="115" t="s">
        <v>49</v>
      </c>
      <c r="M28" s="101">
        <f>M26-M27</f>
        <v>-1953218.1416208223</v>
      </c>
      <c r="N28" s="102" t="s">
        <v>50</v>
      </c>
      <c r="Q28" s="4"/>
    </row>
    <row r="29" spans="1:22" s="1" customFormat="1">
      <c r="B29" s="38"/>
      <c r="C29" s="38"/>
      <c r="D29" s="38"/>
      <c r="E29" s="38"/>
      <c r="F29" s="38"/>
      <c r="G29" s="116"/>
      <c r="I29" s="38"/>
      <c r="J29" s="38"/>
      <c r="K29" s="117"/>
      <c r="L29" s="115" t="s">
        <v>51</v>
      </c>
      <c r="M29" s="118"/>
      <c r="N29" s="119"/>
      <c r="Q29" s="4"/>
      <c r="V29" s="120"/>
    </row>
    <row r="30" spans="1:22" s="1" customFormat="1" ht="15">
      <c r="B30" s="121"/>
      <c r="C30" s="122"/>
      <c r="D30" s="122"/>
      <c r="E30" s="122"/>
      <c r="F30" s="122"/>
      <c r="G30"/>
      <c r="M30" s="119"/>
      <c r="N30" s="119"/>
      <c r="O30" s="119"/>
      <c r="P30" s="119"/>
      <c r="Q30" s="4"/>
      <c r="V30" s="3"/>
    </row>
    <row r="31" spans="1:22" s="1" customFormat="1" ht="15">
      <c r="B31" s="123"/>
      <c r="C31" s="124"/>
      <c r="D31" s="122"/>
      <c r="E31" s="122"/>
      <c r="F31" s="122"/>
      <c r="G31"/>
      <c r="K31" s="1" t="s">
        <v>52</v>
      </c>
      <c r="M31" s="119">
        <f>SUM('[5]Test - Using Flash Reports L5-9'!C63:C75)</f>
        <v>-1670071.2253802023</v>
      </c>
      <c r="N31" s="119"/>
      <c r="O31" s="119"/>
      <c r="P31" s="119"/>
      <c r="Q31" s="4"/>
      <c r="V31" s="3"/>
    </row>
    <row r="32" spans="1:22" s="1" customFormat="1" ht="15">
      <c r="B32" s="122"/>
      <c r="C32" s="124"/>
      <c r="D32" s="122"/>
      <c r="E32" s="122"/>
      <c r="F32" s="122"/>
      <c r="G32"/>
      <c r="L32" s="1" t="s">
        <v>49</v>
      </c>
      <c r="M32" s="119">
        <f>M28-M31</f>
        <v>-283146.91624061996</v>
      </c>
      <c r="N32" s="119"/>
      <c r="O32" s="119"/>
      <c r="Q32" s="125"/>
      <c r="R32" s="3"/>
      <c r="S32" s="119"/>
      <c r="T32" s="119"/>
      <c r="U32" s="3"/>
      <c r="V32" s="3"/>
    </row>
    <row r="33" spans="1:22" s="1" customFormat="1" ht="15">
      <c r="B33" s="122"/>
      <c r="C33" s="126"/>
      <c r="D33" s="126"/>
      <c r="E33" s="126"/>
      <c r="F33" s="126"/>
      <c r="G33"/>
      <c r="M33" s="119"/>
      <c r="N33" s="119"/>
      <c r="O33" s="119"/>
      <c r="P33" s="119"/>
      <c r="Q33" s="127"/>
      <c r="R33" s="3"/>
      <c r="S33" s="3"/>
      <c r="T33" s="3"/>
      <c r="U33" s="3"/>
      <c r="V33" s="3"/>
    </row>
    <row r="34" spans="1:22" s="1" customFormat="1" ht="15">
      <c r="B34" s="122"/>
      <c r="C34" s="126"/>
      <c r="D34" s="122"/>
      <c r="E34" s="122"/>
      <c r="F34" s="122"/>
      <c r="G34"/>
      <c r="M34" s="119"/>
      <c r="N34" s="119"/>
      <c r="O34" s="119"/>
      <c r="P34" s="119"/>
      <c r="Q34" s="125"/>
      <c r="R34" s="128"/>
      <c r="S34" s="3"/>
      <c r="T34" s="128"/>
      <c r="U34" s="128"/>
      <c r="V34" s="3"/>
    </row>
    <row r="35" spans="1:22" s="1" customFormat="1" ht="15">
      <c r="B35" s="122"/>
      <c r="C35" s="126"/>
      <c r="D35" s="122"/>
      <c r="E35" s="122"/>
      <c r="F35" s="122"/>
      <c r="G35"/>
      <c r="M35" s="111"/>
      <c r="N35" s="111"/>
      <c r="O35" s="111"/>
      <c r="Q35" s="125"/>
      <c r="R35" s="3"/>
      <c r="S35" s="3"/>
      <c r="T35" s="3"/>
      <c r="U35" s="3"/>
      <c r="V35" s="3"/>
    </row>
    <row r="36" spans="1:22" s="1" customFormat="1">
      <c r="B36" s="38"/>
      <c r="C36" s="113"/>
      <c r="D36" s="38"/>
      <c r="E36" s="38"/>
      <c r="F36" s="38"/>
      <c r="G36" s="38"/>
      <c r="H36" s="38"/>
      <c r="I36" s="38"/>
      <c r="K36" s="129"/>
      <c r="L36" s="130"/>
      <c r="Q36" s="4"/>
      <c r="V36" s="3"/>
    </row>
    <row r="37" spans="1:22" s="1" customFormat="1">
      <c r="B37" s="38"/>
      <c r="C37" s="38"/>
      <c r="D37" s="38"/>
      <c r="E37" s="38"/>
      <c r="F37" s="38"/>
      <c r="G37" s="38"/>
      <c r="H37" s="38"/>
      <c r="I37" s="38"/>
      <c r="K37" s="129"/>
      <c r="L37" s="130"/>
      <c r="Q37" s="4"/>
      <c r="V37" s="3"/>
    </row>
    <row r="38" spans="1:22" s="1" customFormat="1" ht="14.25">
      <c r="B38" s="131"/>
      <c r="C38" s="131"/>
      <c r="D38" s="131"/>
      <c r="E38" s="131"/>
      <c r="F38" s="131"/>
      <c r="G38" s="131"/>
      <c r="H38" s="120"/>
      <c r="J38" s="120"/>
      <c r="K38" s="132"/>
      <c r="L38" s="111"/>
      <c r="P38" s="3"/>
      <c r="Q38" s="4"/>
    </row>
    <row r="39" spans="1:22" s="1" customFormat="1">
      <c r="P39" s="3"/>
      <c r="Q39" s="4"/>
    </row>
    <row r="40" spans="1:22" s="1" customFormat="1" ht="17.25">
      <c r="A40" s="259"/>
      <c r="B40" s="260"/>
      <c r="C40" s="260"/>
      <c r="D40" s="260"/>
      <c r="E40" s="260"/>
      <c r="F40" s="260"/>
      <c r="G40" s="260"/>
      <c r="H40" s="261"/>
      <c r="I40" s="262"/>
      <c r="J40" s="261"/>
      <c r="K40" s="261"/>
      <c r="L40" s="261"/>
      <c r="M40" s="261"/>
      <c r="N40" s="261"/>
      <c r="O40" s="261"/>
      <c r="P40" s="261"/>
      <c r="Q40" s="263"/>
      <c r="R40" s="261"/>
      <c r="S40" s="261"/>
      <c r="T40" s="261"/>
      <c r="U40" s="261"/>
    </row>
    <row r="41" spans="1:22" s="1" customFormat="1" ht="14.25">
      <c r="A41" s="259"/>
      <c r="B41" s="264"/>
      <c r="C41" s="264"/>
      <c r="D41" s="264"/>
      <c r="E41" s="264"/>
      <c r="F41" s="264"/>
      <c r="G41" s="264"/>
      <c r="H41" s="264"/>
      <c r="I41" s="264"/>
      <c r="J41" s="264"/>
      <c r="K41" s="264"/>
      <c r="L41" s="264"/>
      <c r="M41" s="264"/>
      <c r="N41" s="264"/>
      <c r="O41" s="264"/>
      <c r="P41" s="264"/>
      <c r="Q41" s="265"/>
      <c r="R41" s="264"/>
      <c r="S41" s="264"/>
      <c r="T41" s="264"/>
      <c r="U41" s="264"/>
    </row>
    <row r="42" spans="1:22" s="1" customFormat="1" ht="14.25">
      <c r="A42" s="259"/>
      <c r="B42" s="262"/>
      <c r="C42" s="262"/>
      <c r="D42" s="262"/>
      <c r="E42" s="262"/>
      <c r="F42" s="262"/>
      <c r="G42" s="262"/>
      <c r="H42" s="262"/>
      <c r="I42" s="262"/>
      <c r="J42" s="262"/>
      <c r="K42" s="262"/>
      <c r="L42" s="262"/>
      <c r="M42" s="262"/>
      <c r="N42" s="262"/>
      <c r="O42" s="262"/>
      <c r="P42" s="262"/>
      <c r="Q42" s="266"/>
      <c r="R42" s="262"/>
      <c r="S42" s="262"/>
      <c r="T42" s="262"/>
      <c r="U42" s="262"/>
    </row>
    <row r="43" spans="1:22" s="1" customFormat="1" ht="14.25">
      <c r="A43" s="259"/>
      <c r="B43" s="262"/>
      <c r="C43" s="262"/>
      <c r="D43" s="262"/>
      <c r="E43" s="262"/>
      <c r="F43" s="262"/>
      <c r="G43" s="262"/>
      <c r="H43" s="262"/>
      <c r="I43" s="262"/>
      <c r="J43" s="262"/>
      <c r="K43" s="262"/>
      <c r="L43" s="262"/>
      <c r="M43" s="267"/>
      <c r="N43" s="267"/>
      <c r="O43" s="267"/>
      <c r="P43" s="267"/>
      <c r="Q43" s="266"/>
      <c r="R43" s="262"/>
      <c r="S43" s="262"/>
      <c r="T43" s="262"/>
      <c r="U43" s="262"/>
    </row>
    <row r="44" spans="1:22" ht="14.25">
      <c r="A44" s="268"/>
      <c r="B44" s="262"/>
      <c r="C44" s="262"/>
      <c r="D44" s="262"/>
      <c r="E44" s="262"/>
      <c r="F44" s="262"/>
      <c r="G44" s="262"/>
      <c r="H44" s="262"/>
      <c r="I44" s="262"/>
      <c r="J44" s="262"/>
      <c r="K44" s="262"/>
      <c r="L44" s="262"/>
      <c r="M44" s="262"/>
      <c r="N44" s="262"/>
      <c r="O44" s="262"/>
      <c r="P44" s="267"/>
      <c r="Q44" s="266"/>
      <c r="R44" s="262"/>
      <c r="S44" s="262"/>
      <c r="T44" s="262"/>
      <c r="U44" s="267"/>
    </row>
  </sheetData>
  <mergeCells count="1">
    <mergeCell ref="B1:M1"/>
  </mergeCells>
  <pageMargins left="0.7" right="0.7" top="0.75" bottom="0.75" header="0.3" footer="0.3"/>
  <pageSetup paperSize="3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83"/>
  <sheetViews>
    <sheetView workbookViewId="0">
      <selection activeCell="K53" sqref="A1:K53"/>
    </sheetView>
  </sheetViews>
  <sheetFormatPr defaultRowHeight="15"/>
  <cols>
    <col min="1" max="1" width="10.85546875" bestFit="1" customWidth="1"/>
    <col min="2" max="2" width="15.28515625" bestFit="1" customWidth="1"/>
    <col min="3" max="3" width="17.5703125" bestFit="1" customWidth="1"/>
    <col min="4" max="4" width="14.140625" bestFit="1" customWidth="1"/>
    <col min="5" max="5" width="14.5703125" customWidth="1"/>
    <col min="6" max="6" width="15.5703125" customWidth="1"/>
    <col min="7" max="7" width="18.7109375" customWidth="1"/>
    <col min="8" max="9" width="13.85546875" bestFit="1" customWidth="1"/>
    <col min="11" max="11" width="13.42578125" bestFit="1" customWidth="1"/>
    <col min="12" max="12" width="11.140625" bestFit="1" customWidth="1"/>
  </cols>
  <sheetData>
    <row r="1" spans="1:11" ht="30.75">
      <c r="A1" s="136">
        <v>2016</v>
      </c>
      <c r="B1" s="137" t="s">
        <v>54</v>
      </c>
      <c r="C1" s="137"/>
      <c r="D1" s="137"/>
      <c r="E1" s="138" t="s">
        <v>55</v>
      </c>
      <c r="F1" s="139" t="s">
        <v>56</v>
      </c>
      <c r="G1" s="140" t="s">
        <v>57</v>
      </c>
      <c r="H1" s="140" t="s">
        <v>58</v>
      </c>
      <c r="I1" s="141" t="s">
        <v>59</v>
      </c>
    </row>
    <row r="2" spans="1:11">
      <c r="A2" s="142" t="s">
        <v>60</v>
      </c>
      <c r="B2" s="143">
        <f>[49]Input!$N$19+[49]Input!$K$154</f>
        <v>40845801.131999992</v>
      </c>
      <c r="C2" s="143"/>
      <c r="D2" s="143"/>
      <c r="E2" s="144">
        <f>[49]Input!$I$18</f>
        <v>0.1178</v>
      </c>
      <c r="F2" s="144">
        <f>112.26/1000</f>
        <v>0.11226</v>
      </c>
      <c r="G2" s="145">
        <f>B2*E2</f>
        <v>4811635.3733495995</v>
      </c>
      <c r="H2" s="145">
        <f>B2*F2</f>
        <v>4585349.6350783193</v>
      </c>
      <c r="I2" s="145">
        <f>H2-G2</f>
        <v>-226285.73827128019</v>
      </c>
    </row>
    <row r="3" spans="1:11">
      <c r="A3" s="142" t="s">
        <v>61</v>
      </c>
      <c r="B3" s="143">
        <f>[50]Input!$N$19+[50]Input!$K$154</f>
        <v>37789022.370000005</v>
      </c>
      <c r="C3" s="143"/>
      <c r="D3" s="143"/>
      <c r="E3" s="144">
        <f>[50]Input!$I$18</f>
        <v>0.115</v>
      </c>
      <c r="F3" s="144">
        <f>111.09/1000</f>
        <v>0.11109000000000001</v>
      </c>
      <c r="G3" s="145">
        <f>B3*E3</f>
        <v>4345737.5725500006</v>
      </c>
      <c r="H3" s="145">
        <f>B3*F3</f>
        <v>4197982.4950833004</v>
      </c>
      <c r="I3" s="145">
        <f>H3-G3</f>
        <v>-147755.07746670023</v>
      </c>
    </row>
    <row r="4" spans="1:11">
      <c r="A4" s="142" t="s">
        <v>62</v>
      </c>
      <c r="B4" s="143">
        <f>[51]Input!$N$19+[51]Input!$K$160</f>
        <v>38163452.100000001</v>
      </c>
      <c r="C4" s="143"/>
      <c r="D4" s="143"/>
      <c r="E4" s="144">
        <f>[51]Input!$I$18</f>
        <v>7.8719999999999998E-2</v>
      </c>
      <c r="F4" s="144">
        <f>87.08/1000</f>
        <v>8.7080000000000005E-2</v>
      </c>
      <c r="G4" s="145">
        <f>B4*E4</f>
        <v>3004226.9493120001</v>
      </c>
      <c r="H4" s="145">
        <f>B4*F4</f>
        <v>3323273.4088680004</v>
      </c>
      <c r="I4" s="145">
        <f>H4-G4</f>
        <v>319046.45955600031</v>
      </c>
    </row>
    <row r="5" spans="1:11">
      <c r="A5" s="142" t="s">
        <v>63</v>
      </c>
      <c r="B5" s="146">
        <f>SUM(B2:B4)</f>
        <v>116798275.602</v>
      </c>
      <c r="C5" s="146"/>
      <c r="D5" s="146"/>
      <c r="E5" s="147"/>
      <c r="F5" s="147"/>
      <c r="G5" s="145">
        <f>SUM(G2:G4)</f>
        <v>12161599.8952116</v>
      </c>
      <c r="H5" s="145">
        <f>SUM(H2:H4)</f>
        <v>12106605.539029621</v>
      </c>
      <c r="I5" s="145">
        <f>H5-G5</f>
        <v>-54994.356181979179</v>
      </c>
    </row>
    <row r="6" spans="1:11" ht="15.75" thickBot="1">
      <c r="A6" s="122"/>
      <c r="B6" s="148"/>
      <c r="C6" s="148"/>
      <c r="D6" s="148"/>
      <c r="E6" s="149" t="s">
        <v>64</v>
      </c>
      <c r="G6" s="150"/>
      <c r="H6" s="151"/>
      <c r="I6" s="152">
        <f>SUM(I2:I4)</f>
        <v>-54994.356181980111</v>
      </c>
      <c r="J6" t="str">
        <f>IF(I6&lt;0,$K$14,$K$15)</f>
        <v>payment to IESO</v>
      </c>
    </row>
    <row r="8" spans="1:11" ht="30.75">
      <c r="A8" s="136">
        <v>2017</v>
      </c>
      <c r="B8" s="137" t="s">
        <v>54</v>
      </c>
      <c r="C8" s="137"/>
      <c r="D8" s="137"/>
      <c r="E8" s="138" t="s">
        <v>55</v>
      </c>
      <c r="F8" s="139" t="s">
        <v>56</v>
      </c>
      <c r="G8" s="140" t="s">
        <v>57</v>
      </c>
      <c r="H8" s="140" t="s">
        <v>58</v>
      </c>
      <c r="I8" s="141" t="s">
        <v>59</v>
      </c>
    </row>
    <row r="9" spans="1:11">
      <c r="A9" s="142" t="s">
        <v>65</v>
      </c>
      <c r="B9" s="143">
        <f>[52]Input!$N$19+[52]Input!$K$160</f>
        <v>46009323.420000002</v>
      </c>
      <c r="C9" s="143"/>
      <c r="D9" s="143"/>
      <c r="E9" s="144">
        <f>[52]Input!$I$18</f>
        <v>8.677E-2</v>
      </c>
      <c r="F9" s="144">
        <f>82.27/1000</f>
        <v>8.2269999999999996E-2</v>
      </c>
      <c r="G9" s="145">
        <f>B9*E9</f>
        <v>3992228.9931534003</v>
      </c>
      <c r="H9" s="145">
        <f>B9*F9</f>
        <v>3785187.0377634</v>
      </c>
      <c r="I9" s="145">
        <f>H9-G9</f>
        <v>-207041.95539000025</v>
      </c>
    </row>
    <row r="10" spans="1:11">
      <c r="A10" s="142" t="s">
        <v>66</v>
      </c>
      <c r="B10" s="143">
        <f>[53]Input!$N$19+[53]Input!$K$160</f>
        <v>41951279.310000002</v>
      </c>
      <c r="C10" s="143"/>
      <c r="D10" s="143"/>
      <c r="E10" s="144">
        <f>[53]Input!$I$18</f>
        <v>8.43E-2</v>
      </c>
      <c r="F10" s="144">
        <f>86.39/1000</f>
        <v>8.6389999999999995E-2</v>
      </c>
      <c r="G10" s="145">
        <f>B10*E10</f>
        <v>3536492.8458330003</v>
      </c>
      <c r="H10" s="145">
        <f>B10*F10</f>
        <v>3624171.0195908998</v>
      </c>
      <c r="I10" s="145">
        <f>H10-G10</f>
        <v>87678.173757899553</v>
      </c>
    </row>
    <row r="11" spans="1:11">
      <c r="A11" s="142" t="s">
        <v>67</v>
      </c>
      <c r="B11" s="143">
        <f>[54]Input!$N$19+[54]Input!$K$160</f>
        <v>50191187.590000004</v>
      </c>
      <c r="C11" s="143"/>
      <c r="D11" s="143"/>
      <c r="E11" s="144">
        <f>[54]Input!$I$18</f>
        <v>6.8860000000000005E-2</v>
      </c>
      <c r="F11" s="144">
        <f>71.35/1000</f>
        <v>7.1349999999999997E-2</v>
      </c>
      <c r="G11" s="145">
        <f>B11*E11</f>
        <v>3456165.1774474005</v>
      </c>
      <c r="H11" s="145">
        <f>B11*F11</f>
        <v>3581141.2345465003</v>
      </c>
      <c r="I11" s="145">
        <f>H11-G11</f>
        <v>124976.05709909974</v>
      </c>
    </row>
    <row r="12" spans="1:11">
      <c r="A12" s="142" t="s">
        <v>63</v>
      </c>
      <c r="B12" s="146">
        <f>SUM(B9:B11)</f>
        <v>138151790.31999999</v>
      </c>
      <c r="C12" s="146"/>
      <c r="D12" s="146"/>
      <c r="E12" s="147"/>
      <c r="F12" s="147"/>
      <c r="G12" s="145">
        <f>SUM(G9:G11)</f>
        <v>10984887.016433802</v>
      </c>
      <c r="H12" s="145">
        <f>SUM(H9:H11)</f>
        <v>10990499.291900799</v>
      </c>
      <c r="I12" s="145">
        <f>H12-G12</f>
        <v>5612.2754669971764</v>
      </c>
    </row>
    <row r="13" spans="1:11" ht="15.75" thickBot="1">
      <c r="A13" s="122"/>
      <c r="B13" s="148"/>
      <c r="C13" s="148"/>
      <c r="D13" s="148"/>
      <c r="E13" s="153"/>
      <c r="F13" s="153"/>
      <c r="G13" s="150"/>
      <c r="H13" s="151"/>
      <c r="I13" s="154">
        <f>SUM(I9:I11)</f>
        <v>5612.2754669990391</v>
      </c>
      <c r="J13" t="str">
        <f>IF(I13&lt;0,$K$14,$K$15)</f>
        <v>Payment from IESO</v>
      </c>
    </row>
    <row r="14" spans="1:11">
      <c r="K14" s="155" t="s">
        <v>68</v>
      </c>
    </row>
    <row r="15" spans="1:11" ht="30.75">
      <c r="A15" s="136">
        <v>2017</v>
      </c>
      <c r="B15" s="137" t="s">
        <v>54</v>
      </c>
      <c r="C15" s="137"/>
      <c r="D15" s="137"/>
      <c r="E15" s="138" t="s">
        <v>55</v>
      </c>
      <c r="F15" s="139" t="s">
        <v>56</v>
      </c>
      <c r="G15" s="140" t="s">
        <v>57</v>
      </c>
      <c r="H15" s="140" t="s">
        <v>58</v>
      </c>
      <c r="I15" s="141" t="s">
        <v>59</v>
      </c>
      <c r="K15" s="155" t="s">
        <v>69</v>
      </c>
    </row>
    <row r="16" spans="1:11">
      <c r="A16" s="142" t="s">
        <v>70</v>
      </c>
      <c r="B16" s="143">
        <f>[55]Input!$N$19+[55]Input!$K$160</f>
        <v>35981326.339999996</v>
      </c>
      <c r="C16" s="143"/>
      <c r="D16" s="143"/>
      <c r="E16" s="144">
        <f>[55]Input!$I$18</f>
        <v>0.10218000000000001</v>
      </c>
      <c r="F16" s="144">
        <f>107.78/1000</f>
        <v>0.10778</v>
      </c>
      <c r="G16" s="145">
        <f>B16*E16</f>
        <v>3676571.9254211998</v>
      </c>
      <c r="H16" s="145">
        <f>B16*F16</f>
        <v>3878067.3529251995</v>
      </c>
      <c r="I16" s="145">
        <f>H16-G16</f>
        <v>201495.42750399979</v>
      </c>
      <c r="J16" t="str">
        <f>IF(I16&lt;0,$K$14,$K$15)</f>
        <v>Payment from IESO</v>
      </c>
    </row>
    <row r="17" spans="1:10">
      <c r="A17" s="142" t="s">
        <v>53</v>
      </c>
      <c r="B17" s="143">
        <f>[56]Input!$N$19+[56]Input!$K$160</f>
        <v>42862231.719999999</v>
      </c>
      <c r="C17" s="143"/>
      <c r="D17" s="143"/>
      <c r="E17" s="144">
        <f>[56]Input!$I$18</f>
        <v>0.12776000000000001</v>
      </c>
      <c r="F17" s="144">
        <f>123.07/1000</f>
        <v>0.12307</v>
      </c>
      <c r="G17" s="145">
        <f>B17*E17</f>
        <v>5476078.7245472008</v>
      </c>
      <c r="H17" s="145">
        <f>B17*F17</f>
        <v>5275054.8577803997</v>
      </c>
      <c r="I17" s="145">
        <f>H17-G17</f>
        <v>-201023.8667668011</v>
      </c>
      <c r="J17" t="str">
        <f>IF(I17&lt;0,$K$14,$K$15)</f>
        <v>payment to IESO</v>
      </c>
    </row>
    <row r="18" spans="1:10">
      <c r="A18" s="142" t="s">
        <v>71</v>
      </c>
      <c r="B18" s="143">
        <f>[57]Input!$N$19+[57]Input!$K$160</f>
        <v>34873658.479999997</v>
      </c>
      <c r="C18" s="156"/>
      <c r="D18" s="156"/>
      <c r="E18" s="157">
        <f>125.63/1000</f>
        <v>0.12562999999999999</v>
      </c>
      <c r="F18" s="144">
        <f>118.48/1000</f>
        <v>0.11848</v>
      </c>
      <c r="G18" s="145">
        <f>B18*E18</f>
        <v>4381177.7148423996</v>
      </c>
      <c r="H18" s="145">
        <f>B18*F18</f>
        <v>4131831.0567103997</v>
      </c>
      <c r="I18" s="145">
        <f>H18-G18</f>
        <v>-249346.65813199989</v>
      </c>
      <c r="J18" t="str">
        <f>IF(I18&lt;0,$K$14,$K$15)</f>
        <v>payment to IESO</v>
      </c>
    </row>
    <row r="19" spans="1:10">
      <c r="A19" s="142" t="s">
        <v>63</v>
      </c>
      <c r="B19" s="146">
        <f>SUM(B16:B18)</f>
        <v>113717216.53999999</v>
      </c>
      <c r="C19" s="146"/>
      <c r="D19" s="146"/>
      <c r="E19" s="147"/>
      <c r="F19" s="147"/>
      <c r="G19" s="145">
        <f>SUM(G16:G18)</f>
        <v>13533828.3648108</v>
      </c>
      <c r="H19" s="145">
        <f>SUM(H16:H18)</f>
        <v>13284953.267415999</v>
      </c>
      <c r="I19" s="145">
        <f>H19-G19</f>
        <v>-248875.09739480168</v>
      </c>
    </row>
    <row r="20" spans="1:10" ht="15.75" thickBot="1">
      <c r="A20" s="122"/>
      <c r="B20" s="148"/>
      <c r="C20" s="148"/>
      <c r="D20" s="148"/>
      <c r="E20" s="153"/>
      <c r="F20" s="153"/>
      <c r="G20" s="150"/>
      <c r="H20" s="151"/>
      <c r="I20" s="154">
        <f>SUM(I16:I18)</f>
        <v>-248875.09739480121</v>
      </c>
    </row>
    <row r="22" spans="1:10" ht="30.75">
      <c r="A22" s="136">
        <v>2017</v>
      </c>
      <c r="B22" s="137" t="s">
        <v>54</v>
      </c>
      <c r="C22" s="137"/>
      <c r="D22" s="137"/>
      <c r="E22" s="138" t="s">
        <v>55</v>
      </c>
      <c r="F22" s="139" t="s">
        <v>56</v>
      </c>
      <c r="G22" s="140" t="s">
        <v>57</v>
      </c>
      <c r="H22" s="140" t="s">
        <v>58</v>
      </c>
      <c r="I22" s="141" t="s">
        <v>59</v>
      </c>
    </row>
    <row r="23" spans="1:10">
      <c r="A23" s="142" t="s">
        <v>72</v>
      </c>
      <c r="B23" s="143">
        <f>[58]Input!$N$19+[58]Input!$K$160</f>
        <v>42291201.659999996</v>
      </c>
      <c r="C23" s="143"/>
      <c r="D23" s="143"/>
      <c r="E23" s="144">
        <f>[58]Input!$I$18</f>
        <v>0.10197000000000001</v>
      </c>
      <c r="F23" s="144">
        <f>112.8/1000</f>
        <v>0.1128</v>
      </c>
      <c r="G23" s="145">
        <f>B23*E23</f>
        <v>4312433.8332701996</v>
      </c>
      <c r="H23" s="145">
        <f>B23*F23</f>
        <v>4770447.5472479993</v>
      </c>
      <c r="I23" s="145">
        <f>H23-G23</f>
        <v>458013.71397779975</v>
      </c>
      <c r="J23" t="str">
        <f>IF(I23&lt;0,$K$14,$K$15)</f>
        <v>Payment from IESO</v>
      </c>
    </row>
    <row r="24" spans="1:10">
      <c r="A24" s="142" t="s">
        <v>73</v>
      </c>
      <c r="B24" s="143">
        <f>[59]Input!$N$19+[59]Input!$K$160</f>
        <v>46053694.589999996</v>
      </c>
      <c r="C24" s="143"/>
      <c r="D24" s="143"/>
      <c r="E24" s="144">
        <f>104.76/1000</f>
        <v>0.10476000000000001</v>
      </c>
      <c r="F24" s="144">
        <f>101.09/1000</f>
        <v>0.10109</v>
      </c>
      <c r="G24" s="145">
        <f>B24*E24</f>
        <v>4824585.0452483995</v>
      </c>
      <c r="H24" s="145">
        <f>B24*F24</f>
        <v>4655567.9861030998</v>
      </c>
      <c r="I24" s="145">
        <f>H24-G24</f>
        <v>-169017.05914529972</v>
      </c>
      <c r="J24" t="str">
        <f>IF(I24&lt;0,$K$14,$K$15)</f>
        <v>payment to IESO</v>
      </c>
    </row>
    <row r="25" spans="1:10">
      <c r="A25" s="142" t="s">
        <v>74</v>
      </c>
      <c r="B25" s="143">
        <f>[60]Input!$N$19+[60]Input!$K$160</f>
        <v>40314060.140000008</v>
      </c>
      <c r="C25" s="143"/>
      <c r="D25" s="143"/>
      <c r="E25" s="144">
        <f>98.95/1000</f>
        <v>9.8949999999999996E-2</v>
      </c>
      <c r="F25" s="144">
        <f>88.64/1000</f>
        <v>8.8639999999999997E-2</v>
      </c>
      <c r="G25" s="145">
        <f>B25*E25</f>
        <v>3989076.2508530007</v>
      </c>
      <c r="H25" s="145">
        <f>B25*F25</f>
        <v>3573438.2908096006</v>
      </c>
      <c r="I25" s="145">
        <f>H25-G25</f>
        <v>-415637.96004340006</v>
      </c>
      <c r="J25" t="str">
        <f>IF(I25&lt;0,$K$14,$K$15)</f>
        <v>payment to IESO</v>
      </c>
    </row>
    <row r="26" spans="1:10">
      <c r="A26" s="142" t="s">
        <v>63</v>
      </c>
      <c r="B26" s="146">
        <f>SUM(B23:B25)</f>
        <v>128658956.39000002</v>
      </c>
      <c r="C26" s="146"/>
      <c r="D26" s="146"/>
      <c r="E26" s="147"/>
      <c r="F26" s="147"/>
      <c r="G26" s="145">
        <f>SUM(G23:G25)</f>
        <v>13126095.1293716</v>
      </c>
      <c r="H26" s="145">
        <f>SUM(H23:H25)</f>
        <v>12999453.824160699</v>
      </c>
      <c r="I26" s="145">
        <f>H26-G26</f>
        <v>-126641.30521090142</v>
      </c>
    </row>
    <row r="27" spans="1:10" ht="15.75" thickBot="1">
      <c r="A27" s="122"/>
      <c r="B27" s="148"/>
      <c r="C27" s="148"/>
      <c r="D27" s="148"/>
      <c r="E27" s="153"/>
      <c r="F27" s="153"/>
      <c r="G27" s="150"/>
      <c r="H27" s="151"/>
      <c r="I27" s="154">
        <f>SUM(I23:I25)</f>
        <v>-126641.30521090003</v>
      </c>
    </row>
    <row r="29" spans="1:10" ht="38.25">
      <c r="A29" s="136">
        <v>2017</v>
      </c>
      <c r="B29" s="137" t="s">
        <v>54</v>
      </c>
      <c r="C29" s="158" t="s">
        <v>75</v>
      </c>
      <c r="D29" s="158" t="s">
        <v>76</v>
      </c>
      <c r="E29" s="138" t="s">
        <v>55</v>
      </c>
      <c r="F29" s="139" t="s">
        <v>56</v>
      </c>
      <c r="G29" s="140" t="s">
        <v>57</v>
      </c>
      <c r="H29" s="140" t="s">
        <v>58</v>
      </c>
      <c r="I29" s="141" t="s">
        <v>59</v>
      </c>
    </row>
    <row r="30" spans="1:10">
      <c r="A30" s="142" t="s">
        <v>60</v>
      </c>
      <c r="B30" s="143">
        <f>[61]Input!$N$19+[61]Input!$K$160</f>
        <v>41825474.409999996</v>
      </c>
      <c r="C30" s="143"/>
      <c r="D30" s="143"/>
      <c r="E30" s="144">
        <f>[61]Input!$I$18</f>
        <v>0.11973</v>
      </c>
      <c r="F30" s="144">
        <f>125.63/1000</f>
        <v>0.12562999999999999</v>
      </c>
      <c r="G30" s="145">
        <f>B30*E30</f>
        <v>5007764.0511093</v>
      </c>
      <c r="H30" s="145">
        <f>B30*F30</f>
        <v>5254534.3501282996</v>
      </c>
      <c r="I30" s="145">
        <f>H30-G30</f>
        <v>246770.29901899956</v>
      </c>
      <c r="J30" t="str">
        <f>IF(I30&lt;0,$K$14,$K$15)</f>
        <v>Payment from IESO</v>
      </c>
    </row>
    <row r="31" spans="1:10">
      <c r="A31" s="142" t="s">
        <v>61</v>
      </c>
      <c r="B31" s="143">
        <f>+[62]Input!$N$19+[62]Input!$K$160</f>
        <v>39696378.059999995</v>
      </c>
      <c r="C31" s="143"/>
      <c r="D31" s="143"/>
      <c r="E31" s="144">
        <f>+[62]Input!$I$18</f>
        <v>9.6689999999999998E-2</v>
      </c>
      <c r="F31" s="144">
        <f>97.04/1000</f>
        <v>9.7040000000000001E-2</v>
      </c>
      <c r="G31" s="145">
        <f>B31*E31</f>
        <v>3838242.7946213996</v>
      </c>
      <c r="H31" s="145">
        <f>B31*F31</f>
        <v>3852136.5269423993</v>
      </c>
      <c r="I31" s="159">
        <f>H31-G31</f>
        <v>13893.732320999727</v>
      </c>
      <c r="J31" t="str">
        <f>IF(I31&lt;0,$K$14,$K$15)</f>
        <v>Payment from IESO</v>
      </c>
    </row>
    <row r="32" spans="1:10">
      <c r="A32" s="142" t="s">
        <v>62</v>
      </c>
      <c r="B32" s="160" t="s">
        <v>77</v>
      </c>
      <c r="C32" s="143"/>
      <c r="D32" s="143"/>
      <c r="E32" s="144"/>
      <c r="F32" s="144"/>
      <c r="G32" s="145"/>
      <c r="H32" s="145"/>
      <c r="I32" s="145"/>
      <c r="J32" t="str">
        <f>IF(I32&lt;0,$K$14,$K$15)</f>
        <v>Payment from IESO</v>
      </c>
    </row>
    <row r="33" spans="1:10">
      <c r="A33" s="142" t="s">
        <v>63</v>
      </c>
      <c r="B33" s="146">
        <f>SUM(B30:B32)</f>
        <v>81521852.469999999</v>
      </c>
      <c r="C33" s="146"/>
      <c r="D33" s="146"/>
      <c r="E33" s="147"/>
      <c r="F33" s="147"/>
      <c r="G33" s="145">
        <f>SUM(G30:G32)</f>
        <v>8846006.8457306996</v>
      </c>
      <c r="H33" s="145">
        <f>SUM(H30:H32)</f>
        <v>9106670.8770706989</v>
      </c>
      <c r="I33" s="145">
        <f>H33-G33</f>
        <v>260664.03133999929</v>
      </c>
    </row>
    <row r="34" spans="1:10" ht="15.75" thickBot="1">
      <c r="A34" s="122"/>
      <c r="B34" s="148"/>
      <c r="C34" s="148"/>
      <c r="D34" s="148"/>
      <c r="E34" s="153"/>
      <c r="F34" s="153"/>
      <c r="G34" s="150"/>
      <c r="H34" s="151"/>
      <c r="I34" s="154">
        <f>SUM(I30:I32)</f>
        <v>260664.03133999929</v>
      </c>
    </row>
    <row r="35" spans="1:10" ht="38.25" hidden="1">
      <c r="A35" s="161">
        <v>2016</v>
      </c>
      <c r="B35" s="162" t="s">
        <v>54</v>
      </c>
      <c r="C35" s="163" t="s">
        <v>75</v>
      </c>
      <c r="D35" s="163" t="s">
        <v>76</v>
      </c>
      <c r="E35" s="164" t="s">
        <v>55</v>
      </c>
      <c r="F35" s="165" t="s">
        <v>56</v>
      </c>
      <c r="G35" s="166" t="s">
        <v>57</v>
      </c>
      <c r="H35" s="166" t="s">
        <v>58</v>
      </c>
      <c r="I35" s="167" t="s">
        <v>59</v>
      </c>
    </row>
    <row r="36" spans="1:10" hidden="1">
      <c r="A36" s="168" t="s">
        <v>62</v>
      </c>
      <c r="B36" s="143">
        <f>+[51]Input!$N$19+[51]Input!$K$160</f>
        <v>38163452.100000001</v>
      </c>
      <c r="C36" s="169">
        <f>'[63]CIS Billed Revenue by Range gro'!$I$3841</f>
        <v>21264463.860000003</v>
      </c>
      <c r="D36" s="169"/>
      <c r="E36" s="170"/>
      <c r="F36" s="171"/>
      <c r="G36" s="172"/>
      <c r="H36" s="172"/>
      <c r="I36" s="173"/>
      <c r="J36" s="174"/>
    </row>
    <row r="37" spans="1:10" ht="18.75">
      <c r="A37" s="175"/>
      <c r="B37" s="176"/>
      <c r="C37" s="176"/>
      <c r="D37" s="176"/>
      <c r="E37" s="177"/>
      <c r="F37" s="178"/>
      <c r="G37" s="179"/>
      <c r="H37" s="179"/>
      <c r="I37" s="180"/>
    </row>
    <row r="38" spans="1:10" ht="131.25">
      <c r="A38" s="161">
        <v>2017</v>
      </c>
      <c r="B38" s="162" t="s">
        <v>54</v>
      </c>
      <c r="C38" s="163" t="s">
        <v>78</v>
      </c>
      <c r="D38" s="163" t="s">
        <v>76</v>
      </c>
      <c r="E38" s="164" t="s">
        <v>55</v>
      </c>
      <c r="F38" s="165" t="s">
        <v>56</v>
      </c>
      <c r="G38" s="166" t="s">
        <v>79</v>
      </c>
      <c r="H38" s="166" t="s">
        <v>80</v>
      </c>
      <c r="I38" s="167" t="s">
        <v>81</v>
      </c>
    </row>
    <row r="39" spans="1:10">
      <c r="A39" s="142" t="s">
        <v>65</v>
      </c>
      <c r="B39" s="143">
        <f>[52]Input!$N$19+[52]Input!$K$160</f>
        <v>46009323.420000002</v>
      </c>
      <c r="C39" s="143">
        <f>'[64]CIS Billed Revenue by Range gro'!$I$5181</f>
        <v>26251504.239999995</v>
      </c>
      <c r="D39" s="181">
        <f>B39+C39-C36</f>
        <v>50996363.799999997</v>
      </c>
      <c r="E39" s="144">
        <f>[52]Input!$I$18</f>
        <v>8.677E-2</v>
      </c>
      <c r="F39" s="144">
        <f>82.27/1000</f>
        <v>8.2269999999999996E-2</v>
      </c>
      <c r="G39" s="145">
        <f>H9</f>
        <v>3785187.0377634</v>
      </c>
      <c r="H39" s="145">
        <f>D39*F39</f>
        <v>4195470.8498259997</v>
      </c>
      <c r="I39" s="145">
        <f t="shared" ref="I39:I51" si="0">H39-G39</f>
        <v>410283.8120625997</v>
      </c>
      <c r="J39" t="str">
        <f>IF(H39&gt;G39,"Payment from IESO","payment to IESO")</f>
        <v>Payment from IESO</v>
      </c>
    </row>
    <row r="40" spans="1:10">
      <c r="A40" s="142" t="s">
        <v>66</v>
      </c>
      <c r="B40" s="143">
        <f>[53]Input!$N$19+[53]Input!$K$160</f>
        <v>41951279.310000002</v>
      </c>
      <c r="C40" s="143">
        <f>'[65]CIS Billed Revenue by Range gro'!$I$4502</f>
        <v>22367555.519999996</v>
      </c>
      <c r="D40" s="181">
        <f t="shared" ref="D40:D48" si="1">B40+C40-C39</f>
        <v>38067330.590000004</v>
      </c>
      <c r="E40" s="144">
        <f>[53]Input!$I$18</f>
        <v>8.43E-2</v>
      </c>
      <c r="F40" s="144">
        <f>86.39/1000</f>
        <v>8.6389999999999995E-2</v>
      </c>
      <c r="G40" s="145">
        <f>H10</f>
        <v>3624171.0195908998</v>
      </c>
      <c r="H40" s="145">
        <f t="shared" ref="H40:H49" si="2">D40*F40</f>
        <v>3288636.6896700999</v>
      </c>
      <c r="I40" s="145">
        <f t="shared" si="0"/>
        <v>-335534.32992079994</v>
      </c>
      <c r="J40" t="str">
        <f t="shared" ref="J40:J50" si="3">IF(H40&gt;G40,"Payment from IESO","payment to IESO")</f>
        <v>payment to IESO</v>
      </c>
    </row>
    <row r="41" spans="1:10">
      <c r="A41" s="142" t="s">
        <v>67</v>
      </c>
      <c r="B41" s="143">
        <f>[54]Input!$N$19+[54]Input!$K$160</f>
        <v>50191187.590000004</v>
      </c>
      <c r="C41" s="143">
        <f>'[66]CIS Billed Revenue by Range gro'!$I$3656</f>
        <v>19720330.319999997</v>
      </c>
      <c r="D41" s="181">
        <f t="shared" si="1"/>
        <v>47543962.390000001</v>
      </c>
      <c r="E41" s="144">
        <f>[54]Input!$I$18</f>
        <v>6.8860000000000005E-2</v>
      </c>
      <c r="F41" s="144">
        <f>71.35/1000</f>
        <v>7.1349999999999997E-2</v>
      </c>
      <c r="G41" s="145">
        <f>H11</f>
        <v>3581141.2345465003</v>
      </c>
      <c r="H41" s="145">
        <f t="shared" si="2"/>
        <v>3392261.7165264999</v>
      </c>
      <c r="I41" s="145">
        <f t="shared" si="0"/>
        <v>-188879.51802000031</v>
      </c>
      <c r="J41" t="str">
        <f t="shared" si="3"/>
        <v>payment to IESO</v>
      </c>
    </row>
    <row r="42" spans="1:10">
      <c r="A42" s="142" t="s">
        <v>70</v>
      </c>
      <c r="B42" s="143">
        <f>[55]Input!$N$19+[55]Input!$K$160</f>
        <v>35981326.339999996</v>
      </c>
      <c r="C42" s="143">
        <f>'[67]CIS Billed Revenue by Range gro'!$I$3259</f>
        <v>23978743.390000015</v>
      </c>
      <c r="D42" s="181">
        <f t="shared" si="1"/>
        <v>40239739.410000011</v>
      </c>
      <c r="E42" s="144">
        <f>[55]Input!$I$18</f>
        <v>0.10218000000000001</v>
      </c>
      <c r="F42" s="144">
        <f>107.78/1000</f>
        <v>0.10778</v>
      </c>
      <c r="G42" s="145">
        <f>H16</f>
        <v>3878067.3529251995</v>
      </c>
      <c r="H42" s="145">
        <f t="shared" si="2"/>
        <v>4337039.113609801</v>
      </c>
      <c r="I42" s="145">
        <f t="shared" si="0"/>
        <v>458971.7606846015</v>
      </c>
      <c r="J42" t="str">
        <f t="shared" si="3"/>
        <v>Payment from IESO</v>
      </c>
    </row>
    <row r="43" spans="1:10">
      <c r="A43" s="142" t="s">
        <v>53</v>
      </c>
      <c r="B43" s="143">
        <f>[56]Input!$N$19+[56]Input!$K$160</f>
        <v>42862231.719999999</v>
      </c>
      <c r="C43" s="143">
        <f>'[68]CIS Billed Revenue by Range gro'!$I$4174</f>
        <v>17285944.309999991</v>
      </c>
      <c r="D43" s="181">
        <f>B43+C43-C42</f>
        <v>36169432.639999971</v>
      </c>
      <c r="E43" s="144">
        <f>[56]Input!$I$18</f>
        <v>0.12776000000000001</v>
      </c>
      <c r="F43" s="144">
        <f>123.07/1000</f>
        <v>0.12307</v>
      </c>
      <c r="G43" s="145">
        <f>H17</f>
        <v>5275054.8577803997</v>
      </c>
      <c r="H43" s="145">
        <f t="shared" si="2"/>
        <v>4451372.0750047965</v>
      </c>
      <c r="I43" s="145">
        <f t="shared" si="0"/>
        <v>-823682.78277560323</v>
      </c>
      <c r="J43" t="str">
        <f t="shared" si="3"/>
        <v>payment to IESO</v>
      </c>
    </row>
    <row r="44" spans="1:10">
      <c r="A44" s="142" t="s">
        <v>71</v>
      </c>
      <c r="B44" s="143">
        <f>[57]Input!$N$19+[57]Input!$K$160</f>
        <v>34873658.479999997</v>
      </c>
      <c r="C44" s="156">
        <f>'[69]CIS Billed Revenue by Range gro'!$I$3452</f>
        <v>23428339.590000011</v>
      </c>
      <c r="D44" s="181">
        <f t="shared" si="1"/>
        <v>41016053.76000002</v>
      </c>
      <c r="E44" s="157">
        <f>125.63/1000</f>
        <v>0.12562999999999999</v>
      </c>
      <c r="F44" s="144">
        <f>118.48/1000</f>
        <v>0.11848</v>
      </c>
      <c r="G44" s="145">
        <f>H18</f>
        <v>4131831.0567103997</v>
      </c>
      <c r="H44" s="145">
        <f t="shared" si="2"/>
        <v>4859582.0494848024</v>
      </c>
      <c r="I44" s="145">
        <f t="shared" si="0"/>
        <v>727750.99277440272</v>
      </c>
      <c r="J44" t="str">
        <f t="shared" si="3"/>
        <v>Payment from IESO</v>
      </c>
    </row>
    <row r="45" spans="1:10">
      <c r="A45" s="142" t="s">
        <v>72</v>
      </c>
      <c r="B45" s="143">
        <f>[58]Input!$N$19+[58]Input!$K$160</f>
        <v>42291201.659999996</v>
      </c>
      <c r="C45" s="143">
        <f>'[70]CIS Billed Revenue by Range gro'!$I$4819</f>
        <v>24789047.840000004</v>
      </c>
      <c r="D45" s="181">
        <f t="shared" si="1"/>
        <v>43651909.909999989</v>
      </c>
      <c r="E45" s="144">
        <f>[58]Input!$I$18</f>
        <v>0.10197000000000001</v>
      </c>
      <c r="F45" s="144">
        <f>112.8/1000</f>
        <v>0.1128</v>
      </c>
      <c r="G45" s="145">
        <f>H23</f>
        <v>4770447.5472479993</v>
      </c>
      <c r="H45" s="145">
        <f>D45*F45</f>
        <v>4923935.4378479989</v>
      </c>
      <c r="I45" s="145">
        <f t="shared" si="0"/>
        <v>153487.89059999958</v>
      </c>
      <c r="J45" t="str">
        <f t="shared" si="3"/>
        <v>Payment from IESO</v>
      </c>
    </row>
    <row r="46" spans="1:10">
      <c r="A46" s="142" t="s">
        <v>73</v>
      </c>
      <c r="B46" s="143">
        <f>[59]Input!$N$19+[59]Input!$K$160</f>
        <v>46053694.589999996</v>
      </c>
      <c r="C46" s="143">
        <f>'[71]CIS Billed Revenue by Range gro'!$I$2869</f>
        <v>20170905.130000006</v>
      </c>
      <c r="D46" s="181">
        <f t="shared" si="1"/>
        <v>41435551.879999995</v>
      </c>
      <c r="E46" s="144">
        <f>104.76/1000</f>
        <v>0.10476000000000001</v>
      </c>
      <c r="F46" s="144">
        <f>101.09/1000</f>
        <v>0.10109</v>
      </c>
      <c r="G46" s="145">
        <f>H24</f>
        <v>4655567.9861030998</v>
      </c>
      <c r="H46" s="145">
        <f t="shared" si="2"/>
        <v>4188719.9395491993</v>
      </c>
      <c r="I46" s="145">
        <f t="shared" si="0"/>
        <v>-466848.04655390047</v>
      </c>
      <c r="J46" t="str">
        <f t="shared" si="3"/>
        <v>payment to IESO</v>
      </c>
    </row>
    <row r="47" spans="1:10">
      <c r="A47" s="142" t="s">
        <v>74</v>
      </c>
      <c r="B47" s="143">
        <f>[60]Input!$N$19+[60]Input!$K$160</f>
        <v>40314060.140000008</v>
      </c>
      <c r="C47" s="143">
        <f>'[72]CIS Billed Revenue by Range gro'!$I$2671</f>
        <v>25962448.679999996</v>
      </c>
      <c r="D47" s="181">
        <f t="shared" si="1"/>
        <v>46105603.689999998</v>
      </c>
      <c r="E47" s="144">
        <f>98.95/1000</f>
        <v>9.8949999999999996E-2</v>
      </c>
      <c r="F47" s="144">
        <f>88.64/1000</f>
        <v>8.8639999999999997E-2</v>
      </c>
      <c r="G47" s="145">
        <f>H25</f>
        <v>3573438.2908096006</v>
      </c>
      <c r="H47" s="145">
        <f t="shared" si="2"/>
        <v>4086800.7110815998</v>
      </c>
      <c r="I47" s="145">
        <f t="shared" si="0"/>
        <v>513362.4202719992</v>
      </c>
      <c r="J47" t="str">
        <f t="shared" si="3"/>
        <v>Payment from IESO</v>
      </c>
    </row>
    <row r="48" spans="1:10">
      <c r="A48" s="142" t="s">
        <v>60</v>
      </c>
      <c r="B48" s="143">
        <f>[61]Input!$N$19+[61]Input!$K$160</f>
        <v>41825474.409999996</v>
      </c>
      <c r="C48" s="143">
        <f>'[73]CIS Billed Revenue by Range gro'!$I$2926</f>
        <v>23337393.079999991</v>
      </c>
      <c r="D48" s="181">
        <f t="shared" si="1"/>
        <v>39200418.809999987</v>
      </c>
      <c r="E48" s="144">
        <f>[61]Input!$I$18</f>
        <v>0.11973</v>
      </c>
      <c r="F48" s="144">
        <f>125.63/1000</f>
        <v>0.12562999999999999</v>
      </c>
      <c r="G48" s="145">
        <f>H30</f>
        <v>5254534.3501282996</v>
      </c>
      <c r="H48" s="145">
        <f t="shared" si="2"/>
        <v>4924748.6151002981</v>
      </c>
      <c r="I48" s="145">
        <f t="shared" si="0"/>
        <v>-329785.73502800148</v>
      </c>
      <c r="J48" t="str">
        <f t="shared" si="3"/>
        <v>payment to IESO</v>
      </c>
    </row>
    <row r="49" spans="1:13">
      <c r="A49" s="142" t="s">
        <v>61</v>
      </c>
      <c r="B49" s="143">
        <f>+[62]Input!$N$19+[62]Input!$K$160</f>
        <v>39696378.059999995</v>
      </c>
      <c r="C49" s="143">
        <f>'[63]CIS Billed Revenue by Range gro'!$I$3841</f>
        <v>21264463.860000003</v>
      </c>
      <c r="D49" s="181">
        <f>B49+C49-C48</f>
        <v>37623448.840000011</v>
      </c>
      <c r="E49" s="144">
        <f>+[62]Input!$I$18</f>
        <v>9.6689999999999998E-2</v>
      </c>
      <c r="F49" s="144">
        <f>97.04/1000</f>
        <v>9.7040000000000001E-2</v>
      </c>
      <c r="G49" s="145">
        <f>H31</f>
        <v>3852136.5269423993</v>
      </c>
      <c r="H49" s="145">
        <f t="shared" si="2"/>
        <v>3650979.4754336011</v>
      </c>
      <c r="I49" s="145">
        <f t="shared" si="0"/>
        <v>-201157.05150879826</v>
      </c>
      <c r="J49" t="str">
        <f t="shared" si="3"/>
        <v>payment to IESO</v>
      </c>
    </row>
    <row r="50" spans="1:13">
      <c r="A50" s="142" t="s">
        <v>62</v>
      </c>
      <c r="B50" s="143">
        <f>+[74]Input!$N$19+[74]Input!$K$160</f>
        <v>41999774.209999993</v>
      </c>
      <c r="C50" s="143">
        <f>'[75]CIS Billed Revenue by Range gro'!$I$3897</f>
        <v>25847467.620000001</v>
      </c>
      <c r="D50" s="181">
        <f>B50+C50-C49</f>
        <v>46582777.969999999</v>
      </c>
      <c r="E50" s="144">
        <f>+[74]Input!$I$18</f>
        <v>9.6689999999999998E-2</v>
      </c>
      <c r="F50" s="144">
        <f>92.07/1000</f>
        <v>9.2069999999999999E-2</v>
      </c>
      <c r="G50" s="182">
        <f>E50*B50</f>
        <v>4060958.1683648992</v>
      </c>
      <c r="H50" s="145">
        <f>D50*F50</f>
        <v>4288876.3676979002</v>
      </c>
      <c r="I50" s="145">
        <f t="shared" si="0"/>
        <v>227918.19933300093</v>
      </c>
      <c r="J50" t="str">
        <f t="shared" si="3"/>
        <v>Payment from IESO</v>
      </c>
    </row>
    <row r="51" spans="1:13">
      <c r="A51" s="142" t="s">
        <v>63</v>
      </c>
      <c r="B51" s="146">
        <f>SUM(B40:B50)</f>
        <v>458040266.50999999</v>
      </c>
      <c r="C51" s="146">
        <f>SUM(C40:C50)</f>
        <v>248152639.34</v>
      </c>
      <c r="D51" s="146">
        <f>SUM(D40:D50)</f>
        <v>457636229.88999999</v>
      </c>
      <c r="E51" s="147"/>
      <c r="F51" s="147"/>
      <c r="G51" s="145">
        <f>SUM(G39:G50)</f>
        <v>50442535.428913102</v>
      </c>
      <c r="H51" s="145">
        <f>SUM(H39:H50)</f>
        <v>50588423.040832601</v>
      </c>
      <c r="I51" s="145">
        <f t="shared" si="0"/>
        <v>145887.61191949993</v>
      </c>
    </row>
    <row r="52" spans="1:13" ht="15.75" thickBot="1">
      <c r="A52" s="122"/>
      <c r="B52" s="148"/>
      <c r="C52" s="148"/>
      <c r="D52" s="148"/>
      <c r="E52" s="153"/>
      <c r="F52" s="153"/>
      <c r="G52" s="150"/>
      <c r="H52" s="151"/>
      <c r="I52" s="183">
        <f>SUM(I39:I50)</f>
        <v>145887.61191949993</v>
      </c>
      <c r="J52" t="str">
        <f>IF(I52&gt;0,"Payment from IESO","payment to IESO")</f>
        <v>Payment from IESO</v>
      </c>
    </row>
    <row r="53" spans="1:13">
      <c r="A53" s="184"/>
      <c r="B53" s="156"/>
      <c r="C53" s="185"/>
      <c r="D53" s="185"/>
      <c r="E53" s="186"/>
      <c r="F53" s="186"/>
      <c r="G53" s="186"/>
      <c r="H53" s="187"/>
    </row>
    <row r="54" spans="1:13">
      <c r="A54" s="184"/>
      <c r="B54" s="188"/>
      <c r="C54" s="153"/>
      <c r="D54" s="153"/>
      <c r="E54" s="186"/>
      <c r="F54" s="186"/>
      <c r="G54" s="186"/>
      <c r="H54" s="187"/>
    </row>
    <row r="55" spans="1:13">
      <c r="A55" s="187"/>
      <c r="B55" s="156"/>
      <c r="C55" s="153"/>
      <c r="D55" s="153"/>
      <c r="E55" s="186"/>
      <c r="F55" s="189"/>
      <c r="G55" s="190"/>
      <c r="H55" s="187"/>
    </row>
    <row r="56" spans="1:13">
      <c r="A56" s="187"/>
      <c r="B56" s="187"/>
      <c r="C56" s="187"/>
      <c r="D56" s="187"/>
      <c r="E56" s="187"/>
      <c r="F56" s="187"/>
      <c r="G56" s="187"/>
      <c r="H56" s="187"/>
    </row>
    <row r="57" spans="1:13" ht="18.75">
      <c r="A57" s="191"/>
      <c r="B57" s="192"/>
      <c r="C57" s="193"/>
      <c r="D57" s="194"/>
      <c r="E57" s="195"/>
      <c r="F57" s="195"/>
      <c r="G57" s="196"/>
      <c r="H57" s="187"/>
    </row>
    <row r="58" spans="1:13">
      <c r="A58" s="184"/>
      <c r="B58" s="156"/>
      <c r="C58" s="185"/>
      <c r="D58" s="185"/>
      <c r="E58" s="186"/>
      <c r="F58" s="186"/>
      <c r="G58" s="186"/>
      <c r="H58" s="187"/>
    </row>
    <row r="59" spans="1:13">
      <c r="A59" s="184"/>
      <c r="B59" s="156"/>
      <c r="C59" s="185"/>
      <c r="D59" s="185"/>
      <c r="E59" s="186"/>
      <c r="F59" s="186"/>
      <c r="G59" s="186"/>
      <c r="H59" s="187"/>
    </row>
    <row r="60" spans="1:13">
      <c r="A60" s="184"/>
      <c r="B60" s="156"/>
      <c r="C60" s="185"/>
      <c r="D60" s="185"/>
      <c r="E60" s="186"/>
      <c r="F60" s="186"/>
      <c r="G60" s="186"/>
      <c r="H60" s="187"/>
    </row>
    <row r="61" spans="1:13">
      <c r="A61" s="184"/>
      <c r="B61" s="188"/>
      <c r="C61" s="153"/>
      <c r="D61" s="153"/>
      <c r="E61" s="186"/>
      <c r="F61" s="186"/>
      <c r="G61" s="186"/>
      <c r="H61" s="187"/>
      <c r="K61" s="197"/>
      <c r="L61" s="190"/>
      <c r="M61" s="187"/>
    </row>
    <row r="62" spans="1:13">
      <c r="A62" s="187"/>
      <c r="B62" s="156"/>
      <c r="C62" s="153"/>
      <c r="D62" s="153"/>
      <c r="E62" s="186"/>
      <c r="F62" s="189"/>
      <c r="G62" s="190"/>
      <c r="H62" s="187"/>
    </row>
    <row r="63" spans="1:13">
      <c r="A63" s="187"/>
      <c r="B63" s="187"/>
      <c r="C63" s="187"/>
      <c r="D63" s="187"/>
      <c r="E63" s="187"/>
      <c r="F63" s="187"/>
      <c r="G63" s="187"/>
      <c r="H63" s="187"/>
    </row>
    <row r="64" spans="1:13" ht="18.75">
      <c r="A64" s="191"/>
      <c r="B64" s="192"/>
      <c r="C64" s="193"/>
      <c r="D64" s="194"/>
      <c r="E64" s="195"/>
      <c r="F64" s="195"/>
      <c r="G64" s="196"/>
      <c r="H64" s="187"/>
    </row>
    <row r="65" spans="1:8">
      <c r="A65" s="184"/>
      <c r="B65" s="156"/>
      <c r="C65" s="185"/>
      <c r="D65" s="185"/>
      <c r="E65" s="186"/>
      <c r="F65" s="186"/>
      <c r="G65" s="186"/>
      <c r="H65" s="187"/>
    </row>
    <row r="66" spans="1:8">
      <c r="A66" s="184"/>
      <c r="B66" s="156"/>
      <c r="C66" s="185"/>
      <c r="D66" s="185"/>
      <c r="E66" s="186"/>
      <c r="F66" s="186"/>
      <c r="G66" s="186"/>
      <c r="H66" s="187"/>
    </row>
    <row r="67" spans="1:8">
      <c r="A67" s="184"/>
      <c r="B67" s="156"/>
      <c r="C67" s="185"/>
      <c r="D67" s="185"/>
      <c r="E67" s="186"/>
      <c r="F67" s="186"/>
      <c r="G67" s="186"/>
      <c r="H67" s="187"/>
    </row>
    <row r="68" spans="1:8">
      <c r="A68" s="184"/>
      <c r="B68" s="188"/>
      <c r="C68" s="153"/>
      <c r="D68" s="153"/>
      <c r="E68" s="186"/>
      <c r="F68" s="186"/>
      <c r="G68" s="186"/>
      <c r="H68" s="187"/>
    </row>
    <row r="69" spans="1:8">
      <c r="A69" s="187"/>
      <c r="B69" s="156"/>
      <c r="C69" s="153"/>
      <c r="D69" s="153"/>
      <c r="E69" s="186"/>
      <c r="F69" s="189"/>
      <c r="G69" s="190"/>
      <c r="H69" s="187"/>
    </row>
    <row r="70" spans="1:8">
      <c r="A70" s="187"/>
      <c r="B70" s="187"/>
      <c r="C70" s="187"/>
      <c r="D70" s="187"/>
      <c r="E70" s="187"/>
      <c r="F70" s="187"/>
      <c r="G70" s="187"/>
      <c r="H70" s="187"/>
    </row>
    <row r="71" spans="1:8" ht="18.75">
      <c r="A71" s="191"/>
      <c r="B71" s="192"/>
      <c r="C71" s="193"/>
      <c r="D71" s="194"/>
      <c r="E71" s="195"/>
      <c r="F71" s="195"/>
      <c r="G71" s="196"/>
      <c r="H71" s="187"/>
    </row>
    <row r="72" spans="1:8">
      <c r="A72" s="184"/>
      <c r="B72" s="156"/>
      <c r="C72" s="185"/>
      <c r="D72" s="185"/>
      <c r="E72" s="186"/>
      <c r="F72" s="186"/>
      <c r="G72" s="186"/>
      <c r="H72" s="187"/>
    </row>
    <row r="73" spans="1:8">
      <c r="A73" s="184"/>
      <c r="B73" s="156"/>
      <c r="C73" s="185"/>
      <c r="D73" s="185"/>
      <c r="E73" s="186"/>
      <c r="F73" s="186"/>
      <c r="G73" s="186"/>
      <c r="H73" s="187"/>
    </row>
    <row r="74" spans="1:8">
      <c r="A74" s="184"/>
      <c r="B74" s="156"/>
      <c r="C74" s="198"/>
      <c r="D74" s="185"/>
      <c r="E74" s="186"/>
      <c r="F74" s="186"/>
      <c r="G74" s="186"/>
      <c r="H74" s="187"/>
    </row>
    <row r="75" spans="1:8">
      <c r="A75" s="184"/>
      <c r="B75" s="188"/>
      <c r="C75" s="153"/>
      <c r="D75" s="153"/>
      <c r="E75" s="186"/>
      <c r="F75" s="186"/>
      <c r="G75" s="186"/>
      <c r="H75" s="187"/>
    </row>
    <row r="76" spans="1:8">
      <c r="A76" s="187"/>
      <c r="B76" s="156"/>
      <c r="C76" s="153"/>
      <c r="D76" s="153"/>
      <c r="E76" s="186"/>
      <c r="F76" s="189"/>
      <c r="G76" s="190"/>
      <c r="H76" s="187"/>
    </row>
    <row r="77" spans="1:8">
      <c r="A77" s="187"/>
      <c r="B77" s="187"/>
      <c r="C77" s="187"/>
      <c r="D77" s="187"/>
      <c r="E77" s="187"/>
      <c r="F77" s="187"/>
      <c r="G77" s="187"/>
      <c r="H77" s="187"/>
    </row>
    <row r="78" spans="1:8" ht="18.75">
      <c r="A78" s="191"/>
      <c r="B78" s="192"/>
      <c r="C78" s="193"/>
      <c r="D78" s="194"/>
      <c r="E78" s="195"/>
      <c r="F78" s="195"/>
      <c r="G78" s="196"/>
      <c r="H78" s="187"/>
    </row>
    <row r="79" spans="1:8">
      <c r="A79" s="184"/>
      <c r="B79" s="156"/>
      <c r="C79" s="185"/>
      <c r="D79" s="185"/>
      <c r="E79" s="186"/>
      <c r="F79" s="186"/>
      <c r="G79" s="186"/>
      <c r="H79" s="187"/>
    </row>
    <row r="80" spans="1:8">
      <c r="A80" s="184"/>
      <c r="B80" s="156"/>
      <c r="C80" s="185"/>
      <c r="D80" s="185"/>
      <c r="E80" s="186"/>
      <c r="F80" s="186"/>
      <c r="G80" s="186"/>
      <c r="H80" s="187"/>
    </row>
    <row r="81" spans="1:13">
      <c r="A81" s="184"/>
      <c r="B81" s="156"/>
      <c r="C81" s="185"/>
      <c r="D81" s="185"/>
      <c r="E81" s="186"/>
      <c r="F81" s="186"/>
      <c r="G81" s="186"/>
      <c r="H81" s="187"/>
    </row>
    <row r="82" spans="1:13" ht="15.75" thickBot="1">
      <c r="A82" s="184"/>
      <c r="B82" s="188"/>
      <c r="C82" s="153"/>
      <c r="D82" s="153"/>
      <c r="E82" s="186"/>
      <c r="F82" s="186"/>
      <c r="G82" s="186"/>
      <c r="H82" s="187"/>
    </row>
    <row r="83" spans="1:13" ht="15.75" thickBot="1">
      <c r="A83" s="187"/>
      <c r="B83" s="156"/>
      <c r="C83" s="153"/>
      <c r="D83" s="153"/>
      <c r="E83" s="186"/>
      <c r="F83" s="189"/>
      <c r="G83" s="190"/>
      <c r="H83" s="187"/>
      <c r="K83" s="199" t="s">
        <v>82</v>
      </c>
      <c r="L83" s="200">
        <f>-G62</f>
        <v>0</v>
      </c>
      <c r="M83" t="str">
        <f>IF(L83&lt;0,$I$14,$I$15)</f>
        <v>True-Up</v>
      </c>
    </row>
  </sheetData>
  <pageMargins left="0.7" right="0.7" top="0.75" bottom="0.75" header="0.3" footer="0.3"/>
  <pageSetup scale="49" orientation="portrait" horizontalDpi="4294967292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S79"/>
  <sheetViews>
    <sheetView topLeftCell="H1" zoomScaleNormal="100" zoomScaleSheetLayoutView="70" workbookViewId="0">
      <selection activeCell="A64" sqref="A1:X64"/>
    </sheetView>
  </sheetViews>
  <sheetFormatPr defaultColWidth="9.140625" defaultRowHeight="15"/>
  <cols>
    <col min="1" max="1" width="2" style="202" customWidth="1"/>
    <col min="2" max="2" width="10.140625" style="202" customWidth="1"/>
    <col min="3" max="3" width="20.140625" style="202" bestFit="1" customWidth="1"/>
    <col min="4" max="4" width="20.5703125" style="202" customWidth="1"/>
    <col min="5" max="5" width="20.140625" style="202" bestFit="1" customWidth="1"/>
    <col min="6" max="6" width="20" style="202" customWidth="1"/>
    <col min="7" max="7" width="18.7109375" style="202" customWidth="1"/>
    <col min="8" max="8" width="21.28515625" style="202" bestFit="1" customWidth="1"/>
    <col min="9" max="9" width="16" style="202" bestFit="1" customWidth="1"/>
    <col min="10" max="11" width="15.5703125" style="202" customWidth="1"/>
    <col min="12" max="12" width="16.7109375" style="202" bestFit="1" customWidth="1"/>
    <col min="13" max="13" width="19.42578125" style="202" bestFit="1" customWidth="1"/>
    <col min="14" max="14" width="20.140625" style="202" bestFit="1" customWidth="1"/>
    <col min="15" max="16384" width="9.140625" style="202"/>
  </cols>
  <sheetData>
    <row r="1" spans="2:19" ht="15.75">
      <c r="H1" s="242" t="s">
        <v>123</v>
      </c>
      <c r="I1" s="217" t="s">
        <v>98</v>
      </c>
    </row>
    <row r="2" spans="2:19" ht="25.5" customHeight="1">
      <c r="B2" s="271" t="s">
        <v>99</v>
      </c>
      <c r="C2" s="271"/>
      <c r="D2" s="271"/>
      <c r="E2" s="271"/>
      <c r="F2" s="271"/>
      <c r="G2" s="271"/>
      <c r="H2" s="243"/>
      <c r="I2" s="218"/>
    </row>
    <row r="3" spans="2:19" ht="63">
      <c r="B3" s="272" t="s">
        <v>83</v>
      </c>
      <c r="C3" s="219" t="s">
        <v>100</v>
      </c>
      <c r="D3" s="219" t="s">
        <v>101</v>
      </c>
      <c r="E3" s="219" t="s">
        <v>102</v>
      </c>
      <c r="F3" s="219" t="s">
        <v>103</v>
      </c>
      <c r="G3" s="219" t="s">
        <v>104</v>
      </c>
      <c r="H3" s="244"/>
      <c r="I3" s="245"/>
      <c r="J3" s="220"/>
      <c r="K3" s="220"/>
      <c r="L3" s="220"/>
      <c r="M3" s="220"/>
      <c r="N3" s="220"/>
      <c r="O3" s="220"/>
      <c r="P3" s="220"/>
      <c r="Q3" s="220"/>
      <c r="R3" s="220"/>
      <c r="S3" s="220"/>
    </row>
    <row r="4" spans="2:19" ht="15.75">
      <c r="B4" s="273"/>
      <c r="C4" s="219" t="s">
        <v>32</v>
      </c>
      <c r="D4" s="219" t="s">
        <v>33</v>
      </c>
      <c r="E4" s="219" t="s">
        <v>34</v>
      </c>
      <c r="F4" s="219" t="s">
        <v>105</v>
      </c>
      <c r="G4" s="219" t="s">
        <v>106</v>
      </c>
      <c r="H4" s="244"/>
      <c r="I4" s="246"/>
    </row>
    <row r="5" spans="2:19" hidden="1">
      <c r="B5" s="205">
        <v>42370</v>
      </c>
      <c r="C5" s="215">
        <f>'[76]Jan 2016_CNF-GUELPHHYDRO_ST-P-P'!$X$26</f>
        <v>9.2020185701217574E-2</v>
      </c>
      <c r="D5" s="215">
        <f t="shared" ref="D5:D16" si="0">I36</f>
        <v>9.179530161323915E-2</v>
      </c>
      <c r="E5" s="215">
        <v>9.1789999999999997E-2</v>
      </c>
      <c r="F5" s="215">
        <f t="shared" ref="F5:F28" si="1">C5-E5</f>
        <v>2.3018570121757786E-4</v>
      </c>
      <c r="G5" s="215">
        <f>D5-E5</f>
        <v>5.3016132391531245E-6</v>
      </c>
      <c r="H5" s="247"/>
      <c r="I5" s="227"/>
    </row>
    <row r="6" spans="2:19" hidden="1">
      <c r="B6" s="205">
        <v>42401</v>
      </c>
      <c r="C6" s="215">
        <f>'[77]CNF-GUELPHHYDRO_ST-P-P_20160229'!$X$29</f>
        <v>9.8881172659946295E-2</v>
      </c>
      <c r="D6" s="215">
        <f t="shared" si="0"/>
        <v>9.8514453181481873E-2</v>
      </c>
      <c r="E6" s="215">
        <v>9.851E-2</v>
      </c>
      <c r="F6" s="215">
        <f t="shared" si="1"/>
        <v>3.71172659946295E-4</v>
      </c>
      <c r="G6" s="215">
        <f t="shared" ref="G6:G28" si="2">D6-E6</f>
        <v>4.4531814818726811E-6</v>
      </c>
      <c r="H6" s="247"/>
      <c r="I6" s="227"/>
    </row>
    <row r="7" spans="2:19" hidden="1">
      <c r="B7" s="205">
        <v>42430</v>
      </c>
      <c r="C7" s="215">
        <f>'[78]CNF-GUELPHHYDRO_ST-P-P_20160331'!$X$26</f>
        <v>0.10674920898216179</v>
      </c>
      <c r="D7" s="215">
        <f t="shared" si="0"/>
        <v>0.10609308915487416</v>
      </c>
      <c r="E7" s="215">
        <v>0.1061</v>
      </c>
      <c r="F7" s="215">
        <f t="shared" si="1"/>
        <v>6.4920898216179468E-4</v>
      </c>
      <c r="G7" s="215">
        <f t="shared" si="2"/>
        <v>-6.910845125843168E-6</v>
      </c>
      <c r="H7" s="247"/>
      <c r="I7" s="227"/>
    </row>
    <row r="8" spans="2:19" hidden="1">
      <c r="B8" s="205">
        <v>42461</v>
      </c>
      <c r="C8" s="215">
        <f>'[79]CNF-GUELPHHYDRO_ST-P-P_20160430'!$X$26</f>
        <v>0.11239744760358679</v>
      </c>
      <c r="D8" s="215">
        <f t="shared" si="0"/>
        <v>0.1113269189575269</v>
      </c>
      <c r="E8" s="215">
        <v>0.11132</v>
      </c>
      <c r="F8" s="215">
        <f t="shared" si="1"/>
        <v>1.0774476035867869E-3</v>
      </c>
      <c r="G8" s="215">
        <f t="shared" si="2"/>
        <v>6.9189575268996384E-6</v>
      </c>
      <c r="H8" s="247"/>
      <c r="I8" s="227"/>
    </row>
    <row r="9" spans="2:19" hidden="1">
      <c r="B9" s="205">
        <v>42491</v>
      </c>
      <c r="C9" s="215">
        <f>'[80]CNF-GUELPHHYDRO_ST-P-P_20160531'!$X$26</f>
        <v>0.10901059847286008</v>
      </c>
      <c r="D9" s="215">
        <f t="shared" si="0"/>
        <v>0.10748673519859221</v>
      </c>
      <c r="E9" s="215">
        <v>0.10749</v>
      </c>
      <c r="F9" s="215">
        <f t="shared" si="1"/>
        <v>1.5205984728600824E-3</v>
      </c>
      <c r="G9" s="215">
        <f t="shared" si="2"/>
        <v>-3.2648014077901744E-6</v>
      </c>
      <c r="H9" s="247"/>
      <c r="I9" s="227"/>
    </row>
    <row r="10" spans="2:19" hidden="1">
      <c r="B10" s="205">
        <v>42522</v>
      </c>
      <c r="C10" s="215">
        <f>'[81]CNF-GUELPHHYDRO_ST-P-P_20160630'!$X$23</f>
        <v>9.7030846134448859E-2</v>
      </c>
      <c r="D10" s="215">
        <f t="shared" si="0"/>
        <v>9.5455555642012843E-2</v>
      </c>
      <c r="E10" s="215">
        <v>9.5449999999999993E-2</v>
      </c>
      <c r="F10" s="215">
        <f t="shared" si="1"/>
        <v>1.5808461344488656E-3</v>
      </c>
      <c r="G10" s="215">
        <f t="shared" si="2"/>
        <v>5.5556420128499706E-6</v>
      </c>
      <c r="H10" s="247"/>
      <c r="I10" s="227"/>
    </row>
    <row r="11" spans="2:19" hidden="1">
      <c r="B11" s="205">
        <v>42552</v>
      </c>
      <c r="C11" s="215">
        <f>'[82]CNF-GUELPHHYDRO_ST-P-P_20160731'!$X$28</f>
        <v>8.4503900442052138E-2</v>
      </c>
      <c r="D11" s="215">
        <f t="shared" si="0"/>
        <v>8.3058822840268082E-2</v>
      </c>
      <c r="E11" s="215">
        <v>8.3059999999999995E-2</v>
      </c>
      <c r="F11" s="215">
        <f t="shared" si="1"/>
        <v>1.4439004420521429E-3</v>
      </c>
      <c r="G11" s="215">
        <f t="shared" si="2"/>
        <v>-1.1771597319132354E-6</v>
      </c>
      <c r="H11" s="247"/>
      <c r="I11" s="227"/>
    </row>
    <row r="12" spans="2:19" hidden="1">
      <c r="B12" s="205">
        <v>42583</v>
      </c>
      <c r="C12" s="215">
        <f>'[83]CNF-GUELPHHYDRO_ST-P-P_20160831'!$X$22</f>
        <v>7.2083864483660026E-2</v>
      </c>
      <c r="D12" s="215">
        <f t="shared" si="0"/>
        <v>7.1031563800019251E-2</v>
      </c>
      <c r="E12" s="215">
        <v>7.1029999999999996E-2</v>
      </c>
      <c r="F12" s="215">
        <f t="shared" si="1"/>
        <v>1.0538644836600303E-3</v>
      </c>
      <c r="G12" s="215">
        <f t="shared" si="2"/>
        <v>1.5638000192552681E-6</v>
      </c>
      <c r="H12" s="247"/>
      <c r="I12" s="227"/>
    </row>
    <row r="13" spans="2:19" hidden="1">
      <c r="B13" s="205">
        <v>42614</v>
      </c>
      <c r="C13" s="215">
        <f>'[84]CNF-GUELPHHYDRO_ST-P-P_20160930'!$X$30</f>
        <v>9.6737940988535331E-2</v>
      </c>
      <c r="D13" s="215">
        <f t="shared" si="0"/>
        <v>9.530287275227961E-2</v>
      </c>
      <c r="E13" s="215">
        <v>9.5310000000000006E-2</v>
      </c>
      <c r="F13" s="215">
        <f t="shared" si="1"/>
        <v>1.4279409885353256E-3</v>
      </c>
      <c r="G13" s="215">
        <f t="shared" si="2"/>
        <v>-7.1272477203954132E-6</v>
      </c>
      <c r="H13" s="247"/>
      <c r="I13" s="227"/>
    </row>
    <row r="14" spans="2:19" hidden="1">
      <c r="B14" s="205">
        <v>42644</v>
      </c>
      <c r="C14" s="215">
        <f>'[85]CNF-GUELPHHYDRO_ST-P-P_20161031'!$X$20</f>
        <v>0.11370472816756631</v>
      </c>
      <c r="D14" s="215">
        <f t="shared" si="0"/>
        <v>0.11226123121991324</v>
      </c>
      <c r="E14" s="215">
        <v>0.11226</v>
      </c>
      <c r="F14" s="215">
        <f t="shared" si="1"/>
        <v>1.4447281675663143E-3</v>
      </c>
      <c r="G14" s="215">
        <f t="shared" si="2"/>
        <v>1.2312199132447077E-6</v>
      </c>
      <c r="H14" s="247"/>
      <c r="I14" s="227"/>
    </row>
    <row r="15" spans="2:19" hidden="1">
      <c r="B15" s="205">
        <v>42675</v>
      </c>
      <c r="C15" s="215">
        <f>'[86]CNF-GUELPHHYDRO_ST-P-P_20161130'!$X$25</f>
        <v>0.1121163126961354</v>
      </c>
      <c r="D15" s="215">
        <f t="shared" si="0"/>
        <v>0.1110954550431961</v>
      </c>
      <c r="E15" s="215">
        <v>0.11108999999999999</v>
      </c>
      <c r="F15" s="215">
        <f t="shared" si="1"/>
        <v>1.0263126961354008E-3</v>
      </c>
      <c r="G15" s="215">
        <f t="shared" si="2"/>
        <v>5.455043196100906E-6</v>
      </c>
      <c r="H15" s="247"/>
      <c r="I15" s="227"/>
    </row>
    <row r="16" spans="2:19" hidden="1">
      <c r="B16" s="205">
        <v>42705</v>
      </c>
      <c r="C16" s="215">
        <f>'[87]CNF-GUELPHHYDRO_ST-P-P_20161231'!$X$20</f>
        <v>8.7595358220541319E-2</v>
      </c>
      <c r="D16" s="215">
        <f t="shared" si="0"/>
        <v>8.70784251552469E-2</v>
      </c>
      <c r="E16" s="215">
        <v>8.7080000000000005E-2</v>
      </c>
      <c r="F16" s="215">
        <f t="shared" si="1"/>
        <v>5.1535822054131486E-4</v>
      </c>
      <c r="G16" s="215">
        <f t="shared" si="2"/>
        <v>-1.5748447531049869E-6</v>
      </c>
      <c r="H16" s="247"/>
      <c r="I16" s="227"/>
    </row>
    <row r="17" spans="2:9">
      <c r="B17" s="205">
        <v>42736</v>
      </c>
      <c r="C17" s="215">
        <f>'[88]CNF-GUELPHHYDRO_ST-P-P_20170131'!$X$22</f>
        <v>8.2376774879492062E-2</v>
      </c>
      <c r="D17" s="215">
        <f t="shared" ref="D17:D28" si="3">I50</f>
        <v>8.228427455265809E-2</v>
      </c>
      <c r="E17" s="215">
        <v>8.2269999999999996E-2</v>
      </c>
      <c r="F17" s="215">
        <f t="shared" si="1"/>
        <v>1.0677487949206643E-4</v>
      </c>
      <c r="G17" s="215">
        <f t="shared" si="2"/>
        <v>1.4274552658094519E-5</v>
      </c>
      <c r="H17" s="248"/>
      <c r="I17" s="227"/>
    </row>
    <row r="18" spans="2:9">
      <c r="B18" s="205">
        <v>42767</v>
      </c>
      <c r="C18" s="215">
        <f>'[89]CNF-GUELPHHYDRO_ST-P-P_20170228'!$X$25</f>
        <v>8.6584582522026929E-2</v>
      </c>
      <c r="D18" s="215">
        <f t="shared" si="3"/>
        <v>8.6391153652060793E-2</v>
      </c>
      <c r="E18" s="215">
        <v>8.6389999999999995E-2</v>
      </c>
      <c r="F18" s="215">
        <f t="shared" si="1"/>
        <v>1.9458252202693427E-4</v>
      </c>
      <c r="G18" s="215">
        <f t="shared" si="2"/>
        <v>1.1536520607979828E-6</v>
      </c>
      <c r="H18" s="248"/>
      <c r="I18" s="227"/>
    </row>
    <row r="19" spans="2:9">
      <c r="B19" s="205">
        <v>42795</v>
      </c>
      <c r="C19" s="215">
        <f>'[90]CNF-GUELPHHYDRO_ST-P-P_20170331'!$X$29</f>
        <v>7.1869313656790543E-2</v>
      </c>
      <c r="D19" s="215">
        <f t="shared" si="3"/>
        <v>7.1348230925009429E-2</v>
      </c>
      <c r="E19" s="215">
        <v>7.1349999999999997E-2</v>
      </c>
      <c r="F19" s="215">
        <f t="shared" si="1"/>
        <v>5.1931365679054597E-4</v>
      </c>
      <c r="G19" s="215">
        <f t="shared" si="2"/>
        <v>-1.7690749905679981E-6</v>
      </c>
      <c r="H19" s="248"/>
      <c r="I19" s="227"/>
    </row>
    <row r="20" spans="2:9">
      <c r="B20" s="205">
        <v>42826</v>
      </c>
      <c r="C20" s="215">
        <f>'[91]CNF-GUELPHHYDRO_ST-P-P_20170430'!$X$34</f>
        <v>0.10917592243405685</v>
      </c>
      <c r="D20" s="215">
        <f t="shared" si="3"/>
        <v>0.10778874594551888</v>
      </c>
      <c r="E20" s="215">
        <v>0.10778</v>
      </c>
      <c r="F20" s="215">
        <f t="shared" si="1"/>
        <v>1.3959224340568538E-3</v>
      </c>
      <c r="G20" s="215">
        <f t="shared" si="2"/>
        <v>8.7459455188759749E-6</v>
      </c>
      <c r="H20" s="248"/>
      <c r="I20" s="227"/>
    </row>
    <row r="21" spans="2:9">
      <c r="B21" s="205">
        <v>42856</v>
      </c>
      <c r="C21" s="215">
        <f>'[92]CNF-GUELPHHYDRO_ST-P-P_20170531'!$X$32</f>
        <v>0.12492496682475766</v>
      </c>
      <c r="D21" s="215">
        <f t="shared" si="3"/>
        <v>0.12305492862110221</v>
      </c>
      <c r="E21" s="215">
        <v>0.12307</v>
      </c>
      <c r="F21" s="215">
        <f t="shared" si="1"/>
        <v>1.8549668247576645E-3</v>
      </c>
      <c r="G21" s="215">
        <f t="shared" si="2"/>
        <v>-1.507137889779353E-5</v>
      </c>
      <c r="H21" s="248"/>
      <c r="I21" s="227"/>
    </row>
    <row r="22" spans="2:9">
      <c r="B22" s="205">
        <v>42887</v>
      </c>
      <c r="C22" s="215">
        <f>16083898.42/'[93]CNF-GUELPHHYDRO_ST-P-P_20170630'!$X$38/1000</f>
        <v>0.11818068503641883</v>
      </c>
      <c r="D22" s="215">
        <f t="shared" si="3"/>
        <v>0.11818068503641883</v>
      </c>
      <c r="E22" s="215">
        <v>0.11848</v>
      </c>
      <c r="F22" s="223">
        <f t="shared" si="1"/>
        <v>-2.9931496358116816E-4</v>
      </c>
      <c r="G22" s="224">
        <f t="shared" si="2"/>
        <v>-2.9931496358116816E-4</v>
      </c>
      <c r="H22" s="248"/>
      <c r="I22" s="227"/>
    </row>
    <row r="23" spans="2:9">
      <c r="B23" s="205">
        <v>42917</v>
      </c>
      <c r="C23" s="225">
        <f>5268377.21/'[94]CNF-GUELPHHYDRO_ST-P-P_20170731'!$X$39/1000</f>
        <v>7.0014447618982179E-2</v>
      </c>
      <c r="D23" s="225">
        <f t="shared" si="3"/>
        <v>6.8276679259580766E-2</v>
      </c>
      <c r="E23" s="225">
        <v>0.1128</v>
      </c>
      <c r="F23" s="225">
        <f t="shared" si="1"/>
        <v>-4.2785552381017819E-2</v>
      </c>
      <c r="G23" s="225">
        <f t="shared" si="2"/>
        <v>-4.4523320740419231E-2</v>
      </c>
      <c r="H23" s="248"/>
      <c r="I23" s="227"/>
    </row>
    <row r="24" spans="2:9">
      <c r="B24" s="205">
        <v>42948</v>
      </c>
      <c r="C24" s="215">
        <f>F57/'[95]CNF-GUELPHHYDRO_ST-P-P_20170831'!$X$38/1000</f>
        <v>0.10362278141522603</v>
      </c>
      <c r="D24" s="215">
        <f t="shared" si="3"/>
        <v>0.10116332616275628</v>
      </c>
      <c r="E24" s="215">
        <v>0.10109</v>
      </c>
      <c r="F24" s="215">
        <f t="shared" si="1"/>
        <v>2.532781415226032E-3</v>
      </c>
      <c r="G24" s="215">
        <f t="shared" si="2"/>
        <v>7.3326162756279234E-5</v>
      </c>
      <c r="H24" s="248"/>
      <c r="I24" s="227"/>
    </row>
    <row r="25" spans="2:9">
      <c r="B25" s="205">
        <v>42979</v>
      </c>
      <c r="C25" s="215">
        <f>F58/'[96]CNF-GUELPHHYDRO_ST-P-P_20170930'!$X$40/1000</f>
        <v>9.1269453010512286E-2</v>
      </c>
      <c r="D25" s="215">
        <f t="shared" si="3"/>
        <v>8.9177070243318141E-2</v>
      </c>
      <c r="E25" s="215">
        <v>8.8639999999999997E-2</v>
      </c>
      <c r="F25" s="223">
        <f t="shared" si="1"/>
        <v>2.6294530105122893E-3</v>
      </c>
      <c r="G25" s="224">
        <f t="shared" si="2"/>
        <v>5.3707024331814401E-4</v>
      </c>
      <c r="H25" s="248"/>
      <c r="I25" s="227"/>
    </row>
    <row r="26" spans="2:9">
      <c r="B26" s="205">
        <v>43009</v>
      </c>
      <c r="C26" s="215">
        <f>F59/'[97]CNF-GUELPHHYDRO_ST-P-P_20171031'!$X$40/1000</f>
        <v>0.12887790613554417</v>
      </c>
      <c r="D26" s="215">
        <f t="shared" si="3"/>
        <v>0.12604042236664909</v>
      </c>
      <c r="E26" s="215">
        <v>0.12562999999999999</v>
      </c>
      <c r="F26" s="215">
        <f t="shared" si="1"/>
        <v>3.2479061355441818E-3</v>
      </c>
      <c r="G26" s="224">
        <f t="shared" si="2"/>
        <v>4.104223666490936E-4</v>
      </c>
      <c r="H26" s="248"/>
      <c r="I26" s="227"/>
    </row>
    <row r="27" spans="2:9">
      <c r="B27" s="205">
        <v>43040</v>
      </c>
      <c r="C27" s="215">
        <f>F60/'[98]CNF-GUELPHHYDRO_ST-P-P_20171130'!$X$42/1000</f>
        <v>9.8736016839583954E-2</v>
      </c>
      <c r="D27" s="215">
        <f t="shared" si="3"/>
        <v>9.7467874727374892E-2</v>
      </c>
      <c r="E27" s="215">
        <v>9.7040000000000001E-2</v>
      </c>
      <c r="F27" s="215">
        <f t="shared" si="1"/>
        <v>1.6960168395839526E-3</v>
      </c>
      <c r="G27" s="224">
        <f t="shared" si="2"/>
        <v>4.2787472737489118E-4</v>
      </c>
      <c r="H27" s="248"/>
      <c r="I27" s="227"/>
    </row>
    <row r="28" spans="2:9">
      <c r="B28" s="205">
        <v>43070</v>
      </c>
      <c r="C28" s="215">
        <f>F61/'[99]CNF-GUELPHHYDRO_ST-P-P_20171231'!$X$42/1000</f>
        <v>9.2725575941288302E-2</v>
      </c>
      <c r="D28" s="215">
        <f t="shared" si="3"/>
        <v>9.2155579835329321E-2</v>
      </c>
      <c r="E28" s="215">
        <v>9.2069999999999999E-2</v>
      </c>
      <c r="F28" s="215">
        <f t="shared" si="1"/>
        <v>6.5557594128830277E-4</v>
      </c>
      <c r="G28" s="215">
        <f t="shared" si="2"/>
        <v>8.5579835329321896E-5</v>
      </c>
      <c r="H28" s="248"/>
      <c r="I28" s="227"/>
    </row>
    <row r="29" spans="2:9">
      <c r="B29" s="226"/>
      <c r="C29" s="222"/>
      <c r="D29" s="222"/>
      <c r="E29" s="222"/>
      <c r="F29" s="222"/>
      <c r="G29" s="222"/>
      <c r="H29" s="248"/>
      <c r="I29" s="227"/>
    </row>
    <row r="30" spans="2:9">
      <c r="B30" s="226"/>
      <c r="C30" s="222"/>
      <c r="D30" s="222"/>
      <c r="E30" s="222"/>
      <c r="F30" s="222"/>
      <c r="G30" s="222"/>
      <c r="H30" s="247"/>
      <c r="I30" s="245"/>
    </row>
    <row r="33" spans="2:11" ht="20.25">
      <c r="B33" s="274" t="s">
        <v>107</v>
      </c>
      <c r="C33" s="275"/>
      <c r="D33" s="275"/>
      <c r="E33" s="275"/>
      <c r="F33" s="275"/>
      <c r="G33" s="275"/>
      <c r="H33" s="275"/>
      <c r="I33" s="275"/>
      <c r="J33" s="276"/>
    </row>
    <row r="34" spans="2:11" ht="47.25">
      <c r="B34" s="272" t="s">
        <v>83</v>
      </c>
      <c r="C34" s="219" t="s">
        <v>108</v>
      </c>
      <c r="D34" s="219" t="s">
        <v>109</v>
      </c>
      <c r="E34" s="219" t="s">
        <v>110</v>
      </c>
      <c r="F34" s="219" t="s">
        <v>111</v>
      </c>
      <c r="G34" s="219" t="s">
        <v>112</v>
      </c>
      <c r="H34" s="219" t="s">
        <v>113</v>
      </c>
      <c r="I34" s="219" t="s">
        <v>114</v>
      </c>
      <c r="J34" s="219" t="s">
        <v>115</v>
      </c>
    </row>
    <row r="35" spans="2:11" ht="15.75">
      <c r="B35" s="273"/>
      <c r="C35" s="228" t="s">
        <v>32</v>
      </c>
      <c r="D35" s="228" t="s">
        <v>33</v>
      </c>
      <c r="E35" s="228" t="s">
        <v>116</v>
      </c>
      <c r="F35" s="228" t="s">
        <v>117</v>
      </c>
      <c r="G35" s="228" t="s">
        <v>118</v>
      </c>
      <c r="H35" s="228" t="s">
        <v>37</v>
      </c>
      <c r="I35" s="228" t="s">
        <v>119</v>
      </c>
      <c r="J35" s="228" t="s">
        <v>120</v>
      </c>
    </row>
    <row r="36" spans="2:11" hidden="1">
      <c r="B36" s="205">
        <v>42370</v>
      </c>
      <c r="C36" s="206">
        <f>-'[76]Jan 2016_CNF-GUELPHHYDRO_ST-P-P'!$F$39</f>
        <v>10441315.59</v>
      </c>
      <c r="D36" s="208"/>
      <c r="E36" s="209">
        <f>C36+D36</f>
        <v>10441315.59</v>
      </c>
      <c r="F36" s="229">
        <v>10441541.789999999</v>
      </c>
      <c r="G36" s="229">
        <f>F36-E36</f>
        <v>226.19999999925494</v>
      </c>
      <c r="H36" s="207">
        <f>'[76]Jan 2016_CNF-GUELPHHYDRO_ST-P-P'!$X$39+'[76]Jan 2016_CNF-GUELPHHYDRO_ST-P-P'!$Y$39</f>
        <v>113748.107</v>
      </c>
      <c r="I36" s="215">
        <f t="shared" ref="I36:I47" si="4">F36/H36/1000</f>
        <v>9.179530161323915E-2</v>
      </c>
      <c r="J36" s="215">
        <f t="shared" ref="J36:J47" si="5">E36/H36/1000</f>
        <v>9.1793313008716709E-2</v>
      </c>
      <c r="K36" s="230"/>
    </row>
    <row r="37" spans="2:11" hidden="1">
      <c r="B37" s="205">
        <v>42401</v>
      </c>
      <c r="C37" s="206">
        <f>-'[77]CNF-GUELPHHYDRO_ST-P-P_20160229'!$F$40</f>
        <v>10470843.470000001</v>
      </c>
      <c r="D37" s="206">
        <f>-'[77]CNF-GUELPHHYDRO_ST-P-P_20160229'!$F$318</f>
        <v>-1533.44</v>
      </c>
      <c r="E37" s="209">
        <f t="shared" ref="E37:E47" si="6">C37+D37</f>
        <v>10469310.030000001</v>
      </c>
      <c r="F37" s="229">
        <v>10469839.16</v>
      </c>
      <c r="G37" s="229">
        <f t="shared" ref="G37:G47" si="7">F37-E37</f>
        <v>529.12999999895692</v>
      </c>
      <c r="H37" s="207">
        <f>'[77]CNF-GUELPHHYDRO_ST-P-P_20160229'!$X$40+'[77]CNF-GUELPHHYDRO_ST-P-P_20160229'!$Y$40</f>
        <v>106277.189</v>
      </c>
      <c r="I37" s="215">
        <f t="shared" si="4"/>
        <v>9.8514453181481873E-2</v>
      </c>
      <c r="J37" s="215">
        <f t="shared" si="5"/>
        <v>9.8509474408473491E-2</v>
      </c>
    </row>
    <row r="38" spans="2:11" hidden="1">
      <c r="B38" s="205">
        <v>42430</v>
      </c>
      <c r="C38" s="206">
        <f>-'[78]CNF-GUELPHHYDRO_ST-P-P_20160331'!$F$38</f>
        <v>11339067.49</v>
      </c>
      <c r="D38" s="206">
        <f>-'[78]CNF-GUELPHHYDRO_ST-P-P_20160331'!$F$303</f>
        <v>9031.4</v>
      </c>
      <c r="E38" s="209">
        <f t="shared" si="6"/>
        <v>11348098.890000001</v>
      </c>
      <c r="F38" s="229">
        <v>11348831.43</v>
      </c>
      <c r="G38" s="229">
        <f t="shared" si="7"/>
        <v>732.53999999910593</v>
      </c>
      <c r="H38" s="207">
        <f>'[78]CNF-GUELPHHYDRO_ST-P-P_20160331'!$X$38+'[78]CNF-GUELPHHYDRO_ST-P-P_20160331'!$Y$38</f>
        <v>106970.50599999999</v>
      </c>
      <c r="I38" s="215">
        <f t="shared" si="4"/>
        <v>0.10609308915487416</v>
      </c>
      <c r="J38" s="215">
        <f t="shared" si="5"/>
        <v>0.10608624109901847</v>
      </c>
    </row>
    <row r="39" spans="2:11" hidden="1">
      <c r="B39" s="205">
        <v>42461</v>
      </c>
      <c r="C39" s="206">
        <f>-'[79]CNF-GUELPHHYDRO_ST-P-P_20160430'!$F$39</f>
        <v>11165570.77</v>
      </c>
      <c r="D39" s="206"/>
      <c r="E39" s="209">
        <f t="shared" si="6"/>
        <v>11165570.77</v>
      </c>
      <c r="F39" s="229">
        <v>11168105.1</v>
      </c>
      <c r="G39" s="229">
        <f t="shared" si="7"/>
        <v>2534.3300000000745</v>
      </c>
      <c r="H39" s="207">
        <f>'[79]CNF-GUELPHHYDRO_ST-P-P_20160430'!$X$39+'[79]CNF-GUELPHHYDRO_ST-P-P_20160430'!$Y$39</f>
        <v>100318.10100000001</v>
      </c>
      <c r="I39" s="215">
        <f t="shared" si="4"/>
        <v>0.1113269189575269</v>
      </c>
      <c r="J39" s="215">
        <f t="shared" si="5"/>
        <v>0.1113016560191864</v>
      </c>
    </row>
    <row r="40" spans="2:11" hidden="1">
      <c r="B40" s="205">
        <v>42491</v>
      </c>
      <c r="C40" s="206">
        <f>-'[80]CNF-GUELPHHYDRO_ST-P-P_20160531'!$F$40</f>
        <v>10828737.93</v>
      </c>
      <c r="D40" s="206">
        <f>-'[80]CNF-GUELPHHYDRO_ST-P-P_20160531'!$F$368</f>
        <v>-12734.98</v>
      </c>
      <c r="E40" s="209">
        <f t="shared" si="6"/>
        <v>10816002.949999999</v>
      </c>
      <c r="F40" s="229">
        <v>10816900.939999999</v>
      </c>
      <c r="G40" s="229">
        <f t="shared" si="7"/>
        <v>897.99000000022352</v>
      </c>
      <c r="H40" s="207">
        <f>'[80]CNF-GUELPHHYDRO_ST-P-P_20160531'!$X$40+'[80]CNF-GUELPHHYDRO_ST-P-P_20160531'!$Y$40</f>
        <v>100634.75200000001</v>
      </c>
      <c r="I40" s="215">
        <f t="shared" si="4"/>
        <v>0.10748673519859221</v>
      </c>
      <c r="J40" s="215">
        <f t="shared" si="5"/>
        <v>0.10747781193915994</v>
      </c>
    </row>
    <row r="41" spans="2:11" hidden="1">
      <c r="B41" s="205">
        <v>42522</v>
      </c>
      <c r="C41" s="206">
        <f>-'[81]CNF-GUELPHHYDRO_ST-P-P_20160630'!$F$38</f>
        <v>9946320.2899999991</v>
      </c>
      <c r="D41" s="206">
        <f>-SUM('[81]CNF-GUELPHHYDRO_ST-P-P_20160630'!$F$369:$F$378)</f>
        <v>49760.570000000007</v>
      </c>
      <c r="E41" s="209">
        <f t="shared" si="6"/>
        <v>9996080.8599999994</v>
      </c>
      <c r="F41" s="229">
        <v>9998037.3300000001</v>
      </c>
      <c r="G41" s="229">
        <f t="shared" si="7"/>
        <v>1956.4700000006706</v>
      </c>
      <c r="H41" s="207">
        <f>'[81]CNF-GUELPHHYDRO_ST-P-P_20160630'!$X$38+'[81]CNF-GUELPHHYDRO_ST-P-P_20160630'!$Y$38</f>
        <v>104740.235</v>
      </c>
      <c r="I41" s="215">
        <f t="shared" si="4"/>
        <v>9.5455555642012843E-2</v>
      </c>
      <c r="J41" s="215">
        <f t="shared" si="5"/>
        <v>9.5436876382795952E-2</v>
      </c>
    </row>
    <row r="42" spans="2:11" hidden="1">
      <c r="B42" s="205">
        <v>42552</v>
      </c>
      <c r="C42" s="206">
        <f>-'[82]CNF-GUELPHHYDRO_ST-P-P_20160731'!$F$39</f>
        <v>9381230.9199999999</v>
      </c>
      <c r="D42" s="206">
        <f>-SUM('[82]CNF-GUELPHHYDRO_ST-P-P_20160731'!$F$369:$F$371)</f>
        <v>21124.16</v>
      </c>
      <c r="E42" s="209">
        <f t="shared" si="6"/>
        <v>9402355.0800000001</v>
      </c>
      <c r="F42" s="229">
        <v>9400925.0700000003</v>
      </c>
      <c r="G42" s="229">
        <f t="shared" si="7"/>
        <v>-1430.0099999997765</v>
      </c>
      <c r="H42" s="207">
        <f>'[82]CNF-GUELPHHYDRO_ST-P-P_20160731'!$X$39+'[82]CNF-GUELPHHYDRO_ST-P-P_20160731'!$Y$39</f>
        <v>113183.943</v>
      </c>
      <c r="I42" s="215">
        <f t="shared" si="4"/>
        <v>8.3058822840268082E-2</v>
      </c>
      <c r="J42" s="215">
        <f t="shared" si="5"/>
        <v>8.3071457229582465E-2</v>
      </c>
    </row>
    <row r="43" spans="2:11" hidden="1">
      <c r="B43" s="205">
        <v>42583</v>
      </c>
      <c r="C43" s="206">
        <f>-'[83]CNF-GUELPHHYDRO_ST-P-P_20160831'!$F$40</f>
        <v>8668261.8100000005</v>
      </c>
      <c r="D43" s="206">
        <f>-'[83]CNF-GUELPHHYDRO_ST-P-P_20160831'!$F$377</f>
        <v>1228.6099999999999</v>
      </c>
      <c r="E43" s="209">
        <f t="shared" si="6"/>
        <v>8669490.4199999999</v>
      </c>
      <c r="F43" s="229">
        <v>8670008.1899999995</v>
      </c>
      <c r="G43" s="229">
        <f t="shared" si="7"/>
        <v>517.76999999955297</v>
      </c>
      <c r="H43" s="207">
        <f>'[83]CNF-GUELPHHYDRO_ST-P-P_20160831'!$X$40+'[83]CNF-GUELPHHYDRO_ST-P-P_20160831'!$Y$40</f>
        <v>122058.52899999999</v>
      </c>
      <c r="I43" s="215">
        <f t="shared" si="4"/>
        <v>7.1031563800019251E-2</v>
      </c>
      <c r="J43" s="215">
        <f t="shared" si="5"/>
        <v>7.102732181869896E-2</v>
      </c>
    </row>
    <row r="44" spans="2:11" hidden="1">
      <c r="B44" s="205">
        <v>42614</v>
      </c>
      <c r="C44" s="206">
        <f>-'[84]CNF-GUELPHHYDRO_ST-P-P_20160930'!$F$40</f>
        <v>10185920.51</v>
      </c>
      <c r="D44" s="206">
        <f>-'[84]CNF-GUELPHHYDRO_ST-P-P_20160930'!$F$358</f>
        <v>-6360.21</v>
      </c>
      <c r="E44" s="209">
        <f>C44+D44</f>
        <v>10179560.299999999</v>
      </c>
      <c r="F44" s="229">
        <v>10183995.029999999</v>
      </c>
      <c r="G44" s="229">
        <f t="shared" si="7"/>
        <v>4434.730000000447</v>
      </c>
      <c r="H44" s="207">
        <f>'[84]CNF-GUELPHHYDRO_ST-P-P_20160930'!$X$40+'[84]CNF-GUELPHHYDRO_ST-P-P_20160930'!$Y$40</f>
        <v>106859.266</v>
      </c>
      <c r="I44" s="215">
        <f t="shared" si="4"/>
        <v>9.530287275227961E-2</v>
      </c>
      <c r="J44" s="215">
        <f t="shared" si="5"/>
        <v>9.5261372092898325E-2</v>
      </c>
    </row>
    <row r="45" spans="2:11" hidden="1">
      <c r="B45" s="205">
        <v>42644</v>
      </c>
      <c r="C45" s="206">
        <f>-'[85]CNF-GUELPHHYDRO_ST-P-P_20161031'!$F$38</f>
        <v>11437594.960000001</v>
      </c>
      <c r="D45" s="206"/>
      <c r="E45" s="209">
        <f t="shared" si="6"/>
        <v>11437594.960000001</v>
      </c>
      <c r="F45" s="229">
        <v>11438824.140000001</v>
      </c>
      <c r="G45" s="229">
        <f t="shared" si="7"/>
        <v>1229.179999999702</v>
      </c>
      <c r="H45" s="207">
        <f>'[85]CNF-GUELPHHYDRO_ST-P-P_20161031'!$X$38+'[85]CNF-GUELPHHYDRO_ST-P-P_20161031'!$Y$38</f>
        <v>101894.697</v>
      </c>
      <c r="I45" s="215">
        <f t="shared" si="4"/>
        <v>0.11226123121991324</v>
      </c>
      <c r="J45" s="215">
        <f t="shared" si="5"/>
        <v>0.1122491679817253</v>
      </c>
    </row>
    <row r="46" spans="2:11" hidden="1">
      <c r="B46" s="205">
        <v>42675</v>
      </c>
      <c r="C46" s="206">
        <f>-'[86]CNF-GUELPHHYDRO_ST-P-P_20161130'!$F$40</f>
        <v>11522517.869999999</v>
      </c>
      <c r="D46" s="206"/>
      <c r="E46" s="209">
        <f t="shared" si="6"/>
        <v>11522517.869999999</v>
      </c>
      <c r="F46" s="229">
        <v>11522145.470000001</v>
      </c>
      <c r="G46" s="229">
        <f t="shared" si="7"/>
        <v>-372.39999999850988</v>
      </c>
      <c r="H46" s="207">
        <f>'[86]CNF-GUELPHHYDRO_ST-P-P_20161130'!$X$40+'[86]CNF-GUELPHHYDRO_ST-P-P_20161130'!$Y$40</f>
        <v>103713.923</v>
      </c>
      <c r="I46" s="215">
        <f t="shared" si="4"/>
        <v>0.1110954550431961</v>
      </c>
      <c r="J46" s="215">
        <f t="shared" si="5"/>
        <v>0.11109904568936226</v>
      </c>
    </row>
    <row r="47" spans="2:11" hidden="1">
      <c r="B47" s="205">
        <v>42705</v>
      </c>
      <c r="C47" s="206">
        <f>-'[87]CNF-GUELPHHYDRO_ST-P-P_20161231'!$F$40</f>
        <v>9536142.2799999993</v>
      </c>
      <c r="D47" s="206">
        <f>-'[87]CNF-GUELPHHYDRO_ST-P-P_20161231'!$F$319</f>
        <v>-40.24</v>
      </c>
      <c r="E47" s="209">
        <f t="shared" si="6"/>
        <v>9536102.0399999991</v>
      </c>
      <c r="F47" s="229">
        <v>9539063.1199999992</v>
      </c>
      <c r="G47" s="229">
        <f t="shared" si="7"/>
        <v>2961.0800000000745</v>
      </c>
      <c r="H47" s="207">
        <f>'[87]CNF-GUELPHHYDRO_ST-P-P_20161231'!$X$40+'[87]CNF-GUELPHHYDRO_ST-P-P_20161231'!$Y$40</f>
        <v>109545.655</v>
      </c>
      <c r="I47" s="215">
        <f t="shared" si="4"/>
        <v>8.70784251552469E-2</v>
      </c>
      <c r="J47" s="215">
        <f t="shared" si="5"/>
        <v>8.7051394598900336E-2</v>
      </c>
    </row>
    <row r="48" spans="2:11" hidden="1">
      <c r="D48" s="210">
        <f>SUM(D36:D47)</f>
        <v>60475.87000000001</v>
      </c>
      <c r="E48" s="210">
        <f>SUM(E36:E47)</f>
        <v>124983999.75999999</v>
      </c>
      <c r="F48" s="210">
        <f>SUM(F36:F47)</f>
        <v>124998216.77</v>
      </c>
      <c r="G48" s="210">
        <f>SUM(G36:G47)</f>
        <v>14217.009999999776</v>
      </c>
    </row>
    <row r="49" spans="2:12" hidden="1">
      <c r="E49" s="210"/>
      <c r="F49" s="210"/>
      <c r="G49" s="210"/>
    </row>
    <row r="50" spans="2:12">
      <c r="B50" s="205">
        <v>42736</v>
      </c>
      <c r="C50" s="206">
        <f>-'[88]CNF-GUELPHHYDRO_ST-P-P_20170131'!$F$39</f>
        <v>9419115.4399999995</v>
      </c>
      <c r="D50" s="206"/>
      <c r="E50" s="209">
        <f>C50+D50</f>
        <v>9419115.4399999995</v>
      </c>
      <c r="F50" s="229">
        <v>9370013.8900000006</v>
      </c>
      <c r="G50" s="229">
        <f>F50-E50</f>
        <v>-49101.549999998882</v>
      </c>
      <c r="H50" s="207">
        <f>'[88]CNF-GUELPHHYDRO_ST-P-P_20170131'!$X$39+'[88]CNF-GUELPHHYDRO_ST-P-P_20170131'!$Y$39</f>
        <v>113873.689</v>
      </c>
      <c r="I50" s="224">
        <f t="shared" ref="I50:I61" si="8">F50/H50/1000</f>
        <v>8.228427455265809E-2</v>
      </c>
      <c r="J50" s="224">
        <f t="shared" ref="J50:J61" si="9">E50/H50/1000</f>
        <v>8.2715467661717709E-2</v>
      </c>
    </row>
    <row r="51" spans="2:12">
      <c r="B51" s="205">
        <v>42767</v>
      </c>
      <c r="C51" s="206">
        <f>-'[89]CNF-GUELPHHYDRO_ST-P-P_20170228'!$F$39</f>
        <v>8684680.2100000009</v>
      </c>
      <c r="D51" s="206"/>
      <c r="E51" s="209">
        <f t="shared" ref="E51:E61" si="10">C51+D51</f>
        <v>8684680.2100000009</v>
      </c>
      <c r="F51" s="229">
        <v>8684448</v>
      </c>
      <c r="G51" s="229">
        <f t="shared" ref="G51:G61" si="11">F51-E51</f>
        <v>-232.21000000089407</v>
      </c>
      <c r="H51" s="207">
        <f>'[89]CNF-GUELPHHYDRO_ST-P-P_20170228'!$X$39+'[89]CNF-GUELPHHYDRO_ST-P-P_20170228'!$Y$39</f>
        <v>100524.73699999999</v>
      </c>
      <c r="I51" s="215">
        <f t="shared" si="8"/>
        <v>8.6391153652060793E-2</v>
      </c>
      <c r="J51" s="215">
        <f t="shared" si="9"/>
        <v>8.639346363074793E-2</v>
      </c>
    </row>
    <row r="52" spans="2:12">
      <c r="B52" s="205">
        <v>42795</v>
      </c>
      <c r="C52" s="206">
        <f>-'[90]CNF-GUELPHHYDRO_ST-P-P_20170331'!$F$41</f>
        <v>7951786.8899999997</v>
      </c>
      <c r="D52" s="206">
        <f>-'[90]CNF-GUELPHHYDRO_ST-P-P_20170331'!$F$366</f>
        <v>-807.12</v>
      </c>
      <c r="E52" s="209">
        <f t="shared" si="10"/>
        <v>7950979.7699999996</v>
      </c>
      <c r="F52" s="229">
        <v>7951058.2699999996</v>
      </c>
      <c r="G52" s="229">
        <f t="shared" si="11"/>
        <v>78.5</v>
      </c>
      <c r="H52" s="207">
        <f>'[90]CNF-GUELPHHYDRO_ST-P-P_20170331'!$X$41+'[90]CNF-GUELPHHYDRO_ST-P-P_20170331'!$Y$41</f>
        <v>111440.16</v>
      </c>
      <c r="I52" s="215">
        <f t="shared" si="8"/>
        <v>7.1348230925009429E-2</v>
      </c>
      <c r="J52" s="215">
        <f t="shared" si="9"/>
        <v>7.1347526511088999E-2</v>
      </c>
    </row>
    <row r="53" spans="2:12">
      <c r="B53" s="205">
        <v>42826</v>
      </c>
      <c r="C53" s="206">
        <f>-'[91]CNF-GUELPHHYDRO_ST-P-P_20170430'!$F$40</f>
        <v>10196735.74</v>
      </c>
      <c r="D53" s="206">
        <f>-('[91]CNF-GUELPHHYDRO_ST-P-P_20170430'!$F$347+'[91]CNF-GUELPHHYDRO_ST-P-P_20170430'!$F$348+'[91]CNF-GUELPHHYDRO_ST-P-P_20170430'!$F$349)</f>
        <v>111666.66</v>
      </c>
      <c r="E53" s="209">
        <f t="shared" si="10"/>
        <v>10308402.4</v>
      </c>
      <c r="F53" s="229">
        <v>10308435.140000001</v>
      </c>
      <c r="G53" s="229">
        <f t="shared" si="11"/>
        <v>32.740000000223517</v>
      </c>
      <c r="H53" s="207">
        <f>'[91]CNF-GUELPHHYDRO_ST-P-P_20170430'!$X$40+'[91]CNF-GUELPHHYDRO_ST-P-P_20170430'!$Y$40</f>
        <v>95635.542000000001</v>
      </c>
      <c r="I53" s="215">
        <f t="shared" si="8"/>
        <v>0.10778874594551888</v>
      </c>
      <c r="J53" s="215">
        <f t="shared" si="9"/>
        <v>0.10778840360417469</v>
      </c>
    </row>
    <row r="54" spans="2:12">
      <c r="B54" s="205">
        <v>42856</v>
      </c>
      <c r="C54" s="206">
        <f>-'[92]CNF-GUELPHHYDRO_ST-P-P_20170531'!$F$40</f>
        <v>12205772.08</v>
      </c>
      <c r="D54" s="206">
        <f>-'[92]CNF-GUELPHHYDRO_ST-P-P_20170531'!$F$313</f>
        <v>86854.33</v>
      </c>
      <c r="E54" s="209">
        <f t="shared" si="10"/>
        <v>12292626.41</v>
      </c>
      <c r="F54" s="229">
        <v>12310432.41</v>
      </c>
      <c r="G54" s="229">
        <f t="shared" si="11"/>
        <v>17806</v>
      </c>
      <c r="H54" s="207">
        <f>'[92]CNF-GUELPHHYDRO_ST-P-P_20170531'!$X$40+'[92]CNF-GUELPHHYDRO_ST-P-P_20170531'!$Y$40</f>
        <v>100040.141</v>
      </c>
      <c r="I54" s="224">
        <f t="shared" si="8"/>
        <v>0.12305492862110221</v>
      </c>
      <c r="J54" s="224">
        <f t="shared" si="9"/>
        <v>0.12287694006748751</v>
      </c>
    </row>
    <row r="55" spans="2:12">
      <c r="B55" s="231">
        <v>42887</v>
      </c>
      <c r="C55" s="232">
        <f>-'[100]CNF-GUELPHHYDRO_ST-P-P_20170630'!$F$38</f>
        <v>14735443.560000001</v>
      </c>
      <c r="D55" s="232">
        <f>-('[100]CNF-GUELPHHYDRO_ST-P-P_20170630'!$F$350+'[100]CNF-GUELPHHYDRO_ST-P-P_20170630'!$F$351)</f>
        <v>1347940.5499999998</v>
      </c>
      <c r="E55" s="233">
        <f t="shared" si="10"/>
        <v>16083384.109999999</v>
      </c>
      <c r="F55" s="234">
        <v>16083898.42</v>
      </c>
      <c r="G55" s="234">
        <f>F55-E55</f>
        <v>514.31000000052154</v>
      </c>
      <c r="H55" s="235">
        <f>'[93]CNF-GUELPHHYDRO_ST-P-P_20170630'!$X$38</f>
        <v>136095.82999999999</v>
      </c>
      <c r="I55" s="225">
        <f t="shared" si="8"/>
        <v>0.11818068503641883</v>
      </c>
      <c r="J55" s="225">
        <f t="shared" si="9"/>
        <v>0.118176906008068</v>
      </c>
      <c r="K55" s="214" t="s">
        <v>121</v>
      </c>
    </row>
    <row r="56" spans="2:12">
      <c r="B56" s="205">
        <v>42917</v>
      </c>
      <c r="C56" s="206">
        <f>-'[94]CNF-GUELPHHYDRO_ST-P-P_20170731'!$F$39</f>
        <v>7956370.2000000002</v>
      </c>
      <c r="D56" s="206">
        <f>-('[94]CNF-GUELPHHYDRO_ST-P-P_20170731'!$F$363+'[94]CNF-GUELPHHYDRO_ST-P-P_20170731'!$F$364)</f>
        <v>216312.22</v>
      </c>
      <c r="E56" s="209">
        <f t="shared" si="10"/>
        <v>8172682.4199999999</v>
      </c>
      <c r="F56" s="229">
        <v>5268377.21</v>
      </c>
      <c r="G56" s="229">
        <f t="shared" si="11"/>
        <v>-2904305.21</v>
      </c>
      <c r="H56" s="207">
        <f>'[94]CNF-GUELPHHYDRO_ST-P-P_20170731'!$X$39+'[94]CNF-GUELPHHYDRO_ST-P-P_20170731'!$Y$39</f>
        <v>77162.177000000011</v>
      </c>
      <c r="I56" s="224">
        <f t="shared" si="8"/>
        <v>6.8276679259580766E-2</v>
      </c>
      <c r="J56" s="224">
        <f t="shared" si="9"/>
        <v>0.10591565372760281</v>
      </c>
      <c r="K56" s="214" t="s">
        <v>122</v>
      </c>
    </row>
    <row r="57" spans="2:12">
      <c r="B57" s="205">
        <v>42948</v>
      </c>
      <c r="C57" s="206">
        <f>-'[95]CNF-GUELPHHYDRO_ST-P-P_20170831'!$F$38</f>
        <v>7604427.29</v>
      </c>
      <c r="D57" s="206">
        <f>-('[95]CNF-GUELPHHYDRO_ST-P-P_20170831'!$F$311+'[95]CNF-GUELPHHYDRO_ST-P-P_20170831'!$F$312)</f>
        <v>-26250.729999999981</v>
      </c>
      <c r="E57" s="209">
        <f t="shared" si="10"/>
        <v>7578176.5600000005</v>
      </c>
      <c r="F57" s="229">
        <v>7578221.04</v>
      </c>
      <c r="G57" s="229">
        <f t="shared" si="11"/>
        <v>44.479999999515712</v>
      </c>
      <c r="H57" s="207">
        <f>'[95]CNF-GUELPHHYDRO_ST-P-P_20170831'!$X$38+'[95]CNF-GUELPHHYDRO_ST-P-P_20170831'!$Y$38</f>
        <v>74910.754000000001</v>
      </c>
      <c r="I57" s="215">
        <f t="shared" si="8"/>
        <v>0.10116332616275628</v>
      </c>
      <c r="J57" s="215">
        <f t="shared" si="9"/>
        <v>0.10116273238953116</v>
      </c>
    </row>
    <row r="58" spans="2:12">
      <c r="B58" s="205">
        <v>42979</v>
      </c>
      <c r="C58" s="206">
        <f>-'[96]CNF-GUELPHHYDRO_ST-P-P_20170930'!$F$40</f>
        <v>6414181.4100000001</v>
      </c>
      <c r="D58" s="206">
        <f>-('[96]CNF-GUELPHHYDRO_ST-P-P_20170930'!$F$356+'[96]CNF-GUELPHHYDRO_ST-P-P_20170930'!$F$357)</f>
        <v>207910.13</v>
      </c>
      <c r="E58" s="209">
        <f t="shared" si="10"/>
        <v>6622091.54</v>
      </c>
      <c r="F58" s="229">
        <v>6622914.0999999996</v>
      </c>
      <c r="G58" s="229">
        <f t="shared" si="11"/>
        <v>822.55999999959022</v>
      </c>
      <c r="H58" s="207">
        <f>'[96]CNF-GUELPHHYDRO_ST-P-P_20170930'!$X$40+'[96]CNF-GUELPHHYDRO_ST-P-P_20170930'!$Y$40</f>
        <v>74267.006999999998</v>
      </c>
      <c r="I58" s="215">
        <f t="shared" si="8"/>
        <v>8.9177070243318141E-2</v>
      </c>
      <c r="J58" s="215">
        <f t="shared" si="9"/>
        <v>8.9165994531057377E-2</v>
      </c>
    </row>
    <row r="59" spans="2:12">
      <c r="B59" s="205">
        <v>43009</v>
      </c>
      <c r="C59" s="206">
        <f>-'[97]CNF-GUELPHHYDRO_ST-P-P_20171031'!$F$40</f>
        <v>9046197.9700000007</v>
      </c>
      <c r="D59" s="206">
        <f>-SUM('[97]CNF-GUELPHHYDRO_ST-P-P_20171031'!$F$323:$F$324)</f>
        <v>197259.25</v>
      </c>
      <c r="E59" s="209">
        <f t="shared" si="10"/>
        <v>9243457.2200000007</v>
      </c>
      <c r="F59" s="229">
        <v>9243204.75</v>
      </c>
      <c r="G59" s="229">
        <f t="shared" si="11"/>
        <v>-252.47000000067055</v>
      </c>
      <c r="H59" s="207">
        <f>SUM('[97]CNF-GUELPHHYDRO_ST-P-P_20171031'!$X$40:$Y$40)</f>
        <v>73335.240999999995</v>
      </c>
      <c r="I59" s="215">
        <f t="shared" si="8"/>
        <v>0.12604042236664909</v>
      </c>
      <c r="J59" s="215">
        <f t="shared" si="9"/>
        <v>0.12604386504981965</v>
      </c>
    </row>
    <row r="60" spans="2:12">
      <c r="B60" s="205">
        <v>43040</v>
      </c>
      <c r="C60" s="206">
        <f>-'[98]CNF-GUELPHHYDRO_ST-P-P_20171130'!$F$42</f>
        <v>7178241.8099999996</v>
      </c>
      <c r="D60" s="206">
        <f>-SUM('[98]CNF-GUELPHHYDRO_ST-P-P_20171130'!$F$332:$F$333)</f>
        <v>208791.73</v>
      </c>
      <c r="E60" s="209">
        <f t="shared" si="10"/>
        <v>7387033.54</v>
      </c>
      <c r="F60" s="229">
        <v>7388919.9900000002</v>
      </c>
      <c r="G60" s="229">
        <f t="shared" si="11"/>
        <v>1886.4500000001863</v>
      </c>
      <c r="H60" s="207">
        <f>SUM('[98]CNF-GUELPHHYDRO_ST-P-P_20171130'!$X$42:$Y$42)</f>
        <v>75808.773000000001</v>
      </c>
      <c r="I60" s="215">
        <f t="shared" si="8"/>
        <v>9.7467874727374892E-2</v>
      </c>
      <c r="J60" s="215">
        <f t="shared" si="9"/>
        <v>9.7442990404290011E-2</v>
      </c>
    </row>
    <row r="61" spans="2:12">
      <c r="B61" s="205">
        <v>43070</v>
      </c>
      <c r="C61" s="206">
        <f>-'[99]CNF-GUELPHHYDRO_ST-P-P_20171231'!$F$42</f>
        <v>7636545.2599999998</v>
      </c>
      <c r="D61" s="206">
        <f>-SUM('[99]CNF-GUELPHHYDRO_ST-P-P_20171231'!$F$350:$F$357)</f>
        <v>48333.479999999996</v>
      </c>
      <c r="E61" s="209">
        <f t="shared" si="10"/>
        <v>7684878.7400000002</v>
      </c>
      <c r="F61" s="229">
        <v>7685017.0099999998</v>
      </c>
      <c r="G61" s="229">
        <f t="shared" si="11"/>
        <v>138.26999999955297</v>
      </c>
      <c r="H61" s="207">
        <f>SUM('[99]CNF-GUELPHHYDRO_ST-P-P_20171231'!$X$42:$Y$42)</f>
        <v>83391.770999999993</v>
      </c>
      <c r="I61" s="215">
        <f t="shared" si="8"/>
        <v>9.2155579835329321E-2</v>
      </c>
      <c r="J61" s="215">
        <f t="shared" si="9"/>
        <v>9.2153921758059323E-2</v>
      </c>
    </row>
    <row r="62" spans="2:12" ht="15.75" thickBot="1">
      <c r="C62" s="210">
        <f>SUM(C50:C61)</f>
        <v>109029497.86000001</v>
      </c>
      <c r="D62" s="210">
        <f>SUM(D52:D61)</f>
        <v>2398010.5</v>
      </c>
      <c r="E62" s="236">
        <f>SUM(E50:E61)</f>
        <v>111427508.36000001</v>
      </c>
      <c r="F62" s="236">
        <f>SUM(F50:F61)</f>
        <v>108494940.22999999</v>
      </c>
      <c r="G62" s="236">
        <f>SUM(G50:G61)</f>
        <v>-2932568.1300000008</v>
      </c>
      <c r="H62" s="236"/>
    </row>
    <row r="63" spans="2:12" ht="16.5" thickBot="1">
      <c r="D63" s="240" t="s">
        <v>124</v>
      </c>
      <c r="F63" s="249">
        <f>F62-C62</f>
        <v>-534557.63000002503</v>
      </c>
    </row>
    <row r="64" spans="2:12" ht="15.75">
      <c r="B64" s="242"/>
      <c r="C64" s="250"/>
      <c r="D64" s="242"/>
      <c r="E64" s="242"/>
      <c r="F64" s="250"/>
      <c r="G64" s="250"/>
      <c r="H64" s="250"/>
      <c r="I64" s="250"/>
      <c r="J64" s="250"/>
      <c r="K64" s="244"/>
      <c r="L64" s="251"/>
    </row>
    <row r="65" spans="2:14" ht="15.75">
      <c r="B65" s="242"/>
      <c r="C65" s="242"/>
      <c r="D65" s="242"/>
      <c r="E65" s="242"/>
      <c r="F65" s="250"/>
      <c r="G65" s="250"/>
      <c r="H65" s="250"/>
      <c r="I65" s="250"/>
      <c r="J65" s="250"/>
      <c r="K65" s="244"/>
      <c r="L65" s="251"/>
    </row>
    <row r="66" spans="2:14">
      <c r="B66" s="252"/>
      <c r="C66" s="253"/>
      <c r="D66" s="254"/>
      <c r="E66" s="254"/>
      <c r="F66" s="255"/>
      <c r="G66" s="256"/>
      <c r="H66" s="257"/>
      <c r="I66" s="247"/>
      <c r="J66" s="257"/>
      <c r="K66" s="248"/>
      <c r="L66" s="258"/>
      <c r="M66" s="238"/>
    </row>
    <row r="67" spans="2:14">
      <c r="B67" s="252"/>
      <c r="C67" s="253"/>
      <c r="D67" s="254"/>
      <c r="E67" s="254"/>
      <c r="F67" s="255"/>
      <c r="G67" s="256"/>
      <c r="H67" s="257"/>
      <c r="I67" s="247"/>
      <c r="J67" s="257"/>
      <c r="K67" s="248"/>
      <c r="L67" s="258"/>
      <c r="M67" s="238"/>
    </row>
    <row r="68" spans="2:14">
      <c r="B68" s="252"/>
      <c r="C68" s="253"/>
      <c r="D68" s="254"/>
      <c r="E68" s="254"/>
      <c r="F68" s="255"/>
      <c r="G68" s="256"/>
      <c r="H68" s="257"/>
      <c r="I68" s="247"/>
      <c r="J68" s="257"/>
      <c r="K68" s="248"/>
      <c r="L68" s="258"/>
      <c r="M68" s="238"/>
    </row>
    <row r="69" spans="2:14">
      <c r="B69" s="252"/>
      <c r="C69" s="253"/>
      <c r="D69" s="254"/>
      <c r="E69" s="254"/>
      <c r="F69" s="255"/>
      <c r="G69" s="256"/>
      <c r="H69" s="257"/>
      <c r="I69" s="247"/>
      <c r="J69" s="257"/>
      <c r="K69" s="248"/>
      <c r="L69" s="258"/>
      <c r="M69" s="238"/>
    </row>
    <row r="70" spans="2:14">
      <c r="B70" s="252"/>
      <c r="C70" s="253"/>
      <c r="D70" s="254"/>
      <c r="E70" s="254"/>
      <c r="F70" s="255"/>
      <c r="G70" s="256"/>
      <c r="H70" s="257"/>
      <c r="I70" s="247"/>
      <c r="J70" s="257"/>
      <c r="K70" s="248"/>
      <c r="L70" s="258"/>
      <c r="M70" s="238"/>
    </row>
    <row r="71" spans="2:14">
      <c r="B71" s="252"/>
      <c r="C71" s="253"/>
      <c r="D71" s="254"/>
      <c r="E71" s="254"/>
      <c r="F71" s="255"/>
      <c r="G71" s="256"/>
      <c r="H71" s="257"/>
      <c r="I71" s="247"/>
      <c r="J71" s="257"/>
      <c r="K71" s="248"/>
      <c r="L71" s="258"/>
      <c r="M71" s="238"/>
    </row>
    <row r="72" spans="2:14">
      <c r="B72" s="252"/>
      <c r="C72" s="253"/>
      <c r="D72" s="254"/>
      <c r="E72" s="254"/>
      <c r="F72" s="255"/>
      <c r="G72" s="256"/>
      <c r="H72" s="257"/>
      <c r="I72" s="247"/>
      <c r="J72" s="257"/>
      <c r="K72" s="248"/>
      <c r="L72" s="258"/>
      <c r="M72" s="238"/>
    </row>
    <row r="73" spans="2:14">
      <c r="B73" s="252"/>
      <c r="C73" s="253"/>
      <c r="D73" s="254"/>
      <c r="E73" s="254"/>
      <c r="F73" s="255"/>
      <c r="G73" s="256"/>
      <c r="H73" s="257"/>
      <c r="I73" s="247"/>
      <c r="J73" s="257"/>
      <c r="K73" s="248"/>
      <c r="L73" s="258"/>
      <c r="M73" s="238"/>
    </row>
    <row r="74" spans="2:14">
      <c r="B74" s="252"/>
      <c r="C74" s="253"/>
      <c r="D74" s="254"/>
      <c r="E74" s="254"/>
      <c r="F74" s="255"/>
      <c r="G74" s="256"/>
      <c r="H74" s="257"/>
      <c r="I74" s="247"/>
      <c r="J74" s="257"/>
      <c r="K74" s="248"/>
      <c r="L74" s="258"/>
      <c r="M74" s="238"/>
    </row>
    <row r="75" spans="2:14">
      <c r="B75" s="252"/>
      <c r="C75" s="253"/>
      <c r="D75" s="254"/>
      <c r="E75" s="254"/>
      <c r="F75" s="255"/>
      <c r="G75" s="256"/>
      <c r="H75" s="257"/>
      <c r="I75" s="247"/>
      <c r="J75" s="257"/>
      <c r="K75" s="248"/>
      <c r="L75" s="258"/>
      <c r="M75" s="238"/>
    </row>
    <row r="76" spans="2:14">
      <c r="B76" s="252"/>
      <c r="C76" s="253"/>
      <c r="D76" s="254"/>
      <c r="E76" s="254"/>
      <c r="F76" s="255"/>
      <c r="G76" s="256"/>
      <c r="H76" s="257"/>
      <c r="I76" s="247"/>
      <c r="J76" s="257"/>
      <c r="K76" s="248"/>
      <c r="L76" s="258"/>
      <c r="M76" s="238"/>
    </row>
    <row r="77" spans="2:14">
      <c r="B77" s="252"/>
      <c r="C77" s="253"/>
      <c r="D77" s="254"/>
      <c r="E77" s="254"/>
      <c r="F77" s="255"/>
      <c r="G77" s="256"/>
      <c r="H77" s="257"/>
      <c r="I77" s="247"/>
      <c r="J77" s="257"/>
      <c r="K77" s="248"/>
      <c r="L77" s="258"/>
      <c r="M77" s="238"/>
    </row>
    <row r="78" spans="2:14" ht="15.75">
      <c r="C78" s="210"/>
      <c r="F78" s="239"/>
      <c r="G78" s="240"/>
      <c r="H78" s="240"/>
      <c r="I78" s="240"/>
      <c r="J78" s="240"/>
      <c r="K78" s="221"/>
      <c r="L78" s="241"/>
      <c r="M78" s="238"/>
      <c r="N78" s="238"/>
    </row>
    <row r="79" spans="2:14">
      <c r="F79" s="237"/>
      <c r="N79" s="237"/>
    </row>
  </sheetData>
  <mergeCells count="4">
    <mergeCell ref="B2:G2"/>
    <mergeCell ref="B3:B4"/>
    <mergeCell ref="B34:B35"/>
    <mergeCell ref="B33:J33"/>
  </mergeCells>
  <hyperlinks>
    <hyperlink ref="I1" r:id="rId1" xr:uid="{00000000-0004-0000-0200-000000000000}"/>
  </hyperlinks>
  <pageMargins left="0.7" right="0.7" top="0.75" bottom="0.75" header="0.3" footer="0.3"/>
  <pageSetup paperSize="5" scale="65" fitToHeight="0" orientation="landscape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7"/>
  <sheetViews>
    <sheetView tabSelected="1" workbookViewId="0">
      <selection activeCell="E32" sqref="E32"/>
    </sheetView>
  </sheetViews>
  <sheetFormatPr defaultColWidth="9.140625" defaultRowHeight="15"/>
  <cols>
    <col min="1" max="1" width="9.140625" style="202"/>
    <col min="2" max="2" width="16.42578125" style="202" customWidth="1"/>
    <col min="3" max="3" width="16.7109375" style="202" customWidth="1"/>
    <col min="4" max="4" width="11.7109375" style="202" bestFit="1" customWidth="1"/>
    <col min="5" max="5" width="17" style="202" customWidth="1"/>
    <col min="6" max="6" width="15.28515625" style="202" customWidth="1"/>
    <col min="7" max="7" width="9.140625" style="202"/>
    <col min="8" max="8" width="17.28515625" style="202" bestFit="1" customWidth="1"/>
    <col min="9" max="10" width="15.5703125" style="202" bestFit="1" customWidth="1"/>
    <col min="11" max="16384" width="9.140625" style="202"/>
  </cols>
  <sheetData>
    <row r="1" spans="1:10" ht="63">
      <c r="A1" s="277" t="s">
        <v>83</v>
      </c>
      <c r="B1" s="201" t="s">
        <v>84</v>
      </c>
      <c r="C1" s="201" t="s">
        <v>85</v>
      </c>
      <c r="D1" s="201" t="s">
        <v>86</v>
      </c>
      <c r="E1" s="201" t="s">
        <v>87</v>
      </c>
      <c r="F1" s="201" t="s">
        <v>49</v>
      </c>
    </row>
    <row r="2" spans="1:10" ht="30.75">
      <c r="A2" s="277"/>
      <c r="B2" s="203" t="s">
        <v>32</v>
      </c>
      <c r="C2" s="203" t="s">
        <v>33</v>
      </c>
      <c r="D2" s="203" t="s">
        <v>34</v>
      </c>
      <c r="E2" s="203" t="s">
        <v>88</v>
      </c>
      <c r="F2" s="203" t="s">
        <v>89</v>
      </c>
      <c r="H2" s="204" t="s">
        <v>90</v>
      </c>
      <c r="I2" s="204" t="s">
        <v>91</v>
      </c>
      <c r="J2" s="204" t="s">
        <v>92</v>
      </c>
    </row>
    <row r="3" spans="1:10">
      <c r="A3" s="205">
        <v>42339</v>
      </c>
      <c r="B3" s="206">
        <f>SUM([101]Query!$D$210:$D$211)</f>
        <v>266201.39999999997</v>
      </c>
      <c r="C3" s="207">
        <f>SUM([101]Query!$E$210:$E$211)</f>
        <v>3099819.36</v>
      </c>
      <c r="D3" s="208">
        <f>+'[102]GA Analysis'!R46</f>
        <v>0.11462</v>
      </c>
      <c r="E3" s="206">
        <f>C3*D3</f>
        <v>355301.29504319996</v>
      </c>
      <c r="F3" s="209">
        <f>B3-E3</f>
        <v>-89099.895043199998</v>
      </c>
      <c r="G3" s="202">
        <v>2016</v>
      </c>
      <c r="H3" s="210">
        <f>B15-B3</f>
        <v>88313.43</v>
      </c>
      <c r="I3" s="210">
        <f>E15-E3</f>
        <v>-38728.709939399967</v>
      </c>
      <c r="J3" s="210">
        <f>H3-I3</f>
        <v>127042.13993939996</v>
      </c>
    </row>
    <row r="4" spans="1:10" hidden="1">
      <c r="A4" s="205">
        <v>42370</v>
      </c>
      <c r="B4" s="206">
        <f>[103]Query!$D$256+[103]Query!$D$257</f>
        <v>306190.91000000003</v>
      </c>
      <c r="C4" s="207">
        <f>[103]Query!$E$256+[103]Query!$E$257</f>
        <v>2855976.55</v>
      </c>
      <c r="D4" s="208">
        <f>'[102]GA Analysis'!O35</f>
        <v>8.4229999999999999E-2</v>
      </c>
      <c r="E4" s="206">
        <f>C4*D4</f>
        <v>240558.90480649998</v>
      </c>
      <c r="F4" s="209">
        <f>B4-E4</f>
        <v>65632.005193500052</v>
      </c>
    </row>
    <row r="5" spans="1:10" hidden="1">
      <c r="A5" s="205">
        <v>42401</v>
      </c>
      <c r="B5" s="206">
        <f>[104]Query!$D$258+[104]Query!$D$259</f>
        <v>259289.81</v>
      </c>
      <c r="C5" s="207">
        <f>[104]Query!$E$258+[104]Query!$E$259</f>
        <v>2920915.65</v>
      </c>
      <c r="D5" s="208">
        <f>'[102]GA Analysis'!O36</f>
        <v>0.10384</v>
      </c>
      <c r="E5" s="206">
        <f t="shared" ref="E5:E27" si="0">C5*D5</f>
        <v>303307.88109599997</v>
      </c>
      <c r="F5" s="209">
        <f t="shared" ref="F5:F27" si="1">B5-E5</f>
        <v>-44018.071095999971</v>
      </c>
    </row>
    <row r="6" spans="1:10" hidden="1">
      <c r="A6" s="205">
        <v>42430</v>
      </c>
      <c r="B6" s="206">
        <f>[105]Query!$D$243+[105]Query!$D$244</f>
        <v>312200.57</v>
      </c>
      <c r="C6" s="207">
        <f>[105]Query!$E$243+[105]Query!$E$244</f>
        <v>3108500.77</v>
      </c>
      <c r="D6" s="208">
        <f>'[102]GA Analysis'!O37</f>
        <v>9.0219999999999995E-2</v>
      </c>
      <c r="E6" s="206">
        <f t="shared" si="0"/>
        <v>280448.93946939998</v>
      </c>
      <c r="F6" s="209">
        <f t="shared" si="1"/>
        <v>31751.630530600029</v>
      </c>
    </row>
    <row r="7" spans="1:10" hidden="1">
      <c r="A7" s="205">
        <v>42461</v>
      </c>
      <c r="B7" s="206">
        <f>[106]Query!$D$246+[106]Query!$D$247</f>
        <v>239084.12</v>
      </c>
      <c r="C7" s="207">
        <f>[106]Query!$E$246+[106]Query!$E$247</f>
        <v>2442653.23</v>
      </c>
      <c r="D7" s="208">
        <f>'[102]GA Analysis'!O38</f>
        <v>0.12114999999999999</v>
      </c>
      <c r="E7" s="206">
        <f t="shared" si="0"/>
        <v>295927.4388145</v>
      </c>
      <c r="F7" s="209">
        <f t="shared" si="1"/>
        <v>-56843.318814500002</v>
      </c>
      <c r="H7" s="202" t="s">
        <v>93</v>
      </c>
      <c r="I7" s="210">
        <f>F15</f>
        <v>37942.244896199962</v>
      </c>
    </row>
    <row r="8" spans="1:10" hidden="1">
      <c r="A8" s="205">
        <v>42491</v>
      </c>
      <c r="B8" s="206">
        <f>SUM([107]Query!$G$387:$G$392)</f>
        <v>274187.14999999997</v>
      </c>
      <c r="C8" s="207">
        <f>SUM([107]Query!$H$387:$H$392)</f>
        <v>2354201.2999999998</v>
      </c>
      <c r="D8" s="208">
        <f>'[102]GA Analysis'!O39</f>
        <v>0.10405</v>
      </c>
      <c r="E8" s="206">
        <f t="shared" si="0"/>
        <v>244954.645265</v>
      </c>
      <c r="F8" s="209">
        <f t="shared" si="1"/>
        <v>29232.504734999966</v>
      </c>
      <c r="H8" s="202" t="s">
        <v>94</v>
      </c>
      <c r="I8" s="211">
        <f>F3</f>
        <v>-89099.895043199998</v>
      </c>
    </row>
    <row r="9" spans="1:10" hidden="1">
      <c r="A9" s="205">
        <v>42522</v>
      </c>
      <c r="B9" s="206">
        <f>SUM([108]Query!$G$432:$G$435)</f>
        <v>257381.19</v>
      </c>
      <c r="C9" s="207">
        <f>SUM([108]Query!$H$432:$H$435)</f>
        <v>2393032.8099999996</v>
      </c>
      <c r="D9" s="208">
        <f>'[102]GA Analysis'!O40</f>
        <v>0.11650000000000001</v>
      </c>
      <c r="E9" s="206">
        <f t="shared" si="0"/>
        <v>278788.32236499997</v>
      </c>
      <c r="F9" s="209">
        <f t="shared" si="1"/>
        <v>-21407.132364999969</v>
      </c>
      <c r="I9" s="212">
        <f>I7-I8</f>
        <v>127042.13993939996</v>
      </c>
    </row>
    <row r="10" spans="1:10" hidden="1">
      <c r="A10" s="205">
        <v>42552</v>
      </c>
      <c r="B10" s="206">
        <f>SUM([109]Query!$G$306:$G$311)</f>
        <v>249840.78</v>
      </c>
      <c r="C10" s="207">
        <f>SUM([109]Query!$H$306:$H$311)</f>
        <v>2392270.5799999996</v>
      </c>
      <c r="D10" s="208">
        <f>'[102]GA Analysis'!O41</f>
        <v>7.6670000000000002E-2</v>
      </c>
      <c r="E10" s="206">
        <f t="shared" si="0"/>
        <v>183415.38536859996</v>
      </c>
      <c r="F10" s="209">
        <f t="shared" si="1"/>
        <v>66425.394631400035</v>
      </c>
      <c r="I10" s="213"/>
    </row>
    <row r="11" spans="1:10" hidden="1">
      <c r="A11" s="205">
        <v>42583</v>
      </c>
      <c r="B11" s="206">
        <f>SUM([110]Query!$G$252:$G$257)</f>
        <v>218695.63</v>
      </c>
      <c r="C11" s="207">
        <f>SUM([110]Query!$H$252:$H$257)</f>
        <v>2754083.21</v>
      </c>
      <c r="D11" s="208">
        <f>'[102]GA Analysis'!O42</f>
        <v>8.5690000000000002E-2</v>
      </c>
      <c r="E11" s="206">
        <f t="shared" si="0"/>
        <v>235997.39026489999</v>
      </c>
      <c r="F11" s="209">
        <f t="shared" si="1"/>
        <v>-17301.760264899989</v>
      </c>
    </row>
    <row r="12" spans="1:10" hidden="1">
      <c r="A12" s="205">
        <v>42614</v>
      </c>
      <c r="B12" s="206">
        <f>SUM([111]Query!$G$281:$G$286)</f>
        <v>202659.37999999998</v>
      </c>
      <c r="C12" s="207">
        <f>SUM([111]Query!$H$281:$H$286)</f>
        <v>2477033.4700000007</v>
      </c>
      <c r="D12" s="208">
        <f>'[102]GA Analysis'!O43</f>
        <v>7.0599999999999996E-2</v>
      </c>
      <c r="E12" s="206">
        <f t="shared" si="0"/>
        <v>174878.56298200003</v>
      </c>
      <c r="F12" s="209">
        <f t="shared" si="1"/>
        <v>27780.817017999943</v>
      </c>
    </row>
    <row r="13" spans="1:10" hidden="1">
      <c r="A13" s="205">
        <v>42644</v>
      </c>
      <c r="B13" s="206">
        <f>SUM([112]Query!$G$267:$G$272)</f>
        <v>191416.83</v>
      </c>
      <c r="C13" s="207">
        <f>SUM([112]Query!$H$267:$H$272)</f>
        <v>2472764.7599999998</v>
      </c>
      <c r="D13" s="208">
        <f>'[102]GA Analysis'!O44</f>
        <v>9.7199999999999995E-2</v>
      </c>
      <c r="E13" s="206">
        <f t="shared" si="0"/>
        <v>240352.73467199996</v>
      </c>
      <c r="F13" s="209">
        <f t="shared" si="1"/>
        <v>-48935.904671999975</v>
      </c>
    </row>
    <row r="14" spans="1:10" hidden="1">
      <c r="A14" s="205">
        <v>42675</v>
      </c>
      <c r="B14" s="206">
        <f>SUM([113]Query!$G$314:$G$321)</f>
        <v>262814.51999999996</v>
      </c>
      <c r="C14" s="207">
        <f>SUM([113]Query!$H$314:$H$321)</f>
        <v>2550576.1799999997</v>
      </c>
      <c r="D14" s="208">
        <f>'[102]GA Analysis'!O45</f>
        <v>0.12271</v>
      </c>
      <c r="E14" s="206">
        <f t="shared" si="0"/>
        <v>312981.20304779994</v>
      </c>
      <c r="F14" s="209">
        <f t="shared" si="1"/>
        <v>-50166.683047799976</v>
      </c>
    </row>
    <row r="15" spans="1:10">
      <c r="A15" s="205">
        <v>42705</v>
      </c>
      <c r="B15" s="206">
        <f>SUM([114]Query!$G$315:$G$320)</f>
        <v>354514.82999999996</v>
      </c>
      <c r="C15" s="207">
        <f>SUM([114]Query!$H$315:$H$320)</f>
        <v>2988225.27</v>
      </c>
      <c r="D15" s="208">
        <f>'[102]GA Analysis'!O46</f>
        <v>0.10594000000000001</v>
      </c>
      <c r="E15" s="206">
        <f t="shared" si="0"/>
        <v>316572.5851038</v>
      </c>
      <c r="F15" s="209">
        <f t="shared" si="1"/>
        <v>37942.244896199962</v>
      </c>
      <c r="G15" s="202">
        <v>2017</v>
      </c>
      <c r="H15" s="210">
        <f>B27-B15</f>
        <v>-354514.82999999996</v>
      </c>
      <c r="I15" s="210">
        <f>E27-E15</f>
        <v>-316572.5851038</v>
      </c>
      <c r="J15" s="210">
        <f>H15-I15</f>
        <v>-37942.244896199962</v>
      </c>
    </row>
    <row r="16" spans="1:10">
      <c r="A16" s="205">
        <v>42736</v>
      </c>
      <c r="B16" s="206">
        <f>SUM([11]Query!$G$445:$G$452)</f>
        <v>166262.6</v>
      </c>
      <c r="C16" s="207">
        <f>SUM([11]Query!$H$445:$H$452)</f>
        <v>1818502.86</v>
      </c>
      <c r="D16" s="208">
        <f>'[12]GA Analysis '!G47</f>
        <v>6.6869999999999999E-2</v>
      </c>
      <c r="E16" s="206">
        <f t="shared" si="0"/>
        <v>121603.28624820001</v>
      </c>
      <c r="F16" s="209">
        <f t="shared" si="1"/>
        <v>44659.3137518</v>
      </c>
    </row>
    <row r="17" spans="1:9">
      <c r="A17" s="205">
        <v>42767</v>
      </c>
      <c r="B17" s="206">
        <f>SUM([15]Query!$G$391:$G$396)</f>
        <v>199013.62000000005</v>
      </c>
      <c r="C17" s="207">
        <f>SUM([15]Query!$H$391:$H$396)</f>
        <v>2634252.4500000007</v>
      </c>
      <c r="D17" s="208">
        <f>'[12]GA Analysis '!G48</f>
        <v>0.10559</v>
      </c>
      <c r="E17" s="206">
        <f t="shared" si="0"/>
        <v>278150.71619550011</v>
      </c>
      <c r="F17" s="209">
        <f t="shared" si="1"/>
        <v>-79137.096195500053</v>
      </c>
    </row>
    <row r="18" spans="1:9">
      <c r="A18" s="205">
        <v>42795</v>
      </c>
      <c r="B18" s="206">
        <f>SUM([18]Query!$G$385:$G$390)</f>
        <v>270583.62999999995</v>
      </c>
      <c r="C18" s="207">
        <f>SUM([18]Query!$H$385:$H$390)</f>
        <v>2704990.8499999996</v>
      </c>
      <c r="D18" s="208">
        <f>'[12]GA Analysis '!G49</f>
        <v>8.4089999999999998E-2</v>
      </c>
      <c r="E18" s="206">
        <f t="shared" si="0"/>
        <v>227462.68057649996</v>
      </c>
      <c r="F18" s="209">
        <f t="shared" si="1"/>
        <v>43120.949423499987</v>
      </c>
    </row>
    <row r="19" spans="1:9">
      <c r="A19" s="205">
        <v>42826</v>
      </c>
      <c r="B19" s="206">
        <f>SUM([21]Query!$G$349:$G$354)</f>
        <v>182344.77</v>
      </c>
      <c r="C19" s="207">
        <f>SUM([21]Query!$H$349:$H$354)</f>
        <v>2257962.0799999996</v>
      </c>
      <c r="D19" s="208">
        <f>'[12]GA Analysis '!G50</f>
        <v>6.8739999999999996E-2</v>
      </c>
      <c r="E19" s="206">
        <f t="shared" si="0"/>
        <v>155212.31337919997</v>
      </c>
      <c r="F19" s="209">
        <f t="shared" si="1"/>
        <v>27132.456620800018</v>
      </c>
    </row>
    <row r="20" spans="1:9">
      <c r="A20" s="205">
        <v>42856</v>
      </c>
      <c r="B20" s="206">
        <f>SUM([24]Query!$G$499:$G$508)</f>
        <v>186057.58000000002</v>
      </c>
      <c r="C20" s="207">
        <f>SUM([24]Query!$H$499:$H$508)</f>
        <v>2356329.1100000003</v>
      </c>
      <c r="D20" s="208">
        <f>'[12]GA Analysis '!G51</f>
        <v>0.10623</v>
      </c>
      <c r="E20" s="206">
        <f t="shared" si="0"/>
        <v>250312.84135530004</v>
      </c>
      <c r="F20" s="209">
        <f t="shared" si="1"/>
        <v>-64255.261355300026</v>
      </c>
    </row>
    <row r="21" spans="1:9">
      <c r="A21" s="205">
        <v>42887</v>
      </c>
      <c r="B21" s="206">
        <f>SUM([27]Query!$G$368:$G$371)</f>
        <v>237866.27</v>
      </c>
      <c r="C21" s="207">
        <f>SUM([27]Query!$H$368:$H$371)</f>
        <v>2166004.6800000002</v>
      </c>
      <c r="D21" s="208">
        <f>'[12]GA Analysis '!G52</f>
        <v>0.11953999999999999</v>
      </c>
      <c r="E21" s="206">
        <f t="shared" si="0"/>
        <v>258924.19944719999</v>
      </c>
      <c r="F21" s="209">
        <f t="shared" si="1"/>
        <v>-21057.929447200004</v>
      </c>
    </row>
    <row r="22" spans="1:9">
      <c r="A22" s="205">
        <v>42917</v>
      </c>
      <c r="B22" s="206">
        <f>[30]Query!$R$371</f>
        <v>242098.11168280005</v>
      </c>
      <c r="C22" s="207">
        <f>[30]Query!$M$371</f>
        <v>2272794.8900000006</v>
      </c>
      <c r="D22" s="208">
        <f>'[12]GA Analysis '!G53</f>
        <v>0.10652</v>
      </c>
      <c r="E22" s="206">
        <f t="shared" si="0"/>
        <v>242098.11168280008</v>
      </c>
      <c r="F22" s="209">
        <f t="shared" si="1"/>
        <v>0</v>
      </c>
      <c r="G22" s="214" t="s">
        <v>95</v>
      </c>
    </row>
    <row r="23" spans="1:9">
      <c r="A23" s="205">
        <v>42948</v>
      </c>
      <c r="B23" s="206"/>
      <c r="C23" s="207"/>
      <c r="D23" s="215">
        <f>'[12]GA Analysis '!G54</f>
        <v>0.115</v>
      </c>
      <c r="E23" s="206">
        <f t="shared" si="0"/>
        <v>0</v>
      </c>
      <c r="F23" s="209">
        <f t="shared" si="1"/>
        <v>0</v>
      </c>
    </row>
    <row r="24" spans="1:9">
      <c r="A24" s="205">
        <v>42979</v>
      </c>
      <c r="B24" s="206"/>
      <c r="C24" s="207"/>
      <c r="D24" s="208">
        <f>'[12]GA Analysis '!G55</f>
        <v>0.12739</v>
      </c>
      <c r="E24" s="206">
        <f t="shared" si="0"/>
        <v>0</v>
      </c>
      <c r="F24" s="209">
        <f t="shared" si="1"/>
        <v>0</v>
      </c>
      <c r="H24" s="202" t="s">
        <v>96</v>
      </c>
      <c r="I24" s="210">
        <f>F27</f>
        <v>0</v>
      </c>
    </row>
    <row r="25" spans="1:9">
      <c r="A25" s="205">
        <v>43009</v>
      </c>
      <c r="B25" s="206"/>
      <c r="C25" s="207"/>
      <c r="D25" s="208">
        <f>'[12]GA Analysis '!G56</f>
        <v>0.10212</v>
      </c>
      <c r="E25" s="206">
        <f t="shared" si="0"/>
        <v>0</v>
      </c>
      <c r="F25" s="209">
        <f t="shared" si="1"/>
        <v>0</v>
      </c>
      <c r="H25" s="202" t="s">
        <v>97</v>
      </c>
      <c r="I25" s="211">
        <f>F15</f>
        <v>37942.244896199962</v>
      </c>
    </row>
    <row r="26" spans="1:9">
      <c r="A26" s="205">
        <v>43040</v>
      </c>
      <c r="B26" s="206"/>
      <c r="C26" s="207"/>
      <c r="D26" s="208">
        <f>'[12]GA Analysis '!G57</f>
        <v>0.11164</v>
      </c>
      <c r="E26" s="206">
        <f t="shared" si="0"/>
        <v>0</v>
      </c>
      <c r="F26" s="209">
        <f t="shared" si="1"/>
        <v>0</v>
      </c>
      <c r="I26" s="212">
        <f>I24-I25</f>
        <v>-37942.244896199962</v>
      </c>
    </row>
    <row r="27" spans="1:9">
      <c r="A27" s="205">
        <v>43070</v>
      </c>
      <c r="B27" s="206"/>
      <c r="C27" s="207"/>
      <c r="D27" s="208">
        <f>'[12]GA Analysis '!G58</f>
        <v>8.3909999999999998E-2</v>
      </c>
      <c r="E27" s="206">
        <f t="shared" si="0"/>
        <v>0</v>
      </c>
      <c r="F27" s="209">
        <f t="shared" si="1"/>
        <v>0</v>
      </c>
    </row>
  </sheetData>
  <mergeCells count="1">
    <mergeCell ref="A1:A2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1.GA Detailed Analysis</vt:lpstr>
      <vt:lpstr>2.RPP True-up</vt:lpstr>
      <vt:lpstr>3.IESO Invoice Analysis</vt:lpstr>
      <vt:lpstr>4.UBR Retailer Contract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Colleen Calhoun</dc:creator>
  <cp:lastModifiedBy>Laura van Eykeren</cp:lastModifiedBy>
  <cp:lastPrinted>2018-08-09T14:08:05Z</cp:lastPrinted>
  <dcterms:created xsi:type="dcterms:W3CDTF">2018-07-19T11:48:18Z</dcterms:created>
  <dcterms:modified xsi:type="dcterms:W3CDTF">2018-08-09T14:08:14Z</dcterms:modified>
</cp:coreProperties>
</file>