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\Departments\Regulatory\ACTIVE APPLICATIONS\API_2019_IRM\Models\"/>
    </mc:Choice>
  </mc:AlternateContent>
  <bookViews>
    <workbookView xWindow="0" yWindow="0" windowWidth="28800" windowHeight="12300"/>
  </bookViews>
  <sheets>
    <sheet name="R1(ii) Bill Impact 2000kWh" sheetId="1" r:id="rId1"/>
  </sheets>
  <externalReferences>
    <externalReference r:id="rId2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3" i="1"/>
  <c r="I32" i="1"/>
  <c r="H14" i="1" l="1"/>
  <c r="I30" i="1"/>
  <c r="K30" i="1" s="1"/>
  <c r="H30" i="1"/>
  <c r="G28" i="1"/>
  <c r="H28" i="1" s="1"/>
  <c r="J26" i="1"/>
  <c r="K26" i="1" s="1"/>
  <c r="G25" i="1"/>
  <c r="H25" i="1" s="1"/>
  <c r="J23" i="1"/>
  <c r="K23" i="1" s="1"/>
  <c r="K22" i="1"/>
  <c r="H22" i="1"/>
  <c r="G21" i="1"/>
  <c r="H21" i="1" s="1"/>
  <c r="G19" i="1"/>
  <c r="H19" i="1" s="1"/>
  <c r="J18" i="1"/>
  <c r="K18" i="1" s="1"/>
  <c r="G15" i="1"/>
  <c r="H15" i="1" s="1"/>
  <c r="J14" i="1"/>
  <c r="K14" i="1" s="1"/>
  <c r="J13" i="1"/>
  <c r="K13" i="1" s="1"/>
  <c r="J12" i="1"/>
  <c r="K12" i="1" s="1"/>
  <c r="H12" i="1"/>
  <c r="G26" i="1"/>
  <c r="H26" i="1" s="1"/>
  <c r="L30" i="1" l="1"/>
  <c r="M30" i="1" s="1"/>
  <c r="L12" i="1"/>
  <c r="M12" i="1" s="1"/>
  <c r="L22" i="1"/>
  <c r="M22" i="1" s="1"/>
  <c r="L26" i="1"/>
  <c r="M26" i="1" s="1"/>
  <c r="G34" i="1"/>
  <c r="H34" i="1" s="1"/>
  <c r="G33" i="1"/>
  <c r="H33" i="1" s="1"/>
  <c r="G32" i="1"/>
  <c r="H32" i="1" s="1"/>
  <c r="G29" i="1"/>
  <c r="H29" i="1" s="1"/>
  <c r="J28" i="1"/>
  <c r="K28" i="1" s="1"/>
  <c r="G20" i="1"/>
  <c r="H20" i="1" s="1"/>
  <c r="G17" i="1"/>
  <c r="H17" i="1" s="1"/>
  <c r="J34" i="1"/>
  <c r="K34" i="1" s="1"/>
  <c r="J33" i="1"/>
  <c r="K33" i="1" s="1"/>
  <c r="J32" i="1"/>
  <c r="K32" i="1" s="1"/>
  <c r="J17" i="1"/>
  <c r="K17" i="1" s="1"/>
  <c r="J29" i="1"/>
  <c r="K29" i="1" s="1"/>
  <c r="J20" i="1"/>
  <c r="K20" i="1" s="1"/>
  <c r="G13" i="1"/>
  <c r="H13" i="1" s="1"/>
  <c r="J15" i="1"/>
  <c r="K15" i="1" s="1"/>
  <c r="L15" i="1" s="1"/>
  <c r="M15" i="1" s="1"/>
  <c r="G18" i="1"/>
  <c r="H18" i="1" s="1"/>
  <c r="L18" i="1" s="1"/>
  <c r="M18" i="1" s="1"/>
  <c r="J19" i="1"/>
  <c r="K19" i="1" s="1"/>
  <c r="L19" i="1" s="1"/>
  <c r="M19" i="1" s="1"/>
  <c r="J21" i="1"/>
  <c r="K21" i="1" s="1"/>
  <c r="L21" i="1" s="1"/>
  <c r="M21" i="1" s="1"/>
  <c r="G23" i="1"/>
  <c r="H23" i="1" s="1"/>
  <c r="L23" i="1" s="1"/>
  <c r="M23" i="1" s="1"/>
  <c r="J25" i="1"/>
  <c r="K25" i="1" s="1"/>
  <c r="L25" i="1" s="1"/>
  <c r="M25" i="1" s="1"/>
  <c r="L32" i="1" l="1"/>
  <c r="M32" i="1" s="1"/>
  <c r="L34" i="1"/>
  <c r="M34" i="1" s="1"/>
  <c r="L33" i="1"/>
  <c r="M33" i="1" s="1"/>
  <c r="L17" i="1"/>
  <c r="M17" i="1" s="1"/>
  <c r="K16" i="1"/>
  <c r="K24" i="1" s="1"/>
  <c r="L14" i="1"/>
  <c r="M14" i="1" s="1"/>
  <c r="L28" i="1"/>
  <c r="M28" i="1" s="1"/>
  <c r="H16" i="1"/>
  <c r="L13" i="1"/>
  <c r="M13" i="1" s="1"/>
  <c r="L20" i="1"/>
  <c r="M20" i="1" s="1"/>
  <c r="L29" i="1"/>
  <c r="M29" i="1" s="1"/>
  <c r="K27" i="1" l="1"/>
  <c r="K36" i="1" s="1"/>
  <c r="K38" i="1" s="1"/>
  <c r="H24" i="1"/>
  <c r="L24" i="1" s="1"/>
  <c r="L16" i="1"/>
  <c r="M16" i="1" s="1"/>
  <c r="K37" i="1" l="1"/>
  <c r="K39" i="1" s="1"/>
  <c r="M24" i="1"/>
  <c r="H27" i="1"/>
  <c r="H36" i="1" l="1"/>
  <c r="L27" i="1"/>
  <c r="M27" i="1" s="1"/>
  <c r="H38" i="1" l="1"/>
  <c r="L38" i="1" s="1"/>
  <c r="H37" i="1"/>
  <c r="L36" i="1"/>
  <c r="M36" i="1" s="1"/>
  <c r="H39" i="1" l="1"/>
  <c r="L39" i="1" s="1"/>
  <c r="M39" i="1" s="1"/>
  <c r="L37" i="1"/>
  <c r="M37" i="1" s="1"/>
</calcChain>
</file>

<file path=xl/sharedStrings.xml><?xml version="1.0" encoding="utf-8"?>
<sst xmlns="http://schemas.openxmlformats.org/spreadsheetml/2006/main" count="52" uniqueCount="46">
  <si>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</si>
  <si>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</si>
  <si>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</si>
  <si>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</si>
  <si>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</si>
  <si>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</si>
  <si>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</si>
  <si>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</si>
  <si>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</si>
  <si>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</si>
  <si>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</si>
  <si>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</si>
  <si>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</si>
  <si>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</si>
  <si>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</si>
  <si>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</si>
  <si>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</si>
  <si>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</si>
  <si>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</si>
  <si>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</si>
  <si>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</si>
  <si>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</si>
  <si>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</si>
  <si>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</si>
  <si>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</si>
  <si>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</si>
  <si>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</si>
  <si>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</si>
  <si>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</si>
  <si>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</si>
  <si>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</si>
  <si>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</si>
  <si>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</si>
  <si>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</si>
  <si>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</si>
  <si>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</si>
  <si>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</si>
  <si>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</si>
  <si>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</si>
  <si>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</si>
  <si>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Total Bill on TOU (before Taxes)</t>
  </si>
  <si>
    <t>HST</t>
  </si>
  <si>
    <t>8% Rebate</t>
  </si>
  <si>
    <t>Total Bill on TOU</t>
  </si>
  <si>
    <t>RPP</t>
  </si>
  <si>
    <t>RESIDENTIAL R1(ii) SERVICE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</si>
</sst>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_-;\-* #,##0_-;_-* &quot;-&quot;??_-;_-@_-"/>
    <numFmt numFmtId="166" formatCode="0.0000"/>
    <numFmt numFmtId="167" formatCode="_(&quot;$&quot;* #,##0.00_);_(&quot;$&quot;* \(#,##0.00\);_(&quot;$&quot;* &quot;-&quot;??_);_(@_)"/>
    <numFmt numFmtId="168" formatCode="_-&quot;$&quot;* #,##0.0000_-;\-&quot;$&quot;* #,##0.00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1" fillId="0" borderId="0" xfId="1" applyFont="1" applyFill="1" applyAlignment="1" applyProtection="1">
      <alignment vertical="top" wrapText="1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vertical="top" wrapText="1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166" fontId="2" fillId="2" borderId="1" xfId="3" applyNumberFormat="1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167" fontId="6" fillId="0" borderId="7" xfId="4" applyFont="1" applyBorder="1" applyAlignment="1" applyProtection="1">
      <alignment vertical="center"/>
      <protection locked="0"/>
    </xf>
    <xf numFmtId="167" fontId="7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167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8" fontId="2" fillId="2" borderId="9" xfId="4" applyNumberFormat="1" applyFont="1" applyFill="1" applyBorder="1" applyAlignment="1" applyProtection="1">
      <alignment horizontal="left" vertical="center"/>
      <protection locked="0"/>
    </xf>
    <xf numFmtId="168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8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167" fontId="8" fillId="3" borderId="5" xfId="4" applyFont="1" applyFill="1" applyBorder="1" applyAlignment="1" applyProtection="1">
      <alignment vertical="center"/>
      <protection locked="0"/>
    </xf>
    <xf numFmtId="168" fontId="7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167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165" fontId="1" fillId="4" borderId="9" xfId="2" applyNumberFormat="1" applyFont="1" applyFill="1" applyBorder="1" applyAlignment="1" applyProtection="1">
      <alignment vertical="center"/>
      <protection locked="0"/>
    </xf>
    <xf numFmtId="165" fontId="1" fillId="0" borderId="9" xfId="2" applyNumberFormat="1" applyFont="1" applyFill="1" applyBorder="1" applyAlignment="1" applyProtection="1">
      <alignment vertical="center"/>
      <protection locked="0"/>
    </xf>
    <xf numFmtId="44" fontId="2" fillId="2" borderId="9" xfId="4" applyNumberFormat="1" applyFont="1" applyFill="1" applyBorder="1" applyAlignment="1" applyProtection="1">
      <alignment horizontal="left" vertical="center"/>
      <protection locked="0"/>
    </xf>
    <xf numFmtId="44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167" fontId="2" fillId="3" borderId="5" xfId="1" applyNumberFormat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 wrapText="1"/>
    </xf>
    <xf numFmtId="167" fontId="1" fillId="0" borderId="7" xfId="4" applyFont="1" applyBorder="1" applyAlignment="1" applyProtection="1">
      <alignment vertical="center"/>
      <protection locked="0"/>
    </xf>
    <xf numFmtId="168" fontId="2" fillId="0" borderId="9" xfId="4" applyNumberFormat="1" applyFont="1" applyFill="1" applyBorder="1" applyAlignment="1" applyProtection="1">
      <alignment horizontal="left" vertical="center"/>
      <protection locked="0"/>
    </xf>
    <xf numFmtId="165" fontId="1" fillId="2" borderId="9" xfId="2" applyNumberFormat="1" applyFont="1" applyFill="1" applyBorder="1" applyAlignment="1" applyProtection="1">
      <alignment vertical="center"/>
      <protection locked="0"/>
    </xf>
    <xf numFmtId="168" fontId="7" fillId="0" borderId="9" xfId="4" applyNumberFormat="1" applyFont="1" applyFill="1" applyBorder="1" applyAlignment="1" applyProtection="1">
      <alignment horizontal="left" vertical="center"/>
      <protection locked="0"/>
    </xf>
    <xf numFmtId="0" fontId="1" fillId="5" borderId="12" xfId="1" applyFont="1" applyFill="1" applyBorder="1" applyProtection="1">
      <protection locked="0"/>
    </xf>
    <xf numFmtId="0" fontId="1" fillId="5" borderId="13" xfId="1" applyFill="1" applyBorder="1" applyAlignment="1" applyProtection="1">
      <alignment vertical="top"/>
      <protection locked="0"/>
    </xf>
    <xf numFmtId="168" fontId="1" fillId="5" borderId="14" xfId="4" applyNumberFormat="1" applyFont="1" applyFill="1" applyBorder="1" applyAlignment="1" applyProtection="1">
      <alignment vertical="top"/>
      <protection locked="0"/>
    </xf>
    <xf numFmtId="0" fontId="1" fillId="5" borderId="15" xfId="1" applyFont="1" applyFill="1" applyBorder="1" applyAlignment="1" applyProtection="1">
      <alignment vertical="center"/>
      <protection locked="0"/>
    </xf>
    <xf numFmtId="167" fontId="1" fillId="5" borderId="13" xfId="4" applyFont="1" applyFill="1" applyBorder="1" applyAlignment="1" applyProtection="1">
      <alignment vertical="center"/>
      <protection locked="0"/>
    </xf>
    <xf numFmtId="0" fontId="1" fillId="5" borderId="14" xfId="1" applyFont="1" applyFill="1" applyBorder="1" applyAlignment="1" applyProtection="1">
      <alignment vertical="center"/>
      <protection locked="0"/>
    </xf>
    <xf numFmtId="167" fontId="1" fillId="5" borderId="14" xfId="1" applyNumberFormat="1" applyFont="1" applyFill="1" applyBorder="1" applyAlignment="1" applyProtection="1">
      <alignment vertical="center"/>
      <protection locked="0"/>
    </xf>
    <xf numFmtId="10" fontId="1" fillId="5" borderId="16" xfId="3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167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167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167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167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vertical="top"/>
      <protection locked="0"/>
    </xf>
    <xf numFmtId="0" fontId="1" fillId="6" borderId="11" xfId="1" applyFont="1" applyFill="1" applyBorder="1" applyAlignment="1" applyProtection="1">
      <alignment vertical="center"/>
      <protection locked="0"/>
    </xf>
    <xf numFmtId="167" fontId="2" fillId="6" borderId="17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167" fontId="2" fillId="6" borderId="18" xfId="1" applyNumberFormat="1" applyFont="1" applyFill="1" applyBorder="1" applyAlignment="1" applyProtection="1">
      <alignment vertical="center"/>
      <protection locked="0"/>
    </xf>
    <xf numFmtId="167" fontId="2" fillId="6" borderId="2" xfId="1" applyNumberFormat="1" applyFont="1" applyFill="1" applyBorder="1" applyAlignment="1" applyProtection="1">
      <alignment vertical="center"/>
      <protection locked="0"/>
    </xf>
    <xf numFmtId="10" fontId="2" fillId="6" borderId="10" xfId="3" applyNumberFormat="1" applyFont="1" applyFill="1" applyBorder="1" applyAlignment="1" applyProtection="1">
      <alignment vertical="center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</cellXfs>
  <cellStyles count="5">
    <cellStyle name="Comma 4" xfId="2"/>
    <cellStyle name="Currency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CTIVE%20APPLICATIONS/API_2018_IRM/Models/2018%20IRM%20Rate%20Generator%20Model%20-%20V1.0_API_201708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>
            <v>0.25</v>
          </cell>
        </row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40"/>
  <sheetViews>
    <sheetView showGridLines="0" tabSelected="1" view="pageBreakPreview" zoomScale="80" zoomScaleNormal="100" zoomScaleSheetLayoutView="80" workbookViewId="0">
      <selection activeCell="I37" sqref="I37"/>
    </sheetView>
  </sheetViews>
  <sheetFormatPr defaultRowHeight="15" x14ac:dyDescent="0.25"/>
  <cols>
    <col min="1" max="1" width="1.140625" customWidth="1"/>
    <col min="2" max="2" width="1.42578125" customWidth="1"/>
    <col min="3" max="3" width="3.42578125" customWidth="1"/>
    <col min="4" max="4" width="34.7109375" customWidth="1"/>
    <col min="5" max="5" width="13.140625" customWidth="1"/>
    <col min="6" max="6" width="26.85546875" customWidth="1"/>
    <col min="7" max="7" width="10.28515625" bestFit="1" customWidth="1"/>
    <col min="8" max="8" width="18.140625" customWidth="1"/>
    <col min="9" max="9" width="12.85546875" customWidth="1"/>
    <col min="10" max="10" width="14.28515625" bestFit="1" customWidth="1"/>
    <col min="11" max="11" width="18.85546875" bestFit="1" customWidth="1"/>
    <col min="12" max="12" width="13.5703125" bestFit="1" customWidth="1"/>
    <col min="13" max="13" width="15.85546875" customWidth="1"/>
  </cols>
  <sheetData>
    <row r="2" spans="4:13" x14ac:dyDescent="0.25">
      <c r="D2" s="1" t="s">
        <v>0</v>
      </c>
      <c r="E2" s="93" t="s">
        <v>45</v>
      </c>
      <c r="F2" s="93"/>
      <c r="G2" s="93"/>
      <c r="H2" s="93"/>
      <c r="I2" s="93"/>
      <c r="J2" s="93"/>
      <c r="K2" s="2"/>
      <c r="L2" s="2"/>
      <c r="M2" s="2"/>
    </row>
    <row r="3" spans="4:13" x14ac:dyDescent="0.25">
      <c r="D3" s="1" t="s">
        <v>1</v>
      </c>
      <c r="E3" s="94" t="s">
        <v>44</v>
      </c>
      <c r="F3" s="94"/>
      <c r="G3" s="94"/>
      <c r="H3" s="3"/>
      <c r="I3" s="3"/>
      <c r="J3" s="2"/>
      <c r="K3" s="2"/>
      <c r="L3" s="2"/>
      <c r="M3" s="2"/>
    </row>
    <row r="4" spans="4:13" ht="15.75" x14ac:dyDescent="0.25">
      <c r="D4" s="1" t="s">
        <v>2</v>
      </c>
      <c r="E4" s="25">
        <v>2000</v>
      </c>
      <c r="F4" s="4" t="s">
        <v>3</v>
      </c>
      <c r="G4" s="5"/>
      <c r="H4" s="2"/>
      <c r="I4" s="2"/>
      <c r="J4" s="6"/>
      <c r="K4" s="6"/>
      <c r="L4" s="6"/>
      <c r="M4" s="6"/>
    </row>
    <row r="5" spans="4:13" ht="15.75" x14ac:dyDescent="0.25">
      <c r="D5" s="1" t="s">
        <v>4</v>
      </c>
      <c r="E5" s="25">
        <v>0</v>
      </c>
      <c r="F5" s="7" t="s">
        <v>5</v>
      </c>
      <c r="G5" s="8"/>
      <c r="H5" s="9"/>
      <c r="I5" s="9"/>
      <c r="J5" s="9"/>
      <c r="K5" s="2"/>
      <c r="L5" s="2"/>
      <c r="M5" s="2"/>
    </row>
    <row r="6" spans="4:13" x14ac:dyDescent="0.25">
      <c r="D6" s="1" t="s">
        <v>6</v>
      </c>
      <c r="E6" s="26">
        <v>1.0916999999999999</v>
      </c>
      <c r="F6" s="2"/>
      <c r="G6" s="2"/>
      <c r="H6" s="2"/>
      <c r="I6" s="2"/>
      <c r="J6" s="2"/>
      <c r="K6" s="2"/>
      <c r="L6" s="2"/>
      <c r="M6" s="2"/>
    </row>
    <row r="7" spans="4:13" x14ac:dyDescent="0.25">
      <c r="D7" s="1" t="s">
        <v>7</v>
      </c>
      <c r="E7" s="26">
        <v>1.0916999999999999</v>
      </c>
      <c r="F7" s="2"/>
      <c r="G7" s="2"/>
      <c r="H7" s="2"/>
      <c r="I7" s="2"/>
      <c r="J7" s="2"/>
      <c r="K7" s="2"/>
      <c r="L7" s="2"/>
      <c r="M7" s="2"/>
    </row>
    <row r="8" spans="4:13" x14ac:dyDescent="0.25">
      <c r="D8" s="5"/>
      <c r="E8" s="2"/>
      <c r="F8" s="2"/>
      <c r="G8" s="2"/>
      <c r="H8" s="2"/>
      <c r="I8" s="2"/>
      <c r="J8" s="2"/>
      <c r="K8" s="2"/>
      <c r="L8" s="2"/>
      <c r="M8" s="2"/>
    </row>
    <row r="9" spans="4:13" x14ac:dyDescent="0.25">
      <c r="D9" s="5"/>
      <c r="E9" s="10"/>
      <c r="F9" s="95" t="s">
        <v>8</v>
      </c>
      <c r="G9" s="96"/>
      <c r="H9" s="97"/>
      <c r="I9" s="95" t="s">
        <v>9</v>
      </c>
      <c r="J9" s="96"/>
      <c r="K9" s="97"/>
      <c r="L9" s="95" t="s">
        <v>10</v>
      </c>
      <c r="M9" s="97"/>
    </row>
    <row r="10" spans="4:13" x14ac:dyDescent="0.25">
      <c r="D10" s="5"/>
      <c r="E10" s="100"/>
      <c r="F10" s="27" t="s">
        <v>11</v>
      </c>
      <c r="G10" s="27" t="s">
        <v>12</v>
      </c>
      <c r="H10" s="28" t="s">
        <v>13</v>
      </c>
      <c r="I10" s="27" t="s">
        <v>11</v>
      </c>
      <c r="J10" s="29" t="s">
        <v>12</v>
      </c>
      <c r="K10" s="28" t="s">
        <v>13</v>
      </c>
      <c r="L10" s="98" t="s">
        <v>14</v>
      </c>
      <c r="M10" s="90" t="s">
        <v>15</v>
      </c>
    </row>
    <row r="11" spans="4:13" x14ac:dyDescent="0.25">
      <c r="D11" s="5"/>
      <c r="E11" s="101"/>
      <c r="F11" s="30" t="s">
        <v>16</v>
      </c>
      <c r="G11" s="30"/>
      <c r="H11" s="31" t="s">
        <v>16</v>
      </c>
      <c r="I11" s="30" t="s">
        <v>16</v>
      </c>
      <c r="J11" s="31"/>
      <c r="K11" s="31" t="s">
        <v>16</v>
      </c>
      <c r="L11" s="99"/>
      <c r="M11" s="91"/>
    </row>
    <row r="12" spans="4:13" x14ac:dyDescent="0.25">
      <c r="D12" s="11" t="s">
        <v>17</v>
      </c>
      <c r="E12" s="12"/>
      <c r="F12" s="32">
        <v>25.08</v>
      </c>
      <c r="G12" s="33">
        <v>1</v>
      </c>
      <c r="H12" s="34">
        <f>G12*F12</f>
        <v>25.08</v>
      </c>
      <c r="I12" s="35">
        <v>25.71</v>
      </c>
      <c r="J12" s="36">
        <f>G12</f>
        <v>1</v>
      </c>
      <c r="K12" s="34">
        <f>J12*I12</f>
        <v>25.71</v>
      </c>
      <c r="L12" s="37">
        <f t="shared" ref="L12:L30" si="0">K12-H12</f>
        <v>0.63000000000000256</v>
      </c>
      <c r="M12" s="38">
        <f>IF(ISERROR(L12/H12), "", L12/H12)</f>
        <v>2.5119617224880486E-2</v>
      </c>
    </row>
    <row r="13" spans="4:13" x14ac:dyDescent="0.25">
      <c r="D13" s="11" t="s">
        <v>18</v>
      </c>
      <c r="E13" s="12"/>
      <c r="F13" s="39">
        <v>3.5299999999999998E-2</v>
      </c>
      <c r="G13" s="33">
        <f>IF($E5&gt;0, $E5, $E4)</f>
        <v>2000</v>
      </c>
      <c r="H13" s="34">
        <f t="shared" ref="H13:H21" si="1">G13*F13</f>
        <v>70.599999999999994</v>
      </c>
      <c r="I13" s="40">
        <v>3.6200000000000003E-2</v>
      </c>
      <c r="J13" s="36">
        <f>IF($E5&gt;0, $E5, $E4)</f>
        <v>2000</v>
      </c>
      <c r="K13" s="34">
        <f>J13*I13</f>
        <v>72.400000000000006</v>
      </c>
      <c r="L13" s="37">
        <f t="shared" si="0"/>
        <v>1.8000000000000114</v>
      </c>
      <c r="M13" s="38">
        <f t="shared" ref="M13:M21" si="2">IF(ISERROR(L13/H13), "", L13/H13)</f>
        <v>2.549575070821546E-2</v>
      </c>
    </row>
    <row r="14" spans="4:13" x14ac:dyDescent="0.25">
      <c r="D14" s="14" t="s">
        <v>19</v>
      </c>
      <c r="E14" s="12"/>
      <c r="F14" s="32">
        <v>0</v>
      </c>
      <c r="G14" s="33">
        <v>1</v>
      </c>
      <c r="H14" s="34">
        <f t="shared" si="1"/>
        <v>0</v>
      </c>
      <c r="I14" s="35">
        <v>0</v>
      </c>
      <c r="J14" s="36">
        <f>G14</f>
        <v>1</v>
      </c>
      <c r="K14" s="34">
        <f>J14*I14</f>
        <v>0</v>
      </c>
      <c r="L14" s="37">
        <f t="shared" si="0"/>
        <v>0</v>
      </c>
      <c r="M14" s="38" t="str">
        <f t="shared" si="2"/>
        <v/>
      </c>
    </row>
    <row r="15" spans="4:13" x14ac:dyDescent="0.25">
      <c r="D15" s="11" t="s">
        <v>20</v>
      </c>
      <c r="E15" s="12"/>
      <c r="F15" s="39">
        <v>-1.9E-3</v>
      </c>
      <c r="G15" s="33">
        <f>IF($E5&gt;0, $E5, $E4)</f>
        <v>2000</v>
      </c>
      <c r="H15" s="34">
        <f t="shared" si="1"/>
        <v>-3.8</v>
      </c>
      <c r="I15" s="40">
        <v>-1.9E-3</v>
      </c>
      <c r="J15" s="36">
        <f>IF($E5&gt;0, $E5, $E4)</f>
        <v>2000</v>
      </c>
      <c r="K15" s="34">
        <f t="shared" ref="K15:K21" si="3">J15*I15</f>
        <v>-3.8</v>
      </c>
      <c r="L15" s="37">
        <f t="shared" si="0"/>
        <v>0</v>
      </c>
      <c r="M15" s="38">
        <f t="shared" si="2"/>
        <v>0</v>
      </c>
    </row>
    <row r="16" spans="4:13" x14ac:dyDescent="0.25">
      <c r="D16" s="41" t="s">
        <v>21</v>
      </c>
      <c r="E16" s="42"/>
      <c r="F16" s="43"/>
      <c r="G16" s="44"/>
      <c r="H16" s="45">
        <f>SUM(H12:H15)</f>
        <v>91.88</v>
      </c>
      <c r="I16" s="46"/>
      <c r="J16" s="47"/>
      <c r="K16" s="45">
        <f>SUM(K12:K15)</f>
        <v>94.310000000000016</v>
      </c>
      <c r="L16" s="48">
        <f t="shared" si="0"/>
        <v>2.430000000000021</v>
      </c>
      <c r="M16" s="49">
        <f>IF((H16)=0,"",(L16/H16))</f>
        <v>2.6447540269917514E-2</v>
      </c>
    </row>
    <row r="17" spans="4:13" x14ac:dyDescent="0.25">
      <c r="D17" s="15" t="s">
        <v>22</v>
      </c>
      <c r="E17" s="12"/>
      <c r="F17" s="39">
        <v>8.2000000000000003E-2</v>
      </c>
      <c r="G17" s="50">
        <f>IF(F17=0, 0, $E4*E6-E4)</f>
        <v>183.39999999999964</v>
      </c>
      <c r="H17" s="34">
        <f>G17*F17</f>
        <v>15.03879999999997</v>
      </c>
      <c r="I17" s="40">
        <v>8.2000000000000003E-2</v>
      </c>
      <c r="J17" s="50">
        <f>IF(I17=0, 0, E4*E7-E4)</f>
        <v>183.39999999999964</v>
      </c>
      <c r="K17" s="34">
        <f>J17*I17</f>
        <v>15.03879999999997</v>
      </c>
      <c r="L17" s="37">
        <f>K17-H17</f>
        <v>0</v>
      </c>
      <c r="M17" s="38">
        <f>IF(ISERROR(L17/H17), "", L17/H17)</f>
        <v>0</v>
      </c>
    </row>
    <row r="18" spans="4:13" ht="25.5" x14ac:dyDescent="0.25">
      <c r="D18" s="15" t="s">
        <v>23</v>
      </c>
      <c r="E18" s="12"/>
      <c r="F18" s="39">
        <v>3.3E-3</v>
      </c>
      <c r="G18" s="51">
        <f>IF($E5&gt;0, $E5, $E4)</f>
        <v>2000</v>
      </c>
      <c r="H18" s="34">
        <f t="shared" si="1"/>
        <v>6.6</v>
      </c>
      <c r="I18" s="40">
        <v>-1.1000000000000001E-3</v>
      </c>
      <c r="J18" s="51">
        <f>IF($E5&gt;0, $E5, $E4)</f>
        <v>2000</v>
      </c>
      <c r="K18" s="34">
        <f t="shared" si="3"/>
        <v>-2.2000000000000002</v>
      </c>
      <c r="L18" s="37">
        <f t="shared" si="0"/>
        <v>-8.8000000000000007</v>
      </c>
      <c r="M18" s="38">
        <f t="shared" si="2"/>
        <v>-1.3333333333333335</v>
      </c>
    </row>
    <row r="19" spans="4:13" x14ac:dyDescent="0.25">
      <c r="D19" s="15" t="s">
        <v>24</v>
      </c>
      <c r="E19" s="12"/>
      <c r="F19" s="39">
        <v>-1E-4</v>
      </c>
      <c r="G19" s="51">
        <f>IF($E5&gt;0, $E5, $E4)</f>
        <v>2000</v>
      </c>
      <c r="H19" s="34">
        <f>G19*F19</f>
        <v>-0.2</v>
      </c>
      <c r="I19" s="40">
        <v>0</v>
      </c>
      <c r="J19" s="51">
        <f>IF($E5&gt;0, $E5, $E4)</f>
        <v>2000</v>
      </c>
      <c r="K19" s="34">
        <f>J19*I19</f>
        <v>0</v>
      </c>
      <c r="L19" s="37">
        <f t="shared" si="0"/>
        <v>0.2</v>
      </c>
      <c r="M19" s="38">
        <f t="shared" si="2"/>
        <v>-1</v>
      </c>
    </row>
    <row r="20" spans="4:13" x14ac:dyDescent="0.25">
      <c r="D20" s="15" t="s">
        <v>25</v>
      </c>
      <c r="E20" s="12"/>
      <c r="F20" s="39">
        <v>0</v>
      </c>
      <c r="G20" s="51">
        <f>E4</f>
        <v>2000</v>
      </c>
      <c r="H20" s="34">
        <f>G20*F20</f>
        <v>0</v>
      </c>
      <c r="I20" s="40">
        <v>0</v>
      </c>
      <c r="J20" s="51">
        <f>E4</f>
        <v>2000</v>
      </c>
      <c r="K20" s="34">
        <f t="shared" si="3"/>
        <v>0</v>
      </c>
      <c r="L20" s="37">
        <f t="shared" si="0"/>
        <v>0</v>
      </c>
      <c r="M20" s="38" t="str">
        <f t="shared" si="2"/>
        <v/>
      </c>
    </row>
    <row r="21" spans="4:13" x14ac:dyDescent="0.25">
      <c r="D21" s="16" t="s">
        <v>26</v>
      </c>
      <c r="E21" s="12"/>
      <c r="F21" s="39">
        <v>0</v>
      </c>
      <c r="G21" s="51">
        <f>IF($E5&gt;0, $E5, $E4)</f>
        <v>2000</v>
      </c>
      <c r="H21" s="34">
        <f t="shared" si="1"/>
        <v>0</v>
      </c>
      <c r="I21" s="40"/>
      <c r="J21" s="51">
        <f>IF($E5&gt;0, $E5, $E4)</f>
        <v>2000</v>
      </c>
      <c r="K21" s="34">
        <f t="shared" si="3"/>
        <v>0</v>
      </c>
      <c r="L21" s="37">
        <f t="shared" si="0"/>
        <v>0</v>
      </c>
      <c r="M21" s="38" t="str">
        <f t="shared" si="2"/>
        <v/>
      </c>
    </row>
    <row r="22" spans="4:13" ht="51" x14ac:dyDescent="0.25">
      <c r="D22" s="17" t="s">
        <v>27</v>
      </c>
      <c r="E22" s="12"/>
      <c r="F22" s="52">
        <v>0.56999999999999995</v>
      </c>
      <c r="G22" s="33">
        <v>1</v>
      </c>
      <c r="H22" s="34">
        <f>G22*F22</f>
        <v>0.56999999999999995</v>
      </c>
      <c r="I22" s="53">
        <v>0.56999999999999995</v>
      </c>
      <c r="J22" s="33">
        <v>1</v>
      </c>
      <c r="K22" s="34">
        <f>J22*I22</f>
        <v>0.56999999999999995</v>
      </c>
      <c r="L22" s="37">
        <f t="shared" si="0"/>
        <v>0</v>
      </c>
      <c r="M22" s="38">
        <f>IF(ISERROR(L22/H22), "", L22/H22)</f>
        <v>0</v>
      </c>
    </row>
    <row r="23" spans="4:13" x14ac:dyDescent="0.25">
      <c r="D23" s="16" t="s">
        <v>28</v>
      </c>
      <c r="E23" s="12"/>
      <c r="F23" s="39"/>
      <c r="G23" s="51">
        <f>IF($E5&gt;0, $E5, $E4)</f>
        <v>2000</v>
      </c>
      <c r="H23" s="34">
        <f>G23*F23</f>
        <v>0</v>
      </c>
      <c r="I23" s="40">
        <v>0</v>
      </c>
      <c r="J23" s="51">
        <f>IF($E5&gt;0, $E5, $E4)</f>
        <v>2000</v>
      </c>
      <c r="K23" s="34">
        <f>J23*I23</f>
        <v>0</v>
      </c>
      <c r="L23" s="37">
        <f t="shared" si="0"/>
        <v>0</v>
      </c>
      <c r="M23" s="38" t="str">
        <f>IF(ISERROR(L23/H23), "", L23/H23)</f>
        <v/>
      </c>
    </row>
    <row r="24" spans="4:13" ht="25.5" x14ac:dyDescent="0.25">
      <c r="D24" s="54" t="s">
        <v>29</v>
      </c>
      <c r="E24" s="55"/>
      <c r="F24" s="56"/>
      <c r="G24" s="57"/>
      <c r="H24" s="58">
        <f>SUM(H16:H23)</f>
        <v>113.88879999999995</v>
      </c>
      <c r="I24" s="59"/>
      <c r="J24" s="60"/>
      <c r="K24" s="58">
        <f>SUM(K16:K23)</f>
        <v>107.71879999999997</v>
      </c>
      <c r="L24" s="48">
        <f t="shared" si="0"/>
        <v>-6.1699999999999733</v>
      </c>
      <c r="M24" s="49">
        <f>IF((H24)=0,"",(L24/H24))</f>
        <v>-5.417565203953309E-2</v>
      </c>
    </row>
    <row r="25" spans="4:13" x14ac:dyDescent="0.25">
      <c r="D25" s="18" t="s">
        <v>30</v>
      </c>
      <c r="E25" s="12"/>
      <c r="F25" s="39">
        <v>6.3E-3</v>
      </c>
      <c r="G25" s="50">
        <f>IF($E5&gt;0, $E5, $E4*$E6)</f>
        <v>2183.3999999999996</v>
      </c>
      <c r="H25" s="34">
        <f>G25*F25</f>
        <v>13.755419999999997</v>
      </c>
      <c r="I25" s="40">
        <v>6.6E-3</v>
      </c>
      <c r="J25" s="50">
        <f>IF($E5&gt;0, $E5, $E4*$E7)</f>
        <v>2183.3999999999996</v>
      </c>
      <c r="K25" s="34">
        <f>J25*I25</f>
        <v>14.410439999999998</v>
      </c>
      <c r="L25" s="37">
        <f t="shared" si="0"/>
        <v>0.65502000000000038</v>
      </c>
      <c r="M25" s="38">
        <f>IF(ISERROR(L25/H25), "", L25/H25)</f>
        <v>4.7619047619047658E-2</v>
      </c>
    </row>
    <row r="26" spans="4:13" ht="25.5" x14ac:dyDescent="0.25">
      <c r="D26" s="61" t="s">
        <v>31</v>
      </c>
      <c r="E26" s="12"/>
      <c r="F26" s="39">
        <v>5.3E-3</v>
      </c>
      <c r="G26" s="50">
        <f>IF($E5&gt;0, $E5, $E4*$E6)</f>
        <v>2183.3999999999996</v>
      </c>
      <c r="H26" s="34">
        <f>G26*F26</f>
        <v>11.572019999999998</v>
      </c>
      <c r="I26" s="40">
        <v>6.0000000000000001E-3</v>
      </c>
      <c r="J26" s="50">
        <f>IF($E5&gt;0, $E5, $E4*$E7)</f>
        <v>2183.3999999999996</v>
      </c>
      <c r="K26" s="34">
        <f>J26*I26</f>
        <v>13.100399999999999</v>
      </c>
      <c r="L26" s="37">
        <f t="shared" si="0"/>
        <v>1.5283800000000003</v>
      </c>
      <c r="M26" s="38">
        <f>IF(ISERROR(L26/H26), "", L26/H26)</f>
        <v>0.13207547169811326</v>
      </c>
    </row>
    <row r="27" spans="4:13" ht="25.5" x14ac:dyDescent="0.25">
      <c r="D27" s="54" t="s">
        <v>32</v>
      </c>
      <c r="E27" s="42"/>
      <c r="F27" s="56"/>
      <c r="G27" s="57"/>
      <c r="H27" s="58">
        <f>SUM(H24:H26)</f>
        <v>139.21623999999994</v>
      </c>
      <c r="I27" s="59"/>
      <c r="J27" s="47"/>
      <c r="K27" s="58">
        <f>SUM(K24:K26)</f>
        <v>135.22963999999996</v>
      </c>
      <c r="L27" s="48">
        <f t="shared" si="0"/>
        <v>-3.9865999999999815</v>
      </c>
      <c r="M27" s="49">
        <f>IF((H27)=0,"",(L27/H27))</f>
        <v>-2.8636026946281434E-2</v>
      </c>
    </row>
    <row r="28" spans="4:13" ht="25.5" x14ac:dyDescent="0.25">
      <c r="D28" s="19" t="s">
        <v>33</v>
      </c>
      <c r="E28" s="12"/>
      <c r="F28" s="39">
        <v>3.5999999999999999E-3</v>
      </c>
      <c r="G28" s="50">
        <f>E4*E6</f>
        <v>2183.3999999999996</v>
      </c>
      <c r="H28" s="62">
        <f t="shared" ref="H28:H34" si="4">G28*F28</f>
        <v>7.8602399999999983</v>
      </c>
      <c r="I28" s="40">
        <v>3.6000000000000003E-3</v>
      </c>
      <c r="J28" s="50">
        <f>E4*E7</f>
        <v>2183.3999999999996</v>
      </c>
      <c r="K28" s="62">
        <f t="shared" ref="K28:K34" si="5">J28*I28</f>
        <v>7.8602399999999992</v>
      </c>
      <c r="L28" s="37">
        <f t="shared" si="0"/>
        <v>0</v>
      </c>
      <c r="M28" s="38">
        <f t="shared" ref="M28:M34" si="6">IF(ISERROR(L28/H28), "", L28/H28)</f>
        <v>0</v>
      </c>
    </row>
    <row r="29" spans="4:13" ht="25.5" x14ac:dyDescent="0.25">
      <c r="D29" s="19" t="s">
        <v>34</v>
      </c>
      <c r="E29" s="12"/>
      <c r="F29" s="39">
        <v>2.9999999999999997E-4</v>
      </c>
      <c r="G29" s="50">
        <f>E4*E6</f>
        <v>2183.3999999999996</v>
      </c>
      <c r="H29" s="62">
        <f t="shared" si="4"/>
        <v>0.65501999999999982</v>
      </c>
      <c r="I29" s="40">
        <v>2.9999999999999997E-4</v>
      </c>
      <c r="J29" s="50">
        <f>E4*E7</f>
        <v>2183.3999999999996</v>
      </c>
      <c r="K29" s="62">
        <f t="shared" si="5"/>
        <v>0.65501999999999982</v>
      </c>
      <c r="L29" s="37">
        <f t="shared" si="0"/>
        <v>0</v>
      </c>
      <c r="M29" s="38">
        <f t="shared" si="6"/>
        <v>0</v>
      </c>
    </row>
    <row r="30" spans="4:13" x14ac:dyDescent="0.25">
      <c r="D30" s="20" t="s">
        <v>35</v>
      </c>
      <c r="E30" s="12"/>
      <c r="F30" s="52">
        <v>0.25</v>
      </c>
      <c r="G30" s="33">
        <v>1</v>
      </c>
      <c r="H30" s="62">
        <f t="shared" si="4"/>
        <v>0.25</v>
      </c>
      <c r="I30" s="53">
        <f>'[1]17. Regulatory Charges'!$D$17</f>
        <v>0.25</v>
      </c>
      <c r="J30" s="36">
        <v>1</v>
      </c>
      <c r="K30" s="62">
        <f t="shared" si="5"/>
        <v>0.25</v>
      </c>
      <c r="L30" s="37">
        <f t="shared" si="0"/>
        <v>0</v>
      </c>
      <c r="M30" s="38">
        <f t="shared" si="6"/>
        <v>0</v>
      </c>
    </row>
    <row r="31" spans="4:13" ht="25.5" x14ac:dyDescent="0.25">
      <c r="D31" s="19" t="s">
        <v>36</v>
      </c>
      <c r="E31" s="12"/>
      <c r="F31" s="39"/>
      <c r="G31" s="50"/>
      <c r="H31" s="62"/>
      <c r="I31" s="40"/>
      <c r="J31" s="50"/>
      <c r="K31" s="62"/>
      <c r="L31" s="37"/>
      <c r="M31" s="38"/>
    </row>
    <row r="32" spans="4:13" x14ac:dyDescent="0.25">
      <c r="D32" s="21" t="s">
        <v>37</v>
      </c>
      <c r="E32" s="12"/>
      <c r="F32" s="63">
        <v>6.5000000000000002E-2</v>
      </c>
      <c r="G32" s="64">
        <f>IF(AND(E4*12&gt;=150000),0.65*E4*E6,0.65*E4)</f>
        <v>1300</v>
      </c>
      <c r="H32" s="62">
        <f t="shared" si="4"/>
        <v>84.5</v>
      </c>
      <c r="I32" s="65">
        <f>F32</f>
        <v>6.5000000000000002E-2</v>
      </c>
      <c r="J32" s="64">
        <f>IF(AND(E4*12&gt;=150000),0.65*E4*E7,0.65*E4)</f>
        <v>1300</v>
      </c>
      <c r="K32" s="62">
        <f t="shared" si="5"/>
        <v>84.5</v>
      </c>
      <c r="L32" s="37">
        <f>K32-H32</f>
        <v>0</v>
      </c>
      <c r="M32" s="38">
        <f t="shared" si="6"/>
        <v>0</v>
      </c>
    </row>
    <row r="33" spans="4:13" x14ac:dyDescent="0.25">
      <c r="D33" s="21" t="s">
        <v>38</v>
      </c>
      <c r="E33" s="12"/>
      <c r="F33" s="63">
        <v>9.4E-2</v>
      </c>
      <c r="G33" s="64">
        <f>IF(AND(E4*12&gt;=150000),0.17*E4*E6,0.17*E4)</f>
        <v>340</v>
      </c>
      <c r="H33" s="62">
        <f t="shared" si="4"/>
        <v>31.96</v>
      </c>
      <c r="I33" s="65">
        <f>F33</f>
        <v>9.4E-2</v>
      </c>
      <c r="J33" s="64">
        <f>IF(AND(E4*12&gt;=150000),0.17*E4*E7,0.17*E4)</f>
        <v>340</v>
      </c>
      <c r="K33" s="62">
        <f t="shared" si="5"/>
        <v>31.96</v>
      </c>
      <c r="L33" s="37">
        <f>K33-H33</f>
        <v>0</v>
      </c>
      <c r="M33" s="38">
        <f t="shared" si="6"/>
        <v>0</v>
      </c>
    </row>
    <row r="34" spans="4:13" ht="15.75" thickBot="1" x14ac:dyDescent="0.3">
      <c r="D34" s="5" t="s">
        <v>39</v>
      </c>
      <c r="E34" s="12"/>
      <c r="F34" s="63">
        <v>0.13200000000000001</v>
      </c>
      <c r="G34" s="64">
        <f>IF(AND(E4*12&gt;=150000),0.18*E4*E6,0.18*E4)</f>
        <v>360</v>
      </c>
      <c r="H34" s="62">
        <f t="shared" si="4"/>
        <v>47.52</v>
      </c>
      <c r="I34" s="65">
        <f>F34</f>
        <v>0.13200000000000001</v>
      </c>
      <c r="J34" s="64">
        <f>IF(AND(E4*12&gt;=150000),0.18*E4*E7,0.18*E4)</f>
        <v>360</v>
      </c>
      <c r="K34" s="62">
        <f t="shared" si="5"/>
        <v>47.52</v>
      </c>
      <c r="L34" s="37">
        <f>K34-H34</f>
        <v>0</v>
      </c>
      <c r="M34" s="38">
        <f t="shared" si="6"/>
        <v>0</v>
      </c>
    </row>
    <row r="35" spans="4:13" ht="15.75" thickBot="1" x14ac:dyDescent="0.3">
      <c r="D35" s="66"/>
      <c r="E35" s="67"/>
      <c r="F35" s="68"/>
      <c r="G35" s="69"/>
      <c r="H35" s="70"/>
      <c r="I35" s="68"/>
      <c r="J35" s="71"/>
      <c r="K35" s="70"/>
      <c r="L35" s="72"/>
      <c r="M35" s="73"/>
    </row>
    <row r="36" spans="4:13" x14ac:dyDescent="0.25">
      <c r="D36" s="22" t="s">
        <v>40</v>
      </c>
      <c r="E36" s="20"/>
      <c r="F36" s="74"/>
      <c r="G36" s="23"/>
      <c r="H36" s="75">
        <f>SUM(H28:H34,H27)</f>
        <v>311.96149999999994</v>
      </c>
      <c r="I36" s="76"/>
      <c r="J36" s="76"/>
      <c r="K36" s="75">
        <f>SUM(K28:K34,K27)</f>
        <v>307.97489999999993</v>
      </c>
      <c r="L36" s="77">
        <f>K36-H36</f>
        <v>-3.9866000000000099</v>
      </c>
      <c r="M36" s="78">
        <f>IF((H36)=0,"",(L36/H36))</f>
        <v>-1.2779141015798457E-2</v>
      </c>
    </row>
    <row r="37" spans="4:13" x14ac:dyDescent="0.25">
      <c r="D37" s="24" t="s">
        <v>41</v>
      </c>
      <c r="E37" s="20"/>
      <c r="F37" s="74">
        <v>0.13</v>
      </c>
      <c r="G37" s="13"/>
      <c r="H37" s="79">
        <f>H36*F37</f>
        <v>40.554994999999991</v>
      </c>
      <c r="I37" s="80">
        <v>0.13</v>
      </c>
      <c r="J37" s="33"/>
      <c r="K37" s="79">
        <f>K36*I37</f>
        <v>40.036736999999995</v>
      </c>
      <c r="L37" s="81">
        <f>K37-H37</f>
        <v>-0.51825799999999589</v>
      </c>
      <c r="M37" s="82">
        <f>IF((H37)=0,"",(L37/H37))</f>
        <v>-1.2779141015798325E-2</v>
      </c>
    </row>
    <row r="38" spans="4:13" x14ac:dyDescent="0.25">
      <c r="D38" s="24" t="s">
        <v>42</v>
      </c>
      <c r="E38" s="20"/>
      <c r="F38" s="74">
        <v>0.08</v>
      </c>
      <c r="G38" s="13"/>
      <c r="H38" s="79">
        <f>H36*-F38</f>
        <v>-24.956919999999997</v>
      </c>
      <c r="I38" s="74">
        <v>0.08</v>
      </c>
      <c r="J38" s="33"/>
      <c r="K38" s="79">
        <f>K36*-I38</f>
        <v>-24.637991999999997</v>
      </c>
      <c r="L38" s="81">
        <f>K38-H38</f>
        <v>0.31892799999999966</v>
      </c>
      <c r="M38" s="82"/>
    </row>
    <row r="39" spans="4:13" ht="15.75" customHeight="1" thickBot="1" x14ac:dyDescent="0.3">
      <c r="D39" s="92" t="s">
        <v>43</v>
      </c>
      <c r="E39" s="92"/>
      <c r="F39" s="83"/>
      <c r="G39" s="84"/>
      <c r="H39" s="85">
        <f>H36+H37+H38</f>
        <v>327.559575</v>
      </c>
      <c r="I39" s="86"/>
      <c r="J39" s="86"/>
      <c r="K39" s="87">
        <f>K36+K37+K38</f>
        <v>323.37364499999995</v>
      </c>
      <c r="L39" s="88">
        <f>K39-H39</f>
        <v>-4.1859300000000417</v>
      </c>
      <c r="M39" s="89">
        <f>IF((H39)=0,"",(L39/H39))</f>
        <v>-1.2779141015798551E-2</v>
      </c>
    </row>
    <row r="40" spans="4:13" ht="15.75" thickBot="1" x14ac:dyDescent="0.3">
      <c r="D40" s="66"/>
      <c r="E40" s="67"/>
      <c r="F40" s="68"/>
      <c r="G40" s="69"/>
      <c r="H40" s="70"/>
      <c r="I40" s="68"/>
      <c r="J40" s="71"/>
      <c r="K40" s="70"/>
      <c r="L40" s="72"/>
      <c r="M40" s="73"/>
    </row>
  </sheetData>
  <mergeCells count="9">
    <mergeCell ref="M10:M11"/>
    <mergeCell ref="D39:E39"/>
    <mergeCell ref="E2:J2"/>
    <mergeCell ref="E3:G3"/>
    <mergeCell ref="F9:H9"/>
    <mergeCell ref="I9:K9"/>
    <mergeCell ref="L10:L11"/>
    <mergeCell ref="L9:M9"/>
    <mergeCell ref="E10:E11"/>
  </mergeCells>
  <dataValidations count="1">
    <dataValidation type="list" allowBlank="1" showInputMessage="1" showErrorMessage="1" prompt="Select Charge Unit - monthly, per kWh, per kW" sqref="E40 E35">
      <formula1>"Monthly, per kWh, per kW"</formula1>
    </dataValidation>
  </dataValidations>
  <pageMargins left="0.7" right="0.7" top="0.75" bottom="0.75" header="0.3" footer="0.3"/>
  <pageSetup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R1(ii) Bill Impact 2000kWh</vt:lpstr>
    </vt:vector>
  </TitlesOfParts>
  <Company>FortisOntario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2017-08-11T18:01:32Z</dcterms:created>
  <dcterms:modified xsi:type="dcterms:W3CDTF">2018-08-09T19:46:50Z</dcterms:modified>
</cp:coreProperties>
</file>